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drawings/drawing10.xml" ContentType="application/vnd.openxmlformats-officedocument.drawingml.chartshapes+xml"/>
  <Override PartName="/xl/charts/chart1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ml.chartshapes+xml"/>
  <Override PartName="/xl/charts/chart14.xml" ContentType="application/vnd.openxmlformats-officedocument.drawingml.chart+xml"/>
  <Override PartName="/xl/drawings/drawing14.xml" ContentType="application/vnd.openxmlformats-officedocument.drawingml.chartshapes+xml"/>
  <Override PartName="/xl/comments4.xml" ContentType="application/vnd.openxmlformats-officedocument.spreadsheetml.comments+xml"/>
  <Override PartName="/xl/drawings/drawing15.xml" ContentType="application/vnd.openxmlformats-officedocument.drawing+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PTOM\"/>
    </mc:Choice>
  </mc:AlternateContent>
  <bookViews>
    <workbookView xWindow="0" yWindow="0" windowWidth="25200" windowHeight="11412" tabRatio="817" firstSheet="3" activeTab="4"/>
  </bookViews>
  <sheets>
    <sheet name="Pour Enerdata" sheetId="1" state="hidden" r:id="rId1"/>
    <sheet name="DESCRIPTION" sheetId="13" r:id="rId2"/>
    <sheet name="Hypothèses" sheetId="14" r:id="rId3"/>
    <sheet name="Compatibilité CDN" sheetId="21" r:id="rId4"/>
    <sheet name="Bilan d'énergie" sheetId="12" r:id="rId5"/>
    <sheet name="Cadrage macroéconomique " sheetId="2" r:id="rId6"/>
    <sheet name="Prod Energie" sheetId="4" r:id="rId7"/>
    <sheet name="Transports" sheetId="5" r:id="rId8"/>
    <sheet name="Industrie" sheetId="6" r:id="rId9"/>
    <sheet name="Résidentiel-tertiaire" sheetId="7" r:id="rId10"/>
    <sheet name="Agriculture" sheetId="8" r:id="rId11"/>
    <sheet name="UTCATF" sheetId="9" r:id="rId12"/>
    <sheet name="Déchets" sheetId="10" r:id="rId13"/>
    <sheet name="GES" sheetId="3" r:id="rId14"/>
    <sheet name="CH4" sheetId="17" r:id="rId15"/>
    <sheet name="N2O" sheetId="18" r:id="rId16"/>
    <sheet name="HFC" sheetId="20" r:id="rId17"/>
    <sheet name="CO2" sheetId="19" r:id="rId18"/>
    <sheet name="Bilan d'énergie SDES historique" sheetId="16" r:id="rId19"/>
    <sheet name="Calculs" sheetId="15" r:id="rId20"/>
  </sheets>
  <externalReferences>
    <externalReference r:id="rId21"/>
    <externalReference r:id="rId22"/>
    <externalReference r:id="rId23"/>
  </externalReferences>
  <definedNames>
    <definedName name="_Order1" hidden="1">255</definedName>
    <definedName name="_Order2" hidden="1">255</definedName>
    <definedName name="CRF_CountryName">[1]Sheet1!$C$4</definedName>
    <definedName name="CRF_InventoryYear">[1]Sheet1!$C$6</definedName>
    <definedName name="CRF_Submission">[1]Sheet1!$C$30</definedName>
    <definedName name="Périmètre">[2]générique!#REF!</definedName>
  </definedNames>
  <calcPr calcId="162913"/>
</workbook>
</file>

<file path=xl/calcChain.xml><?xml version="1.0" encoding="utf-8"?>
<calcChain xmlns="http://schemas.openxmlformats.org/spreadsheetml/2006/main">
  <c r="AE277" i="12" l="1"/>
  <c r="Y277" i="12"/>
  <c r="AE276" i="12"/>
  <c r="AE274" i="12" s="1"/>
  <c r="Y276" i="12"/>
  <c r="Y274" i="12" s="1"/>
  <c r="AE236" i="12"/>
  <c r="Y236" i="12"/>
  <c r="AE235" i="12"/>
  <c r="AE233" i="12" s="1"/>
  <c r="Y235" i="12"/>
  <c r="AE195" i="12"/>
  <c r="AE192" i="12" s="1"/>
  <c r="Y195" i="12"/>
  <c r="Y192" i="12" s="1"/>
  <c r="AE194" i="12"/>
  <c r="Y194" i="12"/>
  <c r="AE154" i="12"/>
  <c r="Y154" i="12"/>
  <c r="AE153" i="12"/>
  <c r="AE151" i="12" s="1"/>
  <c r="Y153" i="12"/>
  <c r="Y151" i="12" s="1"/>
  <c r="AE113" i="12"/>
  <c r="Y113" i="12"/>
  <c r="AE112" i="12"/>
  <c r="AE110" i="12" s="1"/>
  <c r="Y112" i="12"/>
  <c r="AE72" i="12"/>
  <c r="AE69" i="12" s="1"/>
  <c r="Y72" i="12"/>
  <c r="Y69" i="12" s="1"/>
  <c r="AE71" i="12"/>
  <c r="Y71" i="12"/>
  <c r="AL309" i="12"/>
  <c r="AD279" i="12"/>
  <c r="AC274" i="12"/>
  <c r="AC273" i="12"/>
  <c r="AD238" i="12"/>
  <c r="AC233" i="12"/>
  <c r="AE232" i="12"/>
  <c r="AC232" i="12"/>
  <c r="Y233" i="12"/>
  <c r="AD197" i="12"/>
  <c r="AC192" i="12"/>
  <c r="AC191" i="12"/>
  <c r="AD156" i="12"/>
  <c r="AC151" i="12"/>
  <c r="AC150" i="12"/>
  <c r="AD115" i="12"/>
  <c r="AC110" i="12"/>
  <c r="AE109" i="12"/>
  <c r="AC109" i="12"/>
  <c r="Y110" i="12"/>
  <c r="AD74" i="12"/>
  <c r="AC69" i="12"/>
  <c r="AC68" i="12"/>
  <c r="AI255" i="12"/>
  <c r="AE255" i="12"/>
  <c r="Y255" i="12"/>
  <c r="AI214" i="12"/>
  <c r="AE214" i="12"/>
  <c r="Y214" i="12"/>
  <c r="AI173" i="12"/>
  <c r="AE173" i="12"/>
  <c r="Y173" i="12"/>
  <c r="AI132" i="12"/>
  <c r="AE132" i="12"/>
  <c r="Y132" i="12"/>
  <c r="AI296" i="12"/>
  <c r="AE296" i="12"/>
  <c r="Y296" i="12"/>
  <c r="AI91" i="12"/>
  <c r="AE91" i="12"/>
  <c r="Y91" i="12"/>
  <c r="V247" i="5"/>
  <c r="U247" i="5"/>
  <c r="T247" i="5"/>
  <c r="S247" i="5"/>
  <c r="R247" i="5"/>
  <c r="Q247" i="5"/>
  <c r="P247" i="5"/>
  <c r="O247" i="5"/>
  <c r="N247" i="5"/>
  <c r="V246" i="5"/>
  <c r="U246" i="5"/>
  <c r="T246" i="5"/>
  <c r="S246" i="5"/>
  <c r="R246" i="5"/>
  <c r="Q246" i="5"/>
  <c r="P246" i="5"/>
  <c r="O246" i="5"/>
  <c r="N246" i="5"/>
  <c r="V245" i="5"/>
  <c r="U245" i="5"/>
  <c r="T245" i="5"/>
  <c r="S245" i="5"/>
  <c r="R245" i="5"/>
  <c r="Q245" i="5"/>
  <c r="P245" i="5"/>
  <c r="O245" i="5"/>
  <c r="N245" i="5"/>
  <c r="C238" i="5"/>
  <c r="C235" i="5"/>
  <c r="C236" i="5" s="1"/>
  <c r="B235" i="5"/>
  <c r="B236" i="5" s="1"/>
  <c r="V233" i="5"/>
  <c r="U233" i="5"/>
  <c r="T233" i="5"/>
  <c r="S233" i="5"/>
  <c r="R233" i="5"/>
  <c r="Q233" i="5"/>
  <c r="P233" i="5"/>
  <c r="O233" i="5"/>
  <c r="N233" i="5"/>
  <c r="B233" i="5"/>
  <c r="B232" i="5"/>
  <c r="V231" i="5"/>
  <c r="U231" i="5"/>
  <c r="T231" i="5"/>
  <c r="S231" i="5"/>
  <c r="R231" i="5"/>
  <c r="Q231" i="5"/>
  <c r="P231" i="5"/>
  <c r="O231" i="5"/>
  <c r="N231" i="5"/>
  <c r="G231" i="5"/>
  <c r="G234" i="5" s="1"/>
  <c r="F231" i="5"/>
  <c r="F234" i="5" s="1"/>
  <c r="E231" i="5"/>
  <c r="E234" i="5" s="1"/>
  <c r="D231" i="5"/>
  <c r="D234" i="5" s="1"/>
  <c r="C231" i="5"/>
  <c r="C234" i="5" s="1"/>
  <c r="B231" i="5"/>
  <c r="B234" i="5" s="1"/>
  <c r="V230" i="5"/>
  <c r="U230" i="5"/>
  <c r="T230" i="5"/>
  <c r="S230" i="5"/>
  <c r="R230" i="5"/>
  <c r="Q230" i="5"/>
  <c r="P230" i="5"/>
  <c r="O230" i="5"/>
  <c r="N230" i="5"/>
  <c r="J227" i="5"/>
  <c r="I231" i="5" s="1"/>
  <c r="I227" i="5"/>
  <c r="H231" i="5" s="1"/>
  <c r="H227" i="5"/>
  <c r="G227" i="5"/>
  <c r="F227" i="5"/>
  <c r="E227" i="5"/>
  <c r="D227" i="5"/>
  <c r="J220" i="5"/>
  <c r="I235" i="5" s="1"/>
  <c r="I220" i="5"/>
  <c r="H235" i="5" s="1"/>
  <c r="H220" i="5"/>
  <c r="G235" i="5" s="1"/>
  <c r="G220" i="5"/>
  <c r="F235" i="5" s="1"/>
  <c r="F220" i="5"/>
  <c r="E235" i="5" s="1"/>
  <c r="E220" i="5"/>
  <c r="D235" i="5" s="1"/>
  <c r="D220" i="5"/>
  <c r="H213" i="5"/>
  <c r="G213" i="5"/>
  <c r="E213" i="5"/>
  <c r="D213" i="5"/>
  <c r="C213" i="5"/>
  <c r="B213" i="5"/>
  <c r="H212" i="5"/>
  <c r="G212" i="5"/>
  <c r="F212" i="5"/>
  <c r="E212" i="5"/>
  <c r="D212" i="5"/>
  <c r="C212" i="5"/>
  <c r="B212" i="5"/>
  <c r="M163" i="5"/>
  <c r="L163" i="5"/>
  <c r="K163" i="5"/>
  <c r="J163" i="5"/>
  <c r="I163" i="5"/>
  <c r="H163" i="5"/>
  <c r="G163" i="5"/>
  <c r="F163" i="5"/>
  <c r="E163" i="5"/>
  <c r="D163" i="5"/>
  <c r="C163" i="5"/>
  <c r="B163" i="5"/>
  <c r="B164" i="5" s="1"/>
  <c r="M162" i="5"/>
  <c r="M164" i="5" s="1"/>
  <c r="L162" i="5"/>
  <c r="L164" i="5" s="1"/>
  <c r="K162" i="5"/>
  <c r="K164" i="5" s="1"/>
  <c r="J162" i="5"/>
  <c r="J164" i="5" s="1"/>
  <c r="I162" i="5"/>
  <c r="I164" i="5" s="1"/>
  <c r="H162" i="5"/>
  <c r="H164" i="5" s="1"/>
  <c r="D162" i="5"/>
  <c r="D164" i="5" s="1"/>
  <c r="C162" i="5"/>
  <c r="C164" i="5" s="1"/>
  <c r="M161" i="5"/>
  <c r="L161" i="5"/>
  <c r="K161" i="5"/>
  <c r="J161" i="5"/>
  <c r="I161" i="5"/>
  <c r="H161" i="5"/>
  <c r="B161" i="5"/>
  <c r="G160" i="5"/>
  <c r="G161" i="5" s="1"/>
  <c r="C160" i="5"/>
  <c r="D160" i="5" s="1"/>
  <c r="E160" i="5" s="1"/>
  <c r="F160" i="5" s="1"/>
  <c r="C159" i="5"/>
  <c r="C161" i="5" s="1"/>
  <c r="D145" i="5"/>
  <c r="E145" i="5" s="1"/>
  <c r="F145" i="5" s="1"/>
  <c r="C145" i="5"/>
  <c r="C144" i="5"/>
  <c r="D144" i="5" s="1"/>
  <c r="E144" i="5" s="1"/>
  <c r="F144" i="5" s="1"/>
  <c r="F143" i="5"/>
  <c r="E143" i="5"/>
  <c r="D143" i="5"/>
  <c r="C143" i="5"/>
  <c r="B143" i="5"/>
  <c r="B136" i="5"/>
  <c r="C136" i="5" s="1"/>
  <c r="D136" i="5" s="1"/>
  <c r="E136" i="5" s="1"/>
  <c r="F136" i="5" s="1"/>
  <c r="G136" i="5" s="1"/>
  <c r="H136" i="5" s="1"/>
  <c r="I136" i="5" s="1"/>
  <c r="AE150" i="12" l="1"/>
  <c r="AE191" i="12"/>
  <c r="AE273" i="12"/>
  <c r="AE68" i="12"/>
  <c r="H234" i="5"/>
  <c r="H232" i="5"/>
  <c r="H233" i="5"/>
  <c r="D236" i="5"/>
  <c r="D237" i="5"/>
  <c r="D238" i="5"/>
  <c r="I232" i="5"/>
  <c r="I234" i="5"/>
  <c r="I233" i="5"/>
  <c r="E237" i="5"/>
  <c r="E236" i="5"/>
  <c r="E238" i="5"/>
  <c r="F237" i="5"/>
  <c r="F236" i="5"/>
  <c r="F238" i="5"/>
  <c r="G237" i="5"/>
  <c r="G238" i="5"/>
  <c r="G236" i="5"/>
  <c r="H237" i="5"/>
  <c r="H238" i="5"/>
  <c r="H236" i="5"/>
  <c r="I237" i="5"/>
  <c r="I238" i="5"/>
  <c r="I236" i="5"/>
  <c r="E233" i="5"/>
  <c r="F233" i="5"/>
  <c r="D233" i="5"/>
  <c r="C232" i="5"/>
  <c r="G233" i="5"/>
  <c r="B237" i="5"/>
  <c r="C233" i="5"/>
  <c r="D232" i="5"/>
  <c r="C237" i="5"/>
  <c r="B238" i="5"/>
  <c r="E232" i="5"/>
  <c r="F232" i="5"/>
  <c r="G232" i="5"/>
  <c r="D159" i="5"/>
  <c r="E159" i="5" s="1"/>
  <c r="E161" i="5" s="1"/>
  <c r="E162" i="5"/>
  <c r="F159" i="5"/>
  <c r="F161" i="5" s="1"/>
  <c r="D161" i="5" l="1"/>
  <c r="E164" i="5"/>
  <c r="F162" i="5"/>
  <c r="F164" i="5" l="1"/>
  <c r="G162" i="5"/>
  <c r="G164" i="5" s="1"/>
  <c r="G70" i="5" l="1"/>
  <c r="K70" i="5"/>
  <c r="H39" i="10"/>
  <c r="AA36" i="8"/>
  <c r="AG48" i="8"/>
  <c r="D95" i="7"/>
  <c r="H95" i="7"/>
  <c r="G95" i="7"/>
  <c r="F95" i="7"/>
  <c r="E95" i="7"/>
  <c r="I95" i="7"/>
  <c r="D136" i="7"/>
  <c r="H136" i="7"/>
  <c r="G136" i="7"/>
  <c r="F136" i="7"/>
  <c r="E136" i="7"/>
  <c r="I136" i="7"/>
  <c r="C136" i="7"/>
  <c r="B136" i="7"/>
  <c r="U9" i="6"/>
  <c r="V9" i="6"/>
  <c r="C29" i="6"/>
  <c r="C57" i="6"/>
  <c r="J64" i="5"/>
  <c r="J70" i="5" s="1"/>
  <c r="I64" i="5"/>
  <c r="I70" i="5" s="1"/>
  <c r="H64" i="5"/>
  <c r="H70" i="5" s="1"/>
  <c r="J65" i="5"/>
  <c r="I65" i="5"/>
  <c r="H65" i="5"/>
  <c r="C50" i="4"/>
  <c r="W45" i="4" l="1"/>
  <c r="V45" i="4"/>
  <c r="U45" i="4"/>
  <c r="T45" i="4"/>
  <c r="S45" i="4"/>
  <c r="R45" i="4"/>
  <c r="Q45" i="4"/>
  <c r="W44" i="4"/>
  <c r="V44" i="4"/>
  <c r="U44" i="4"/>
  <c r="T44" i="4"/>
  <c r="S44" i="4"/>
  <c r="R44" i="4"/>
  <c r="Q44" i="4"/>
  <c r="W43" i="4"/>
  <c r="V43" i="4"/>
  <c r="U43" i="4"/>
  <c r="T43" i="4"/>
  <c r="S43" i="4"/>
  <c r="R43" i="4"/>
  <c r="Q43" i="4"/>
  <c r="W42" i="4"/>
  <c r="V42" i="4"/>
  <c r="U42" i="4"/>
  <c r="T42" i="4"/>
  <c r="S42" i="4"/>
  <c r="R42" i="4"/>
  <c r="Q42" i="4"/>
  <c r="W40" i="4"/>
  <c r="V40" i="4"/>
  <c r="U40" i="4"/>
  <c r="T40" i="4"/>
  <c r="S40" i="4"/>
  <c r="R40" i="4"/>
  <c r="Q40" i="4"/>
  <c r="C188" i="7" l="1"/>
  <c r="C187" i="7"/>
  <c r="C191" i="7"/>
  <c r="E191" i="7"/>
  <c r="F191" i="7"/>
  <c r="G191" i="7"/>
  <c r="H191" i="7"/>
  <c r="I191" i="7"/>
  <c r="B191" i="7"/>
  <c r="C186" i="7"/>
  <c r="D186" i="7"/>
  <c r="E186" i="7"/>
  <c r="F186" i="7"/>
  <c r="G186" i="7"/>
  <c r="H186" i="7"/>
  <c r="I186" i="7"/>
  <c r="B186" i="7"/>
  <c r="B53" i="4"/>
  <c r="C53" i="4"/>
  <c r="B54" i="4"/>
  <c r="C54" i="4"/>
  <c r="B55" i="4"/>
  <c r="C55" i="4"/>
  <c r="B56" i="4"/>
  <c r="C56" i="4"/>
  <c r="B57" i="4"/>
  <c r="C57" i="4"/>
  <c r="B58" i="4"/>
  <c r="C58" i="4"/>
  <c r="B59" i="4"/>
  <c r="C59" i="4"/>
  <c r="B60" i="4"/>
  <c r="C60" i="4"/>
  <c r="B61" i="4"/>
  <c r="C61" i="4"/>
  <c r="B62" i="4"/>
  <c r="C62" i="4"/>
  <c r="C52" i="4"/>
  <c r="B52" i="4"/>
  <c r="K20" i="10" l="1"/>
  <c r="C21" i="2" l="1"/>
  <c r="J198" i="5" l="1"/>
  <c r="I198" i="5"/>
  <c r="H198" i="5"/>
  <c r="G198" i="5"/>
  <c r="F198" i="5"/>
  <c r="E198" i="5"/>
  <c r="D198" i="5"/>
  <c r="D191" i="5"/>
  <c r="J190" i="5"/>
  <c r="J191" i="5" s="1"/>
  <c r="I190" i="5"/>
  <c r="I191" i="5" s="1"/>
  <c r="H190" i="5"/>
  <c r="H191" i="5" s="1"/>
  <c r="G190" i="5"/>
  <c r="G191" i="5" s="1"/>
  <c r="F190" i="5"/>
  <c r="F191" i="5" s="1"/>
  <c r="E190" i="5"/>
  <c r="E191" i="5" s="1"/>
  <c r="H184" i="5"/>
  <c r="G184" i="5"/>
  <c r="C202" i="5" s="1"/>
  <c r="F184" i="5"/>
  <c r="B202" i="5" s="1"/>
  <c r="E184" i="5"/>
  <c r="D184" i="5"/>
  <c r="C184" i="5"/>
  <c r="B184" i="5"/>
  <c r="H183" i="5"/>
  <c r="G183" i="5"/>
  <c r="C203" i="5" s="1"/>
  <c r="F183" i="5"/>
  <c r="B203" i="5" s="1"/>
  <c r="E183" i="5"/>
  <c r="D183" i="5"/>
  <c r="C183" i="5"/>
  <c r="B183" i="5"/>
  <c r="M119" i="5"/>
  <c r="L119" i="5"/>
  <c r="K119" i="5"/>
  <c r="J119" i="5"/>
  <c r="I119" i="5"/>
  <c r="H119" i="5"/>
  <c r="G119" i="5"/>
  <c r="F119" i="5"/>
  <c r="E119" i="5"/>
  <c r="D119" i="5"/>
  <c r="C119" i="5"/>
  <c r="B119" i="5"/>
  <c r="B120" i="5" s="1"/>
  <c r="M118" i="5"/>
  <c r="M120" i="5" s="1"/>
  <c r="L118" i="5"/>
  <c r="L120" i="5" s="1"/>
  <c r="K118" i="5"/>
  <c r="K120" i="5" s="1"/>
  <c r="J118" i="5"/>
  <c r="J120" i="5" s="1"/>
  <c r="I118" i="5"/>
  <c r="H118" i="5"/>
  <c r="H120" i="5" s="1"/>
  <c r="C118" i="5"/>
  <c r="D118" i="5" s="1"/>
  <c r="B117" i="5"/>
  <c r="M116" i="5"/>
  <c r="M117" i="5" s="1"/>
  <c r="L116" i="5"/>
  <c r="L117" i="5" s="1"/>
  <c r="K116" i="5"/>
  <c r="K117" i="5" s="1"/>
  <c r="J116" i="5"/>
  <c r="J117" i="5" s="1"/>
  <c r="I116" i="5"/>
  <c r="I117" i="5" s="1"/>
  <c r="H116" i="5"/>
  <c r="H117" i="5" s="1"/>
  <c r="G116" i="5"/>
  <c r="G117" i="5" s="1"/>
  <c r="C116" i="5"/>
  <c r="D116" i="5" s="1"/>
  <c r="E116" i="5" s="1"/>
  <c r="F116" i="5" s="1"/>
  <c r="C115" i="5"/>
  <c r="D115" i="5" s="1"/>
  <c r="L101" i="5"/>
  <c r="K101" i="5"/>
  <c r="J101" i="5"/>
  <c r="H101" i="5"/>
  <c r="C101" i="5"/>
  <c r="D101" i="5" s="1"/>
  <c r="E101" i="5" s="1"/>
  <c r="F101" i="5" s="1"/>
  <c r="L100" i="5"/>
  <c r="K100" i="5"/>
  <c r="J100" i="5"/>
  <c r="H100" i="5"/>
  <c r="C100" i="5"/>
  <c r="D100" i="5" s="1"/>
  <c r="E100" i="5" s="1"/>
  <c r="F100" i="5" s="1"/>
  <c r="J99" i="5"/>
  <c r="K99" i="5" s="1"/>
  <c r="L99" i="5" s="1"/>
  <c r="M99" i="5" s="1"/>
  <c r="F99" i="5"/>
  <c r="E99" i="5"/>
  <c r="D99" i="5"/>
  <c r="C99" i="5"/>
  <c r="B99" i="5"/>
  <c r="C5" i="5"/>
  <c r="C4" i="5"/>
  <c r="C3" i="5"/>
  <c r="B135" i="5" s="1"/>
  <c r="C2" i="5"/>
  <c r="H18" i="5" s="1"/>
  <c r="I120" i="5" l="1"/>
  <c r="B91" i="5"/>
  <c r="B92" i="5" s="1"/>
  <c r="B149" i="5"/>
  <c r="B169" i="5"/>
  <c r="E202" i="5"/>
  <c r="E113" i="12" s="1"/>
  <c r="G202" i="5"/>
  <c r="E195" i="12" s="1"/>
  <c r="F202" i="5"/>
  <c r="E154" i="12" s="1"/>
  <c r="B105" i="5"/>
  <c r="B106" i="5" s="1"/>
  <c r="E118" i="5"/>
  <c r="D120" i="5"/>
  <c r="D117" i="5"/>
  <c r="E115" i="5"/>
  <c r="I203" i="5"/>
  <c r="H203" i="5"/>
  <c r="G203" i="5"/>
  <c r="F203" i="5"/>
  <c r="E203" i="5"/>
  <c r="D203" i="5"/>
  <c r="C120" i="5"/>
  <c r="I202" i="5"/>
  <c r="E277" i="12" s="1"/>
  <c r="C117" i="5"/>
  <c r="H202" i="5"/>
  <c r="E236" i="12" s="1"/>
  <c r="D202" i="5"/>
  <c r="E72" i="12" s="1"/>
  <c r="B150" i="5" l="1"/>
  <c r="B171" i="5"/>
  <c r="B170" i="5"/>
  <c r="B172" i="5"/>
  <c r="C92" i="5"/>
  <c r="D92" i="5" s="1"/>
  <c r="E92" i="5" s="1"/>
  <c r="F92" i="5" s="1"/>
  <c r="G92" i="5" s="1"/>
  <c r="H92" i="5" s="1"/>
  <c r="I92" i="5" s="1"/>
  <c r="B93" i="5"/>
  <c r="E117" i="5"/>
  <c r="F115" i="5"/>
  <c r="F117" i="5" s="1"/>
  <c r="F118" i="5"/>
  <c r="E120" i="5"/>
  <c r="C93" i="5" l="1"/>
  <c r="D93" i="5" s="1"/>
  <c r="E93" i="5" s="1"/>
  <c r="F93" i="5" s="1"/>
  <c r="G93" i="5" s="1"/>
  <c r="H93" i="5" s="1"/>
  <c r="I93" i="5" s="1"/>
  <c r="B125" i="5"/>
  <c r="B127" i="5"/>
  <c r="G118" i="5"/>
  <c r="G120" i="5" s="1"/>
  <c r="F120" i="5"/>
  <c r="B128" i="5" s="1"/>
  <c r="F125" i="5" l="1"/>
  <c r="I169" i="5"/>
  <c r="H169" i="5"/>
  <c r="G169" i="5"/>
  <c r="F169" i="5"/>
  <c r="E169" i="5"/>
  <c r="D169" i="5"/>
  <c r="C169" i="5"/>
  <c r="C125" i="5"/>
  <c r="C128" i="5" s="1"/>
  <c r="B126" i="5"/>
  <c r="D125" i="5"/>
  <c r="G125" i="5"/>
  <c r="H125" i="5"/>
  <c r="I125" i="5"/>
  <c r="E125" i="5"/>
  <c r="H17" i="2"/>
  <c r="L14" i="21"/>
  <c r="L7" i="21"/>
  <c r="L6" i="21"/>
  <c r="M6" i="21" s="1"/>
  <c r="L5" i="21"/>
  <c r="M5" i="21" s="1"/>
  <c r="L10" i="21" s="1"/>
  <c r="Y6" i="6"/>
  <c r="E71" i="12" l="1"/>
  <c r="D126" i="5"/>
  <c r="D127" i="5"/>
  <c r="D128" i="5"/>
  <c r="G127" i="5"/>
  <c r="E194" i="12"/>
  <c r="G128" i="5"/>
  <c r="G126" i="5"/>
  <c r="C171" i="5"/>
  <c r="C172" i="5"/>
  <c r="C170" i="5"/>
  <c r="D171" i="5"/>
  <c r="D172" i="5"/>
  <c r="D170" i="5"/>
  <c r="E171" i="5"/>
  <c r="E172" i="5"/>
  <c r="E170" i="5"/>
  <c r="F172" i="5"/>
  <c r="F171" i="5"/>
  <c r="F170" i="5"/>
  <c r="E126" i="5"/>
  <c r="E112" i="12"/>
  <c r="E128" i="5"/>
  <c r="E127" i="5"/>
  <c r="I172" i="5"/>
  <c r="I170" i="5"/>
  <c r="I171" i="5"/>
  <c r="C126" i="5"/>
  <c r="C127" i="5"/>
  <c r="G172" i="5"/>
  <c r="G170" i="5"/>
  <c r="G171" i="5"/>
  <c r="H172" i="5"/>
  <c r="H170" i="5"/>
  <c r="H171" i="5"/>
  <c r="I126" i="5"/>
  <c r="E276" i="12"/>
  <c r="I128" i="5"/>
  <c r="I127" i="5"/>
  <c r="E235" i="12"/>
  <c r="H128" i="5"/>
  <c r="H126" i="5"/>
  <c r="H127" i="5"/>
  <c r="E153" i="12"/>
  <c r="F128" i="5"/>
  <c r="F126" i="5"/>
  <c r="F127" i="5"/>
  <c r="M14" i="21"/>
  <c r="I26" i="2" l="1"/>
  <c r="I25" i="5" l="1"/>
  <c r="C29" i="4"/>
  <c r="B19" i="10"/>
  <c r="H22" i="10"/>
  <c r="G22" i="10"/>
  <c r="F22" i="10"/>
  <c r="E22" i="10"/>
  <c r="D22" i="10"/>
  <c r="C22" i="10"/>
  <c r="C8" i="10"/>
  <c r="D8" i="10"/>
  <c r="E8" i="10"/>
  <c r="F8" i="10"/>
  <c r="G8" i="10"/>
  <c r="H8" i="10"/>
  <c r="I8" i="10"/>
  <c r="J8" i="10"/>
  <c r="K8" i="10"/>
  <c r="B8" i="10"/>
  <c r="K7" i="10"/>
  <c r="X27" i="8"/>
  <c r="AA8" i="8"/>
  <c r="U8" i="8"/>
  <c r="V8" i="8"/>
  <c r="W8" i="8"/>
  <c r="X8" i="8"/>
  <c r="Y8" i="8"/>
  <c r="Z8" i="8"/>
  <c r="T8" i="8"/>
  <c r="Y7" i="8"/>
  <c r="X7" i="8"/>
  <c r="W7" i="8"/>
  <c r="U7" i="8"/>
  <c r="T7" i="8"/>
  <c r="K13" i="8"/>
  <c r="K12" i="8"/>
  <c r="C9" i="8"/>
  <c r="D9" i="8"/>
  <c r="E9" i="8"/>
  <c r="F9" i="8"/>
  <c r="G9" i="8"/>
  <c r="H9" i="8"/>
  <c r="I9" i="8"/>
  <c r="J9" i="8"/>
  <c r="K9" i="8"/>
  <c r="B9" i="8"/>
  <c r="C7" i="8"/>
  <c r="D7" i="8"/>
  <c r="E7" i="8"/>
  <c r="F7" i="8"/>
  <c r="G7" i="8"/>
  <c r="H7" i="8"/>
  <c r="I7" i="8"/>
  <c r="J7" i="8"/>
  <c r="K7" i="8"/>
  <c r="B7" i="8"/>
  <c r="C6" i="8"/>
  <c r="D6" i="8"/>
  <c r="E6" i="8"/>
  <c r="F6" i="8"/>
  <c r="G6" i="8"/>
  <c r="H6" i="8"/>
  <c r="I6" i="8"/>
  <c r="J6" i="8"/>
  <c r="K6" i="8"/>
  <c r="B6" i="8"/>
  <c r="B179" i="7"/>
  <c r="B180" i="7"/>
  <c r="C180" i="7" s="1"/>
  <c r="B178" i="7"/>
  <c r="C178" i="7" s="1"/>
  <c r="B177" i="7"/>
  <c r="C177" i="7" s="1"/>
  <c r="B121" i="7"/>
  <c r="C121" i="7" s="1"/>
  <c r="C79" i="7"/>
  <c r="C95" i="7" s="1"/>
  <c r="B79" i="7"/>
  <c r="B95" i="7" s="1"/>
  <c r="T11" i="7"/>
  <c r="U11" i="7"/>
  <c r="U12" i="7" s="1"/>
  <c r="V11" i="7"/>
  <c r="W11" i="7"/>
  <c r="X11" i="7"/>
  <c r="Y11" i="7"/>
  <c r="S15" i="7"/>
  <c r="T15" i="7"/>
  <c r="U15" i="7"/>
  <c r="V15" i="7"/>
  <c r="W15" i="7"/>
  <c r="W16" i="7" s="1"/>
  <c r="X15" i="7"/>
  <c r="U13" i="7"/>
  <c r="V13" i="7"/>
  <c r="V14" i="7" s="1"/>
  <c r="W13" i="7"/>
  <c r="X13" i="7"/>
  <c r="S13" i="7"/>
  <c r="T13" i="7"/>
  <c r="S11" i="7"/>
  <c r="X10" i="7"/>
  <c r="W10" i="7"/>
  <c r="V10" i="7"/>
  <c r="T10" i="7"/>
  <c r="S10" i="7"/>
  <c r="R11" i="7"/>
  <c r="R13" i="7"/>
  <c r="Y13" i="7"/>
  <c r="R15" i="7"/>
  <c r="Y15" i="7"/>
  <c r="Y16" i="7" s="1"/>
  <c r="Q13" i="7"/>
  <c r="Q15" i="7"/>
  <c r="Q11" i="7"/>
  <c r="K19" i="7"/>
  <c r="K18" i="7"/>
  <c r="K16" i="7"/>
  <c r="C14" i="7"/>
  <c r="D14" i="7"/>
  <c r="E14" i="7"/>
  <c r="F14" i="7"/>
  <c r="G14" i="7"/>
  <c r="H14" i="7"/>
  <c r="I14" i="7"/>
  <c r="J14" i="7"/>
  <c r="K14" i="7"/>
  <c r="B14" i="7"/>
  <c r="C13" i="7"/>
  <c r="D13" i="7"/>
  <c r="E13" i="7"/>
  <c r="F13" i="7"/>
  <c r="G13" i="7"/>
  <c r="H13" i="7"/>
  <c r="I13" i="7"/>
  <c r="J13" i="7"/>
  <c r="K13" i="7"/>
  <c r="B13" i="7"/>
  <c r="C28" i="7"/>
  <c r="C26" i="7"/>
  <c r="K38" i="5"/>
  <c r="Q21" i="5"/>
  <c r="G44" i="5" s="1"/>
  <c r="U21" i="5"/>
  <c r="K44" i="5" s="1"/>
  <c r="O21" i="5"/>
  <c r="T20" i="5"/>
  <c r="S20" i="5"/>
  <c r="R20" i="5"/>
  <c r="T19" i="5"/>
  <c r="S19" i="5"/>
  <c r="R19" i="5"/>
  <c r="P20" i="5"/>
  <c r="P19" i="5"/>
  <c r="K17" i="6"/>
  <c r="K15" i="6"/>
  <c r="K14" i="6"/>
  <c r="K9" i="6"/>
  <c r="L9" i="6" s="1"/>
  <c r="K6" i="6"/>
  <c r="L6" i="6" s="1"/>
  <c r="W12" i="4"/>
  <c r="W15" i="4" s="1"/>
  <c r="V12" i="4"/>
  <c r="V15" i="4" s="1"/>
  <c r="U12" i="4"/>
  <c r="U17" i="4" s="1"/>
  <c r="T12" i="4"/>
  <c r="T16" i="4" s="1"/>
  <c r="S12" i="4"/>
  <c r="S15" i="4" s="1"/>
  <c r="R12" i="4"/>
  <c r="R15" i="4" s="1"/>
  <c r="Q12" i="4"/>
  <c r="Q14" i="4" s="1"/>
  <c r="R25" i="4"/>
  <c r="R28" i="4" s="1"/>
  <c r="S25" i="4"/>
  <c r="S29" i="4" s="1"/>
  <c r="T25" i="4"/>
  <c r="T29" i="4" s="1"/>
  <c r="U25" i="4"/>
  <c r="U29" i="4" s="1"/>
  <c r="V25" i="4"/>
  <c r="V29" i="4" s="1"/>
  <c r="W25" i="4"/>
  <c r="W29" i="4" s="1"/>
  <c r="Q25" i="4"/>
  <c r="Q28" i="4" s="1"/>
  <c r="P21" i="5" l="1"/>
  <c r="S21" i="5"/>
  <c r="T21" i="5"/>
  <c r="R21" i="5"/>
  <c r="T14" i="7"/>
  <c r="Y12" i="7"/>
  <c r="S16" i="7"/>
  <c r="U16" i="7"/>
  <c r="T16" i="7"/>
  <c r="Y14" i="7"/>
  <c r="R12" i="7"/>
  <c r="U14" i="7"/>
  <c r="X16" i="7"/>
  <c r="F44" i="5"/>
  <c r="F38" i="5"/>
  <c r="I44" i="5"/>
  <c r="I38" i="5"/>
  <c r="J44" i="5"/>
  <c r="J38" i="5"/>
  <c r="H44" i="5"/>
  <c r="H38" i="5"/>
  <c r="G38" i="5"/>
  <c r="T14" i="4"/>
  <c r="T17" i="4"/>
  <c r="S17" i="4"/>
  <c r="W30" i="4"/>
  <c r="R17" i="4"/>
  <c r="T15" i="4"/>
  <c r="R29" i="4"/>
  <c r="U16" i="4"/>
  <c r="R16" i="4"/>
  <c r="U15" i="4"/>
  <c r="V30" i="4"/>
  <c r="Q29" i="4"/>
  <c r="W28" i="4"/>
  <c r="V28" i="4"/>
  <c r="U28" i="4"/>
  <c r="U30" i="4"/>
  <c r="S30" i="4"/>
  <c r="Q27" i="4"/>
  <c r="R30" i="4"/>
  <c r="T28" i="4"/>
  <c r="R27" i="4"/>
  <c r="Q30" i="4"/>
  <c r="S28" i="4"/>
  <c r="T30" i="4"/>
  <c r="W27" i="4"/>
  <c r="V27" i="4"/>
  <c r="U27" i="4"/>
  <c r="T27" i="4"/>
  <c r="S27" i="4"/>
  <c r="W14" i="4"/>
  <c r="Q17" i="4"/>
  <c r="V14" i="4"/>
  <c r="W16" i="4"/>
  <c r="U14" i="4"/>
  <c r="V16" i="4"/>
  <c r="Q15" i="4"/>
  <c r="S14" i="4"/>
  <c r="R14" i="4"/>
  <c r="S16" i="4"/>
  <c r="V17" i="4"/>
  <c r="Q16" i="4"/>
  <c r="W17" i="4"/>
  <c r="D121" i="7"/>
  <c r="W14" i="7"/>
  <c r="V12" i="7"/>
  <c r="T12" i="7"/>
  <c r="D79" i="7" s="1"/>
  <c r="C179" i="7"/>
  <c r="V16" i="7"/>
  <c r="S12" i="7"/>
  <c r="S14" i="7"/>
  <c r="X14" i="7"/>
  <c r="X12" i="7"/>
  <c r="W12" i="7"/>
  <c r="E121" i="7" l="1"/>
  <c r="F121" i="7" s="1"/>
  <c r="G121" i="7" s="1"/>
  <c r="H121" i="7" s="1"/>
  <c r="I121" i="7" s="1"/>
  <c r="E79" i="7"/>
  <c r="F79" i="7"/>
  <c r="C32" i="4"/>
  <c r="C33" i="4"/>
  <c r="C34" i="4"/>
  <c r="C35" i="4"/>
  <c r="C36" i="4"/>
  <c r="C37" i="4"/>
  <c r="C38" i="4"/>
  <c r="C39" i="4"/>
  <c r="C40" i="4"/>
  <c r="C41" i="4"/>
  <c r="C31" i="4"/>
  <c r="B32" i="4"/>
  <c r="B33" i="4"/>
  <c r="B34" i="4"/>
  <c r="B35" i="4"/>
  <c r="B36" i="4"/>
  <c r="B37" i="4"/>
  <c r="B38" i="4"/>
  <c r="B39" i="4"/>
  <c r="B40" i="4"/>
  <c r="B41" i="4"/>
  <c r="B31" i="4"/>
  <c r="C22" i="4"/>
  <c r="D22" i="4"/>
  <c r="E22" i="4"/>
  <c r="F22" i="4"/>
  <c r="G22" i="4"/>
  <c r="H22" i="4"/>
  <c r="I22" i="4"/>
  <c r="J22" i="4"/>
  <c r="K22" i="4"/>
  <c r="L22" i="4"/>
  <c r="B22" i="4"/>
  <c r="H16" i="2"/>
  <c r="G17" i="2"/>
  <c r="G16" i="2" s="1"/>
  <c r="F17" i="2"/>
  <c r="F16" i="2" s="1"/>
  <c r="E17" i="2"/>
  <c r="E16" i="2" s="1"/>
  <c r="D17" i="2"/>
  <c r="D16" i="2" s="1"/>
  <c r="C17" i="2"/>
  <c r="C16" i="2" s="1"/>
  <c r="G79" i="7" l="1"/>
  <c r="C43" i="4"/>
  <c r="C7" i="2"/>
  <c r="D7" i="2"/>
  <c r="E7" i="2"/>
  <c r="F7" i="2"/>
  <c r="G7" i="2"/>
  <c r="H7" i="2"/>
  <c r="I7" i="2"/>
  <c r="J7" i="2"/>
  <c r="K7" i="2"/>
  <c r="L7" i="2"/>
  <c r="M7" i="2"/>
  <c r="B7" i="2"/>
  <c r="H79" i="7" l="1"/>
  <c r="L7" i="6"/>
  <c r="I79" i="7" l="1"/>
  <c r="I18" i="10"/>
  <c r="I19" i="10" s="1"/>
  <c r="H18" i="10"/>
  <c r="H19" i="10" s="1"/>
  <c r="G18" i="10"/>
  <c r="G19" i="10" s="1"/>
  <c r="F18" i="10"/>
  <c r="F19" i="10" s="1"/>
  <c r="E18" i="10"/>
  <c r="E19" i="10" s="1"/>
  <c r="D18" i="10"/>
  <c r="D19" i="10" s="1"/>
  <c r="G6" i="10" l="1"/>
  <c r="H6" i="10"/>
  <c r="I6" i="10"/>
  <c r="J6" i="10"/>
  <c r="K6" i="10"/>
  <c r="B33" i="10"/>
  <c r="I33" i="10" s="1"/>
  <c r="I34" i="10" s="1"/>
  <c r="H32" i="10"/>
  <c r="G32" i="10"/>
  <c r="F32" i="10"/>
  <c r="E32" i="10"/>
  <c r="D32" i="10"/>
  <c r="C32" i="10"/>
  <c r="I31" i="10"/>
  <c r="H31" i="10"/>
  <c r="G31" i="10"/>
  <c r="F31" i="10"/>
  <c r="E31" i="10"/>
  <c r="D31" i="10"/>
  <c r="H30" i="10"/>
  <c r="G30" i="10"/>
  <c r="F30" i="10"/>
  <c r="E30" i="10"/>
  <c r="D30" i="10"/>
  <c r="C30" i="10"/>
  <c r="H17" i="10"/>
  <c r="G17" i="10"/>
  <c r="F17" i="10"/>
  <c r="E17" i="10"/>
  <c r="D17" i="10"/>
  <c r="C17" i="10"/>
  <c r="B17" i="10"/>
  <c r="G33" i="10" l="1"/>
  <c r="G34" i="10" s="1"/>
  <c r="F33" i="10"/>
  <c r="F34" i="10" s="1"/>
  <c r="D33" i="10"/>
  <c r="D34" i="10" s="1"/>
  <c r="E33" i="10"/>
  <c r="E34" i="10" s="1"/>
  <c r="H33" i="10"/>
  <c r="H34" i="10" s="1"/>
  <c r="I273" i="12" l="1"/>
  <c r="I232" i="12"/>
  <c r="I191" i="12"/>
  <c r="I150" i="12"/>
  <c r="I109" i="12"/>
  <c r="I68" i="12"/>
  <c r="C176" i="7" l="1"/>
  <c r="B176" i="7"/>
  <c r="C171" i="7"/>
  <c r="B171" i="7"/>
  <c r="F57" i="7"/>
  <c r="J18" i="12" l="1"/>
  <c r="S5" i="15" l="1"/>
  <c r="R5" i="15"/>
  <c r="Q5" i="15"/>
  <c r="P5" i="15"/>
  <c r="O5" i="15"/>
  <c r="N5" i="15"/>
  <c r="C42" i="4"/>
  <c r="C32" i="7" l="1"/>
  <c r="B28" i="6"/>
  <c r="B48" i="6" s="1"/>
  <c r="B25" i="6"/>
  <c r="B45" i="6" s="1"/>
  <c r="V17" i="12" l="1"/>
  <c r="W17" i="12"/>
  <c r="X17" i="12"/>
  <c r="Y17" i="12"/>
  <c r="Z17" i="12"/>
  <c r="AA17" i="12"/>
  <c r="B15" i="2"/>
  <c r="C18" i="10" s="1"/>
  <c r="B16" i="2"/>
  <c r="B17" i="2"/>
  <c r="C41" i="7"/>
  <c r="C47" i="7"/>
  <c r="B44" i="7"/>
  <c r="B45" i="7"/>
  <c r="B34" i="7"/>
  <c r="B49" i="7" s="1"/>
  <c r="B32" i="7"/>
  <c r="B47" i="7" s="1"/>
  <c r="C31" i="10" l="1"/>
  <c r="C33" i="10" s="1"/>
  <c r="C34" i="10" s="1"/>
  <c r="C19" i="10"/>
  <c r="I29" i="7"/>
  <c r="I30" i="7"/>
  <c r="C7" i="6"/>
  <c r="D7" i="6"/>
  <c r="E7" i="6"/>
  <c r="F7" i="6"/>
  <c r="G7" i="6"/>
  <c r="H7" i="6"/>
  <c r="I7" i="6"/>
  <c r="J7" i="6"/>
  <c r="K7" i="6"/>
  <c r="B26" i="6" s="1"/>
  <c r="B46" i="6" s="1"/>
  <c r="B7" i="6"/>
  <c r="L21" i="4" l="1"/>
  <c r="C21" i="4"/>
  <c r="D21" i="4"/>
  <c r="E21" i="4"/>
  <c r="F21" i="4"/>
  <c r="G21" i="4"/>
  <c r="H21" i="4"/>
  <c r="I21" i="4"/>
  <c r="J21" i="4"/>
  <c r="K21" i="4"/>
  <c r="B21" i="4"/>
  <c r="I40" i="7" l="1"/>
  <c r="H40" i="7"/>
  <c r="G40" i="7"/>
  <c r="F40" i="7"/>
  <c r="E40" i="7"/>
  <c r="D40" i="7"/>
  <c r="I25" i="7"/>
  <c r="H25" i="7"/>
  <c r="G25" i="7"/>
  <c r="F25" i="7"/>
  <c r="E25" i="7"/>
  <c r="E26" i="7" s="1"/>
  <c r="D25" i="7"/>
  <c r="K31" i="5"/>
  <c r="J31" i="5"/>
  <c r="I31" i="5"/>
  <c r="H31" i="5"/>
  <c r="G31" i="5"/>
  <c r="F31" i="5"/>
  <c r="E31" i="5"/>
  <c r="D31" i="5"/>
  <c r="D58" i="5" s="1"/>
  <c r="C31" i="5"/>
  <c r="C58" i="5" s="1"/>
  <c r="B31" i="5"/>
  <c r="B58" i="5" s="1"/>
  <c r="E58" i="5" l="1"/>
  <c r="C105" i="5"/>
  <c r="C149" i="5"/>
  <c r="G58" i="5"/>
  <c r="E105" i="5"/>
  <c r="E149" i="5"/>
  <c r="J58" i="5"/>
  <c r="H105" i="5"/>
  <c r="H149" i="5"/>
  <c r="F58" i="5"/>
  <c r="D105" i="5"/>
  <c r="D149" i="5"/>
  <c r="H58" i="5"/>
  <c r="F105" i="5"/>
  <c r="F149" i="5"/>
  <c r="I58" i="5"/>
  <c r="G105" i="5"/>
  <c r="G149" i="5"/>
  <c r="K58" i="5"/>
  <c r="I149" i="5"/>
  <c r="I105" i="5"/>
  <c r="I26" i="7"/>
  <c r="D26" i="7"/>
  <c r="Y298" i="12"/>
  <c r="Y297" i="12"/>
  <c r="AK301" i="12"/>
  <c r="AK303" i="12" s="1"/>
  <c r="AB301" i="12"/>
  <c r="AB303" i="12" s="1"/>
  <c r="AA301" i="12"/>
  <c r="AA303" i="12" s="1"/>
  <c r="Z301" i="12"/>
  <c r="Z303" i="12" s="1"/>
  <c r="X301" i="12"/>
  <c r="X303" i="12" s="1"/>
  <c r="X279" i="12" s="1"/>
  <c r="X274" i="12" s="1"/>
  <c r="W301" i="12"/>
  <c r="W303" i="12" s="1"/>
  <c r="AL300" i="12"/>
  <c r="AK293" i="12"/>
  <c r="AA293" i="12"/>
  <c r="Z293" i="12"/>
  <c r="X293" i="12"/>
  <c r="AL290" i="12"/>
  <c r="AL289" i="12"/>
  <c r="AL288" i="12"/>
  <c r="AL287" i="12"/>
  <c r="AL286" i="12"/>
  <c r="AL285" i="12"/>
  <c r="AL284" i="12"/>
  <c r="AL281" i="12"/>
  <c r="AK279" i="12"/>
  <c r="AJ279" i="12"/>
  <c r="AI279" i="12"/>
  <c r="AG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A238" i="12"/>
  <c r="Z238" i="12"/>
  <c r="AL237" i="12"/>
  <c r="AL236" i="12"/>
  <c r="AL235" i="12"/>
  <c r="AL234" i="12"/>
  <c r="AK219" i="12"/>
  <c r="AK221" i="12" s="1"/>
  <c r="AB219" i="12"/>
  <c r="AB221" i="12" s="1"/>
  <c r="AA219" i="12"/>
  <c r="AA221" i="12" s="1"/>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A197" i="12"/>
  <c r="Z197" i="12"/>
  <c r="AL196" i="12"/>
  <c r="AL195" i="12"/>
  <c r="AL194" i="12"/>
  <c r="AL193" i="12"/>
  <c r="AK178" i="12"/>
  <c r="AK180" i="12" s="1"/>
  <c r="AB178" i="12"/>
  <c r="AB180" i="12" s="1"/>
  <c r="AA178" i="12"/>
  <c r="AA180" i="12" s="1"/>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A156" i="12"/>
  <c r="Z156" i="12"/>
  <c r="AL155" i="12"/>
  <c r="AL154" i="12"/>
  <c r="AL153" i="12"/>
  <c r="AL152" i="12"/>
  <c r="AK137" i="12"/>
  <c r="AK139" i="12" s="1"/>
  <c r="AB137" i="12"/>
  <c r="AB139" i="12" s="1"/>
  <c r="AA137" i="12"/>
  <c r="AA139" i="12" s="1"/>
  <c r="Z137" i="12"/>
  <c r="Z139" i="12" s="1"/>
  <c r="X137" i="12"/>
  <c r="X139" i="12" s="1"/>
  <c r="W137" i="12"/>
  <c r="W139" i="12" s="1"/>
  <c r="AL136" i="12"/>
  <c r="AK129" i="12"/>
  <c r="AA129" i="12"/>
  <c r="Z129" i="12"/>
  <c r="X129" i="12"/>
  <c r="AL126" i="12"/>
  <c r="AL125" i="12"/>
  <c r="AL124" i="12"/>
  <c r="AL123" i="12"/>
  <c r="AL122" i="12"/>
  <c r="AL121" i="12"/>
  <c r="AL120" i="12"/>
  <c r="AL117" i="12"/>
  <c r="AK115" i="12"/>
  <c r="AJ115" i="12"/>
  <c r="AI115" i="12"/>
  <c r="AG115" i="12"/>
  <c r="AA115" i="12"/>
  <c r="Z115" i="12"/>
  <c r="AL114" i="12"/>
  <c r="AL113" i="12"/>
  <c r="AL112" i="12"/>
  <c r="AL111" i="12"/>
  <c r="X115" i="12" l="1"/>
  <c r="X110" i="12" s="1"/>
  <c r="D106" i="5"/>
  <c r="D91" i="5"/>
  <c r="D107" i="5"/>
  <c r="I135" i="5"/>
  <c r="I151" i="5"/>
  <c r="I150" i="5"/>
  <c r="H107" i="5"/>
  <c r="H91" i="5"/>
  <c r="H106" i="5"/>
  <c r="H150" i="5"/>
  <c r="H135" i="5"/>
  <c r="H151" i="5"/>
  <c r="G150" i="5"/>
  <c r="G135" i="5"/>
  <c r="G151" i="5"/>
  <c r="E150" i="5"/>
  <c r="E135" i="5"/>
  <c r="E151" i="5"/>
  <c r="G107" i="5"/>
  <c r="G91" i="5"/>
  <c r="G106" i="5"/>
  <c r="E107" i="5"/>
  <c r="E106" i="5"/>
  <c r="E91" i="5"/>
  <c r="D150" i="5"/>
  <c r="D135" i="5"/>
  <c r="D151" i="5"/>
  <c r="F150" i="5"/>
  <c r="F135" i="5"/>
  <c r="F151" i="5"/>
  <c r="C150" i="5"/>
  <c r="C135" i="5"/>
  <c r="C151" i="5"/>
  <c r="I107" i="5"/>
  <c r="I91" i="5"/>
  <c r="I106" i="5"/>
  <c r="F107" i="5"/>
  <c r="F91" i="5"/>
  <c r="F106" i="5"/>
  <c r="C107" i="5"/>
  <c r="C106" i="5"/>
  <c r="C91" i="5"/>
  <c r="X238" i="12"/>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A74" i="12"/>
  <c r="Z74" i="12"/>
  <c r="AL73" i="12"/>
  <c r="AL72" i="12"/>
  <c r="AL71" i="12"/>
  <c r="AL70" i="12"/>
  <c r="R70" i="12"/>
  <c r="R71" i="12"/>
  <c r="R72" i="12"/>
  <c r="R73" i="12"/>
  <c r="F74" i="12"/>
  <c r="G74" i="12"/>
  <c r="M74" i="12"/>
  <c r="O74" i="12"/>
  <c r="P74" i="12"/>
  <c r="Q74" i="12"/>
  <c r="Q98" i="12"/>
  <c r="F98" i="12"/>
  <c r="D98" i="12"/>
  <c r="P18" i="12"/>
  <c r="R18" i="12" s="1"/>
  <c r="P17" i="12"/>
  <c r="R17" i="12" s="1"/>
  <c r="AD10" i="12"/>
  <c r="J10"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X46" i="1" l="1"/>
  <c r="S46" i="1"/>
  <c r="D46" i="1"/>
  <c r="B63" i="7" l="1"/>
  <c r="W108" i="1"/>
  <c r="V108" i="1"/>
  <c r="W106" i="1"/>
  <c r="V106" i="1"/>
  <c r="Z170" i="1"/>
  <c r="Z172" i="1" s="1"/>
  <c r="Y170" i="1"/>
  <c r="Y172" i="1" s="1"/>
  <c r="D100" i="1"/>
  <c r="U33" i="10" l="1"/>
  <c r="N33" i="10"/>
  <c r="K10" i="10"/>
  <c r="B35" i="10" s="1"/>
  <c r="J10" i="10"/>
  <c r="I10" i="10"/>
  <c r="H10" i="10"/>
  <c r="G10" i="10"/>
  <c r="F10" i="10"/>
  <c r="E10" i="10"/>
  <c r="D10" i="10"/>
  <c r="C10" i="10"/>
  <c r="C11" i="10" s="1"/>
  <c r="B10" i="10"/>
  <c r="B11" i="10" s="1"/>
  <c r="I9" i="10"/>
  <c r="H9" i="10"/>
  <c r="B9" i="10"/>
  <c r="J9" i="10"/>
  <c r="G9" i="10"/>
  <c r="F9" i="10"/>
  <c r="E9" i="10"/>
  <c r="D9" i="10"/>
  <c r="C9" i="10"/>
  <c r="B36" i="10"/>
  <c r="B18" i="10"/>
  <c r="B31" i="10" s="1"/>
  <c r="K5" i="9"/>
  <c r="B16" i="9" s="1"/>
  <c r="J5" i="9"/>
  <c r="I5" i="9"/>
  <c r="H5" i="9"/>
  <c r="G5" i="9"/>
  <c r="F5" i="9"/>
  <c r="E5" i="9"/>
  <c r="D5" i="9"/>
  <c r="C5" i="9"/>
  <c r="B5" i="9"/>
  <c r="AR29" i="8"/>
  <c r="AO29" i="8"/>
  <c r="AB45" i="8"/>
  <c r="AA45" i="8"/>
  <c r="Z45" i="8"/>
  <c r="X45" i="8"/>
  <c r="W45" i="8"/>
  <c r="V45" i="8"/>
  <c r="T45" i="8"/>
  <c r="S45" i="8"/>
  <c r="R45" i="8"/>
  <c r="P45" i="8"/>
  <c r="O45" i="8"/>
  <c r="N45" i="8"/>
  <c r="L45" i="8"/>
  <c r="K45" i="8"/>
  <c r="J45" i="8"/>
  <c r="H45" i="8"/>
  <c r="G45" i="8"/>
  <c r="F45" i="8"/>
  <c r="AB44" i="8"/>
  <c r="AA44" i="8"/>
  <c r="Z44" i="8"/>
  <c r="X44" i="8"/>
  <c r="W44" i="8"/>
  <c r="V44" i="8"/>
  <c r="T44" i="8"/>
  <c r="S44" i="8"/>
  <c r="R44" i="8"/>
  <c r="P44" i="8"/>
  <c r="O44" i="8"/>
  <c r="N44" i="8"/>
  <c r="L44" i="8"/>
  <c r="K44" i="8"/>
  <c r="J44" i="8"/>
  <c r="H44" i="8"/>
  <c r="G44" i="8"/>
  <c r="F44" i="8"/>
  <c r="AB43" i="8"/>
  <c r="AA43" i="8"/>
  <c r="Z43" i="8"/>
  <c r="X43" i="8"/>
  <c r="W43" i="8"/>
  <c r="V43" i="8"/>
  <c r="T43" i="8"/>
  <c r="S43" i="8"/>
  <c r="R43" i="8"/>
  <c r="P43" i="8"/>
  <c r="O43" i="8"/>
  <c r="N43" i="8"/>
  <c r="L43" i="8"/>
  <c r="K43" i="8"/>
  <c r="J43" i="8"/>
  <c r="H43" i="8"/>
  <c r="G43" i="8"/>
  <c r="F43" i="8"/>
  <c r="U36" i="8"/>
  <c r="T36" i="8"/>
  <c r="R36" i="8"/>
  <c r="Q36" i="8"/>
  <c r="O36" i="8"/>
  <c r="N36" i="8"/>
  <c r="L36" i="8"/>
  <c r="K36" i="8"/>
  <c r="I36" i="8"/>
  <c r="H36" i="8"/>
  <c r="F36" i="8"/>
  <c r="E36" i="8"/>
  <c r="U35" i="8"/>
  <c r="T35" i="8"/>
  <c r="R35" i="8"/>
  <c r="Q35" i="8"/>
  <c r="O35" i="8"/>
  <c r="N35" i="8"/>
  <c r="L35" i="8"/>
  <c r="K35" i="8"/>
  <c r="I35" i="8"/>
  <c r="H35" i="8"/>
  <c r="F35" i="8"/>
  <c r="E35"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D19" i="8"/>
  <c r="C7" i="1" s="1"/>
  <c r="J8" i="8"/>
  <c r="I8" i="8"/>
  <c r="F8" i="8"/>
  <c r="E8" i="8"/>
  <c r="K5" i="8"/>
  <c r="J5" i="8"/>
  <c r="I5" i="8"/>
  <c r="H5" i="8"/>
  <c r="G5" i="8"/>
  <c r="F5" i="8"/>
  <c r="E5" i="8"/>
  <c r="D5" i="8"/>
  <c r="C5" i="8"/>
  <c r="B5" i="8"/>
  <c r="B194" i="7"/>
  <c r="C193" i="7"/>
  <c r="C192" i="7"/>
  <c r="B192" i="7"/>
  <c r="J127" i="7"/>
  <c r="J114" i="7"/>
  <c r="J112" i="7"/>
  <c r="B107" i="7"/>
  <c r="C106" i="7" s="1"/>
  <c r="C74" i="7"/>
  <c r="C90" i="7" s="1"/>
  <c r="B64" i="7"/>
  <c r="I45" i="7"/>
  <c r="I43" i="7"/>
  <c r="C34" i="7"/>
  <c r="C49" i="7" s="1"/>
  <c r="C30" i="7"/>
  <c r="C45" i="7" s="1"/>
  <c r="C29" i="7"/>
  <c r="C44" i="7" s="1"/>
  <c r="C43" i="7"/>
  <c r="B173" i="7"/>
  <c r="C173" i="7" s="1"/>
  <c r="K17" i="7"/>
  <c r="J17" i="7"/>
  <c r="I17" i="7"/>
  <c r="H17" i="7"/>
  <c r="G17" i="7"/>
  <c r="F17" i="7"/>
  <c r="E17" i="7"/>
  <c r="D17" i="7"/>
  <c r="C17" i="7"/>
  <c r="B17" i="7"/>
  <c r="B174" i="7"/>
  <c r="C174" i="7" s="1"/>
  <c r="J15" i="7"/>
  <c r="I15" i="7"/>
  <c r="H15" i="7"/>
  <c r="F15" i="7"/>
  <c r="E15" i="7"/>
  <c r="D15" i="7"/>
  <c r="C15" i="7"/>
  <c r="B15" i="7"/>
  <c r="B28" i="7"/>
  <c r="B43" i="7" s="1"/>
  <c r="B26" i="7"/>
  <c r="B41" i="7" s="1"/>
  <c r="L7" i="7"/>
  <c r="K7" i="7"/>
  <c r="J7" i="7"/>
  <c r="I7" i="7"/>
  <c r="I9" i="7" s="1"/>
  <c r="H7" i="7"/>
  <c r="G7" i="7"/>
  <c r="B25" i="7" s="1"/>
  <c r="B40" i="7" s="1"/>
  <c r="F7" i="7"/>
  <c r="E7" i="7"/>
  <c r="D7" i="7"/>
  <c r="C7" i="7"/>
  <c r="B7" i="7"/>
  <c r="D60" i="6"/>
  <c r="H54" i="6"/>
  <c r="G54" i="6"/>
  <c r="F54" i="6"/>
  <c r="E54" i="6"/>
  <c r="D54" i="6"/>
  <c r="C54" i="6"/>
  <c r="H53" i="6"/>
  <c r="G53" i="6"/>
  <c r="F53" i="6"/>
  <c r="E53" i="6"/>
  <c r="D53" i="6"/>
  <c r="C53" i="6"/>
  <c r="H33" i="6"/>
  <c r="G33" i="6"/>
  <c r="F33" i="6"/>
  <c r="E33" i="6"/>
  <c r="D33" i="6"/>
  <c r="C33" i="6"/>
  <c r="C26" i="6"/>
  <c r="C46" i="6" s="1"/>
  <c r="C39" i="6"/>
  <c r="C62" i="6"/>
  <c r="B62" i="6"/>
  <c r="C59" i="6"/>
  <c r="C61" i="6" s="1"/>
  <c r="K16" i="6"/>
  <c r="B58" i="6" s="1"/>
  <c r="H58" i="6" s="1"/>
  <c r="J16" i="6"/>
  <c r="I16" i="6"/>
  <c r="H16" i="6"/>
  <c r="G16" i="6"/>
  <c r="F16" i="6"/>
  <c r="E16" i="6"/>
  <c r="D16" i="6"/>
  <c r="C16" i="6"/>
  <c r="B16" i="6"/>
  <c r="B57" i="6"/>
  <c r="C56" i="6"/>
  <c r="B56" i="6"/>
  <c r="H10" i="6"/>
  <c r="G10" i="6"/>
  <c r="F10" i="6"/>
  <c r="E10" i="6"/>
  <c r="C10" i="6"/>
  <c r="B10" i="6"/>
  <c r="C28" i="6"/>
  <c r="J10" i="6"/>
  <c r="I10" i="6"/>
  <c r="D10" i="6"/>
  <c r="H8" i="6"/>
  <c r="G8" i="6"/>
  <c r="F8" i="6"/>
  <c r="E8" i="6"/>
  <c r="B8" i="6"/>
  <c r="E75" i="5"/>
  <c r="D75" i="5"/>
  <c r="C75" i="5"/>
  <c r="B75" i="5"/>
  <c r="F73" i="5"/>
  <c r="G73" i="5" s="1"/>
  <c r="H73" i="5" s="1"/>
  <c r="I73" i="5" s="1"/>
  <c r="J73" i="5" s="1"/>
  <c r="K73" i="5" s="1"/>
  <c r="E71" i="5"/>
  <c r="D71" i="5"/>
  <c r="C71" i="5"/>
  <c r="B71" i="5"/>
  <c r="E70" i="5"/>
  <c r="D70" i="5"/>
  <c r="C70" i="5"/>
  <c r="B70" i="5"/>
  <c r="E69" i="5"/>
  <c r="E77" i="5" s="1"/>
  <c r="D69" i="5"/>
  <c r="D77" i="5" s="1"/>
  <c r="C69" i="5"/>
  <c r="B69" i="5"/>
  <c r="K67" i="5"/>
  <c r="J67" i="5"/>
  <c r="I67" i="5"/>
  <c r="H67" i="5"/>
  <c r="G67" i="5"/>
  <c r="F67" i="5"/>
  <c r="E67" i="5"/>
  <c r="E65" i="5"/>
  <c r="F65" i="5" s="1"/>
  <c r="D65" i="5"/>
  <c r="C65" i="5"/>
  <c r="B65" i="5"/>
  <c r="F64" i="5"/>
  <c r="F70" i="5" s="1"/>
  <c r="E64" i="5"/>
  <c r="D64" i="5"/>
  <c r="C64" i="5"/>
  <c r="B64" i="5"/>
  <c r="E51" i="5"/>
  <c r="D51" i="5"/>
  <c r="C51" i="5"/>
  <c r="B51" i="5"/>
  <c r="E48" i="5"/>
  <c r="D48" i="5"/>
  <c r="C48" i="5"/>
  <c r="B48" i="5"/>
  <c r="F46" i="5"/>
  <c r="G46" i="5" s="1"/>
  <c r="H46" i="5" s="1"/>
  <c r="I46" i="5" s="1"/>
  <c r="J46" i="5" s="1"/>
  <c r="K46" i="5" s="1"/>
  <c r="E44" i="5"/>
  <c r="D44" i="5"/>
  <c r="C44" i="5"/>
  <c r="B44" i="5"/>
  <c r="K43" i="5"/>
  <c r="J43" i="5"/>
  <c r="I43" i="5"/>
  <c r="H43" i="5"/>
  <c r="G43" i="5"/>
  <c r="F43" i="5"/>
  <c r="E43" i="5"/>
  <c r="D43" i="5"/>
  <c r="C43" i="5"/>
  <c r="B43" i="5"/>
  <c r="E42" i="5"/>
  <c r="E50" i="5" s="1"/>
  <c r="D42" i="5"/>
  <c r="D50" i="5" s="1"/>
  <c r="C42" i="5"/>
  <c r="B42" i="5"/>
  <c r="E38" i="5"/>
  <c r="D38" i="5"/>
  <c r="C38" i="5"/>
  <c r="B38" i="5"/>
  <c r="J37" i="5"/>
  <c r="I37" i="5"/>
  <c r="H37" i="5"/>
  <c r="E37" i="5"/>
  <c r="D37" i="5"/>
  <c r="F37" i="5" s="1"/>
  <c r="C37" i="5"/>
  <c r="B37" i="5"/>
  <c r="G34" i="5"/>
  <c r="G61" i="5" s="1"/>
  <c r="H25" i="5"/>
  <c r="G22" i="5"/>
  <c r="G24" i="5" s="1"/>
  <c r="H21" i="5"/>
  <c r="H23" i="5" s="1"/>
  <c r="G21" i="5"/>
  <c r="G23" i="5" s="1"/>
  <c r="G25" i="5" s="1"/>
  <c r="H64" i="4"/>
  <c r="G64" i="4"/>
  <c r="F64" i="4"/>
  <c r="E64" i="4"/>
  <c r="D64" i="4"/>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J10" i="1"/>
  <c r="B77" i="5" l="1"/>
  <c r="B50" i="5"/>
  <c r="C50" i="5"/>
  <c r="D11" i="10"/>
  <c r="F11" i="10"/>
  <c r="I20" i="10"/>
  <c r="C7" i="12"/>
  <c r="D35" i="8"/>
  <c r="C25" i="7"/>
  <c r="I32" i="7" s="1"/>
  <c r="K9" i="7"/>
  <c r="J34" i="5"/>
  <c r="J61" i="5" s="1"/>
  <c r="K34" i="5"/>
  <c r="K61" i="5" s="1"/>
  <c r="E11" i="10"/>
  <c r="D28" i="8"/>
  <c r="P28" i="8" s="1"/>
  <c r="E44" i="8"/>
  <c r="AG44" i="8" s="1"/>
  <c r="AI299" i="12" s="1"/>
  <c r="C58" i="6"/>
  <c r="D58" i="6"/>
  <c r="E58" i="6"/>
  <c r="D27" i="8"/>
  <c r="E43" i="8"/>
  <c r="F58" i="6"/>
  <c r="G58" i="6"/>
  <c r="C49" i="6"/>
  <c r="C48" i="6"/>
  <c r="D28" i="6"/>
  <c r="K15" i="7"/>
  <c r="C31" i="7"/>
  <c r="I31" i="7" s="1"/>
  <c r="G15" i="7"/>
  <c r="B33" i="7" s="1"/>
  <c r="B48" i="7" s="1"/>
  <c r="B31" i="7"/>
  <c r="B46" i="7" s="1"/>
  <c r="H13" i="6"/>
  <c r="G16" i="9"/>
  <c r="W10" i="12"/>
  <c r="H16" i="9"/>
  <c r="F16" i="9"/>
  <c r="C16" i="9"/>
  <c r="W10" i="1"/>
  <c r="B10" i="9"/>
  <c r="J35" i="8"/>
  <c r="Y7" i="12" s="1"/>
  <c r="G43" i="7"/>
  <c r="C77" i="5"/>
  <c r="H34" i="5"/>
  <c r="H61" i="5" s="1"/>
  <c r="I34" i="5"/>
  <c r="I61" i="5" s="1"/>
  <c r="P35" i="8"/>
  <c r="G8" i="8"/>
  <c r="B8" i="8"/>
  <c r="C8" i="8"/>
  <c r="D8" i="8"/>
  <c r="V35" i="8"/>
  <c r="AC7" i="12" s="1"/>
  <c r="G35" i="8"/>
  <c r="Y7" i="1"/>
  <c r="S35" i="8"/>
  <c r="AB7" i="12" s="1"/>
  <c r="M35" i="8"/>
  <c r="Z7" i="12" s="1"/>
  <c r="Y19" i="8"/>
  <c r="G28" i="7"/>
  <c r="B27" i="7"/>
  <c r="B42" i="7" s="1"/>
  <c r="D43" i="7"/>
  <c r="B116" i="7"/>
  <c r="B131" i="7" s="1"/>
  <c r="H43" i="7"/>
  <c r="D28" i="7"/>
  <c r="E28" i="7"/>
  <c r="F28" i="7"/>
  <c r="C116" i="7"/>
  <c r="C131" i="7" s="1"/>
  <c r="B188" i="7"/>
  <c r="H28" i="7"/>
  <c r="C194" i="7"/>
  <c r="E13" i="6"/>
  <c r="G13" i="6"/>
  <c r="B35" i="6"/>
  <c r="C35" i="6"/>
  <c r="B36" i="6"/>
  <c r="K10" i="6"/>
  <c r="C36" i="6"/>
  <c r="C63" i="6"/>
  <c r="B29" i="6"/>
  <c r="B49" i="6" s="1"/>
  <c r="C37" i="6"/>
  <c r="B27" i="6"/>
  <c r="B47" i="6" s="1"/>
  <c r="B13" i="6"/>
  <c r="B38" i="6"/>
  <c r="C38" i="6"/>
  <c r="C8" i="6"/>
  <c r="C13" i="6" s="1"/>
  <c r="D48" i="1"/>
  <c r="Y164" i="1"/>
  <c r="S160" i="1"/>
  <c r="R237" i="1"/>
  <c r="R239" i="1" s="1"/>
  <c r="P48" i="1"/>
  <c r="AE128" i="1"/>
  <c r="Y231" i="1"/>
  <c r="X48" i="1"/>
  <c r="S227" i="1"/>
  <c r="S128" i="1"/>
  <c r="AE96" i="1"/>
  <c r="Q48" i="1"/>
  <c r="F196" i="1"/>
  <c r="F100" i="1"/>
  <c r="W100" i="1"/>
  <c r="D196" i="1"/>
  <c r="W260" i="1"/>
  <c r="H34" i="7"/>
  <c r="I34" i="7"/>
  <c r="AE94" i="1"/>
  <c r="W231" i="1"/>
  <c r="F13" i="6"/>
  <c r="Y260" i="1"/>
  <c r="E78"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93" i="7"/>
  <c r="F132" i="1"/>
  <c r="AE190" i="1"/>
  <c r="AE193" i="1"/>
  <c r="Z202" i="1"/>
  <c r="Z204" i="1" s="1"/>
  <c r="S190" i="1"/>
  <c r="Y196" i="1"/>
  <c r="AE192" i="1"/>
  <c r="AD202" i="1"/>
  <c r="AD204" i="1" s="1"/>
  <c r="AE257" i="1"/>
  <c r="I26" i="6"/>
  <c r="I46" i="6" s="1"/>
  <c r="H24" i="5"/>
  <c r="B41" i="5"/>
  <c r="G237" i="1"/>
  <c r="G239" i="1" s="1"/>
  <c r="C61" i="7"/>
  <c r="C73" i="7" s="1"/>
  <c r="C60" i="7"/>
  <c r="C72" i="7" s="1"/>
  <c r="C59" i="7"/>
  <c r="C71" i="7" s="1"/>
  <c r="C58" i="7"/>
  <c r="C70" i="7" s="1"/>
  <c r="C57" i="7"/>
  <c r="G202" i="1"/>
  <c r="G204" i="1" s="1"/>
  <c r="C33" i="5"/>
  <c r="C60" i="5" s="1"/>
  <c r="C59" i="5"/>
  <c r="B39" i="6"/>
  <c r="B63" i="6"/>
  <c r="B74" i="7"/>
  <c r="AE158" i="1"/>
  <c r="AE254" i="1"/>
  <c r="B78" i="5"/>
  <c r="B187" i="7"/>
  <c r="B172" i="7"/>
  <c r="C172" i="7" s="1"/>
  <c r="S193" i="1"/>
  <c r="Z266" i="1"/>
  <c r="Z268" i="1" s="1"/>
  <c r="C78" i="5"/>
  <c r="D8" i="6"/>
  <c r="D13" i="6" s="1"/>
  <c r="E60" i="6"/>
  <c r="B189" i="7"/>
  <c r="S27" i="8"/>
  <c r="E217" i="12" s="1"/>
  <c r="M27" i="8"/>
  <c r="E135" i="12" s="1"/>
  <c r="K8" i="6"/>
  <c r="J8" i="6"/>
  <c r="J13" i="6" s="1"/>
  <c r="I8" i="6"/>
  <c r="I13" i="6" s="1"/>
  <c r="G11" i="10"/>
  <c r="D34" i="5"/>
  <c r="D61" i="5" s="1"/>
  <c r="C61" i="5"/>
  <c r="D78" i="5"/>
  <c r="D9" i="7"/>
  <c r="H8" i="8"/>
  <c r="H11" i="10"/>
  <c r="E34" i="5"/>
  <c r="E61" i="5" s="1"/>
  <c r="C104" i="7"/>
  <c r="D192" i="7"/>
  <c r="Y93" i="12" s="1"/>
  <c r="D20" i="8"/>
  <c r="K8" i="8"/>
  <c r="I11" i="10"/>
  <c r="F34" i="5"/>
  <c r="F61" i="5" s="1"/>
  <c r="C25" i="6"/>
  <c r="M19" i="8"/>
  <c r="F7" i="12" s="1"/>
  <c r="J11" i="10"/>
  <c r="B37" i="6"/>
  <c r="B59" i="6"/>
  <c r="C105" i="7"/>
  <c r="C103" i="7"/>
  <c r="V19" i="8"/>
  <c r="I7" i="12" s="1"/>
  <c r="J19" i="8"/>
  <c r="E7" i="12" s="1"/>
  <c r="S19" i="8"/>
  <c r="H7" i="12" s="1"/>
  <c r="G19" i="8"/>
  <c r="D7" i="12" s="1"/>
  <c r="P19" i="8"/>
  <c r="G7" i="12" s="1"/>
  <c r="B21" i="10"/>
  <c r="F10" i="9"/>
  <c r="C189" i="7"/>
  <c r="G10" i="9"/>
  <c r="K9" i="10"/>
  <c r="B34" i="10" s="1"/>
  <c r="H10" i="9"/>
  <c r="B23" i="10"/>
  <c r="E43" i="7"/>
  <c r="K73" i="7"/>
  <c r="F43" i="7"/>
  <c r="D16" i="9"/>
  <c r="E16" i="9"/>
  <c r="C27" i="7" l="1"/>
  <c r="C42" i="7" s="1"/>
  <c r="J28" i="8"/>
  <c r="Y27" i="8"/>
  <c r="E265" i="1" s="1"/>
  <c r="G27" i="8"/>
  <c r="G29" i="8" s="1"/>
  <c r="S28" i="8"/>
  <c r="C40" i="7"/>
  <c r="K5" i="10"/>
  <c r="B29" i="10" s="1"/>
  <c r="E299" i="12"/>
  <c r="AA29" i="8"/>
  <c r="Y28" i="8"/>
  <c r="P265" i="1" s="1"/>
  <c r="S265" i="1" s="1"/>
  <c r="V28" i="8"/>
  <c r="O258" i="12" s="1"/>
  <c r="R258" i="12" s="1"/>
  <c r="M28" i="8"/>
  <c r="P137" i="1" s="1"/>
  <c r="Y44" i="8"/>
  <c r="AB201" i="1" s="1"/>
  <c r="P27" i="8"/>
  <c r="E176" i="12" s="1"/>
  <c r="Q44" i="8"/>
  <c r="AI135" i="12" s="1"/>
  <c r="AC44" i="8"/>
  <c r="D29" i="8"/>
  <c r="J27" i="8"/>
  <c r="E105" i="1" s="1"/>
  <c r="C8" i="12"/>
  <c r="C6" i="12" s="1"/>
  <c r="D36" i="8"/>
  <c r="AC7" i="1"/>
  <c r="W7" i="12"/>
  <c r="Y35" i="8"/>
  <c r="W7" i="1"/>
  <c r="V27" i="8"/>
  <c r="E258" i="12" s="1"/>
  <c r="U44" i="8"/>
  <c r="I44" i="8"/>
  <c r="AB265" i="1"/>
  <c r="M44" i="8"/>
  <c r="AI94" i="12" s="1"/>
  <c r="E46" i="8"/>
  <c r="AG45" i="8"/>
  <c r="AG43" i="8"/>
  <c r="M43" i="8" s="1"/>
  <c r="I49" i="7"/>
  <c r="I176" i="7"/>
  <c r="I179" i="7" s="1"/>
  <c r="H49" i="7"/>
  <c r="H176" i="7"/>
  <c r="I29" i="10"/>
  <c r="I36" i="10" s="1"/>
  <c r="C29" i="10"/>
  <c r="C36" i="10" s="1"/>
  <c r="G29" i="10"/>
  <c r="G36" i="10" s="1"/>
  <c r="H29" i="10"/>
  <c r="H36" i="10" s="1"/>
  <c r="E29" i="10"/>
  <c r="E36" i="10" s="1"/>
  <c r="F29" i="10"/>
  <c r="F36" i="10" s="1"/>
  <c r="D29" i="10"/>
  <c r="D36" i="10" s="1"/>
  <c r="E28" i="6"/>
  <c r="D48" i="6"/>
  <c r="B52" i="6"/>
  <c r="C27" i="6"/>
  <c r="C47" i="6" s="1"/>
  <c r="C52" i="6" s="1"/>
  <c r="C45" i="6"/>
  <c r="D25" i="6"/>
  <c r="B16" i="10"/>
  <c r="H26" i="7"/>
  <c r="H41" i="7" s="1"/>
  <c r="H42" i="7" s="1"/>
  <c r="G26" i="7"/>
  <c r="G41" i="7" s="1"/>
  <c r="G42" i="7" s="1"/>
  <c r="F26" i="7"/>
  <c r="F41" i="7" s="1"/>
  <c r="F42" i="7" s="1"/>
  <c r="I41" i="7"/>
  <c r="I42" i="7" s="1"/>
  <c r="D41" i="7"/>
  <c r="D42" i="7" s="1"/>
  <c r="E41" i="7"/>
  <c r="E42" i="7" s="1"/>
  <c r="C33" i="7"/>
  <c r="C48" i="7" s="1"/>
  <c r="C46" i="7"/>
  <c r="I46" i="7" s="1"/>
  <c r="K13" i="6"/>
  <c r="E31" i="7"/>
  <c r="G31" i="7"/>
  <c r="H31" i="7"/>
  <c r="D31" i="7"/>
  <c r="F31" i="7"/>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P236" i="1"/>
  <c r="AA7" i="1"/>
  <c r="AA7" i="12"/>
  <c r="O135" i="12"/>
  <c r="R135" i="12" s="1"/>
  <c r="AB236" i="1"/>
  <c r="AI258" i="12"/>
  <c r="J7" i="1"/>
  <c r="J7" i="12"/>
  <c r="X7" i="1"/>
  <c r="X7" i="12"/>
  <c r="AB169" i="1"/>
  <c r="AI176" i="12"/>
  <c r="P169" i="1"/>
  <c r="O176" i="12"/>
  <c r="P201" i="1"/>
  <c r="O217" i="12"/>
  <c r="R217" i="12" s="1"/>
  <c r="O94" i="12"/>
  <c r="P105" i="1"/>
  <c r="AB105" i="1"/>
  <c r="C115" i="7"/>
  <c r="B114" i="7"/>
  <c r="B128" i="7"/>
  <c r="B130" i="7"/>
  <c r="B115" i="7"/>
  <c r="D41" i="5"/>
  <c r="AB7" i="1"/>
  <c r="Y29" i="8"/>
  <c r="Z7" i="1"/>
  <c r="I27" i="7"/>
  <c r="B32" i="6"/>
  <c r="I47" i="7"/>
  <c r="H20" i="10"/>
  <c r="K89" i="7"/>
  <c r="H26" i="6"/>
  <c r="H46" i="6" s="1"/>
  <c r="B20" i="10"/>
  <c r="H7" i="1"/>
  <c r="B61" i="6"/>
  <c r="B68" i="5"/>
  <c r="I7" i="1"/>
  <c r="D33" i="5"/>
  <c r="D60" i="5" s="1"/>
  <c r="D59" i="5"/>
  <c r="C63" i="7"/>
  <c r="C69" i="7"/>
  <c r="F7" i="1"/>
  <c r="E34" i="7"/>
  <c r="E26" i="6"/>
  <c r="E46" i="6" s="1"/>
  <c r="D34" i="7"/>
  <c r="D26" i="6"/>
  <c r="D46" i="6" s="1"/>
  <c r="I33" i="7"/>
  <c r="E7" i="1"/>
  <c r="C113" i="7"/>
  <c r="B113" i="7"/>
  <c r="B129" i="7"/>
  <c r="C41" i="5"/>
  <c r="D7" i="1"/>
  <c r="B73" i="7"/>
  <c r="B69" i="7"/>
  <c r="B70" i="7"/>
  <c r="B71" i="7"/>
  <c r="B72" i="7"/>
  <c r="B90" i="7"/>
  <c r="E41" i="5"/>
  <c r="G26" i="6"/>
  <c r="G46" i="6" s="1"/>
  <c r="G34" i="7"/>
  <c r="C74" i="5"/>
  <c r="H22" i="5"/>
  <c r="E68" i="5"/>
  <c r="E192" i="7"/>
  <c r="Y134" i="12" s="1"/>
  <c r="X104" i="1"/>
  <c r="C68" i="5"/>
  <c r="C20" i="10"/>
  <c r="G7" i="1"/>
  <c r="D20" i="10"/>
  <c r="F60" i="6"/>
  <c r="K113" i="7"/>
  <c r="K128" i="7"/>
  <c r="K114" i="7"/>
  <c r="K129" i="7"/>
  <c r="K115" i="7"/>
  <c r="K127" i="7"/>
  <c r="K112" i="7"/>
  <c r="K130" i="7"/>
  <c r="C114" i="7"/>
  <c r="C112" i="7"/>
  <c r="C107" i="7"/>
  <c r="B127" i="7"/>
  <c r="M29" i="8"/>
  <c r="E137" i="1"/>
  <c r="C129" i="7"/>
  <c r="C130" i="7"/>
  <c r="C127" i="7"/>
  <c r="C128" i="7"/>
  <c r="K11" i="10"/>
  <c r="L11" i="10" s="1"/>
  <c r="S29" i="8"/>
  <c r="E201" i="1"/>
  <c r="B112" i="7"/>
  <c r="E20" i="10"/>
  <c r="D22" i="8"/>
  <c r="D38" i="8" s="1"/>
  <c r="D21" i="8"/>
  <c r="D37" i="8" s="1"/>
  <c r="F20" i="10"/>
  <c r="P20" i="8"/>
  <c r="M20" i="8"/>
  <c r="Y20" i="8"/>
  <c r="J8" i="12" s="1"/>
  <c r="V20" i="8"/>
  <c r="J20" i="8"/>
  <c r="S20" i="8"/>
  <c r="G20" i="8"/>
  <c r="C8" i="1"/>
  <c r="C6" i="1" s="1"/>
  <c r="F34" i="7"/>
  <c r="F26" i="6"/>
  <c r="F46" i="6" s="1"/>
  <c r="D68" i="5"/>
  <c r="D187" i="7"/>
  <c r="Y92" i="12" s="1"/>
  <c r="G20" i="10"/>
  <c r="AB137" i="1" l="1"/>
  <c r="H179" i="7"/>
  <c r="G179" i="7"/>
  <c r="F179" i="7"/>
  <c r="E179" i="7"/>
  <c r="D179" i="7"/>
  <c r="S201" i="1"/>
  <c r="O299" i="12"/>
  <c r="R299" i="12" s="1"/>
  <c r="AI217" i="12"/>
  <c r="E236" i="1"/>
  <c r="S236" i="1" s="1"/>
  <c r="V29" i="8"/>
  <c r="R176" i="12"/>
  <c r="P29" i="8"/>
  <c r="J29" i="8"/>
  <c r="E169" i="1"/>
  <c r="E94" i="12"/>
  <c r="S105" i="1"/>
  <c r="Y94" i="12"/>
  <c r="X105" i="1"/>
  <c r="S137" i="1"/>
  <c r="W8" i="12"/>
  <c r="W6" i="12" s="1"/>
  <c r="Y36" i="8"/>
  <c r="W8" i="1"/>
  <c r="W6" i="1" s="1"/>
  <c r="S36" i="8"/>
  <c r="J36" i="8"/>
  <c r="M36" i="8"/>
  <c r="G36" i="8"/>
  <c r="P36" i="8"/>
  <c r="V36" i="8"/>
  <c r="AD7" i="12"/>
  <c r="AD7" i="1"/>
  <c r="H27" i="7"/>
  <c r="H171" i="7" s="1"/>
  <c r="E27" i="7"/>
  <c r="E171" i="7" s="1"/>
  <c r="D27" i="7"/>
  <c r="D171" i="7" s="1"/>
  <c r="F27" i="7"/>
  <c r="F171" i="7" s="1"/>
  <c r="F35" i="10"/>
  <c r="G35" i="10"/>
  <c r="I35" i="10"/>
  <c r="I38" i="10" s="1"/>
  <c r="H35" i="10"/>
  <c r="E35" i="10"/>
  <c r="D35" i="10"/>
  <c r="C35" i="10"/>
  <c r="Y43" i="8"/>
  <c r="X265" i="1"/>
  <c r="Y299" i="12"/>
  <c r="Q43" i="8"/>
  <c r="AG46" i="8"/>
  <c r="AG49" i="8" s="1"/>
  <c r="U43" i="8"/>
  <c r="I43" i="8"/>
  <c r="AC43" i="8"/>
  <c r="AA265" i="1"/>
  <c r="AE299" i="12"/>
  <c r="Q45" i="8"/>
  <c r="Y45" i="8"/>
  <c r="AC45" i="8"/>
  <c r="U45" i="8"/>
  <c r="M45" i="8"/>
  <c r="M46" i="8" s="1"/>
  <c r="I45" i="8"/>
  <c r="G49" i="7"/>
  <c r="G176" i="7"/>
  <c r="F49" i="7"/>
  <c r="F176" i="7"/>
  <c r="E49" i="7"/>
  <c r="E176" i="7"/>
  <c r="D49" i="7"/>
  <c r="D176" i="7"/>
  <c r="F28" i="6"/>
  <c r="F29" i="6" s="1"/>
  <c r="F49" i="6" s="1"/>
  <c r="E48" i="6"/>
  <c r="D45" i="6"/>
  <c r="E25" i="6"/>
  <c r="E27" i="6" s="1"/>
  <c r="E47" i="6" s="1"/>
  <c r="C32" i="6"/>
  <c r="C16" i="10"/>
  <c r="C23" i="10" s="1"/>
  <c r="D16" i="10"/>
  <c r="D23" i="10" s="1"/>
  <c r="E16" i="10"/>
  <c r="E23" i="10" s="1"/>
  <c r="H16" i="10"/>
  <c r="H23" i="10" s="1"/>
  <c r="I16" i="10"/>
  <c r="I23" i="10" s="1"/>
  <c r="F16" i="10"/>
  <c r="F23" i="10" s="1"/>
  <c r="G16" i="10"/>
  <c r="G23" i="10" s="1"/>
  <c r="K71" i="7"/>
  <c r="I71" i="7" s="1"/>
  <c r="H71" i="7" s="1"/>
  <c r="I171" i="7"/>
  <c r="G27" i="7"/>
  <c r="G171" i="7" s="1"/>
  <c r="I115" i="7"/>
  <c r="F115" i="7" s="1"/>
  <c r="F33" i="7"/>
  <c r="I128" i="7"/>
  <c r="H128" i="7" s="1"/>
  <c r="F46" i="7"/>
  <c r="G46" i="7"/>
  <c r="D46" i="7"/>
  <c r="H46" i="7"/>
  <c r="E46" i="7"/>
  <c r="E47" i="7"/>
  <c r="F47" i="7"/>
  <c r="G47" i="7"/>
  <c r="H47" i="7"/>
  <c r="D47" i="7"/>
  <c r="K69" i="7"/>
  <c r="I69" i="7" s="1"/>
  <c r="H69" i="7" s="1"/>
  <c r="I114" i="7"/>
  <c r="H114" i="7" s="1"/>
  <c r="E10" i="12"/>
  <c r="E10" i="1"/>
  <c r="F10" i="12"/>
  <c r="F10" i="1"/>
  <c r="D10" i="12"/>
  <c r="D10" i="1"/>
  <c r="D8" i="1"/>
  <c r="D6" i="1" s="1"/>
  <c r="D8" i="12"/>
  <c r="D6" i="12" s="1"/>
  <c r="I8" i="1"/>
  <c r="I6" i="1" s="1"/>
  <c r="I8" i="12"/>
  <c r="I6" i="12" s="1"/>
  <c r="F8" i="1"/>
  <c r="F6" i="1" s="1"/>
  <c r="F8" i="12"/>
  <c r="F6" i="12" s="1"/>
  <c r="J6" i="12"/>
  <c r="G8" i="1"/>
  <c r="G6" i="1" s="1"/>
  <c r="G8" i="12"/>
  <c r="G6" i="12" s="1"/>
  <c r="H8" i="1"/>
  <c r="H6" i="1" s="1"/>
  <c r="H8" i="12"/>
  <c r="H6" i="12" s="1"/>
  <c r="S169" i="1"/>
  <c r="R94" i="12"/>
  <c r="E8" i="1"/>
  <c r="E6" i="1" s="1"/>
  <c r="E8" i="12"/>
  <c r="E6" i="12" s="1"/>
  <c r="I130" i="7"/>
  <c r="E130" i="7" s="1"/>
  <c r="K72" i="7"/>
  <c r="I72" i="7" s="1"/>
  <c r="D72" i="7" s="1"/>
  <c r="K70" i="7"/>
  <c r="I70" i="7" s="1"/>
  <c r="E70" i="7" s="1"/>
  <c r="H33" i="7"/>
  <c r="D33" i="7"/>
  <c r="G21" i="8"/>
  <c r="G22" i="8" s="1"/>
  <c r="J21" i="8"/>
  <c r="J22" i="8" s="1"/>
  <c r="G33" i="7"/>
  <c r="E33" i="7"/>
  <c r="I48" i="7"/>
  <c r="K87" i="7"/>
  <c r="K88" i="7"/>
  <c r="K86" i="7"/>
  <c r="K85" i="7"/>
  <c r="H21" i="10"/>
  <c r="I21" i="10"/>
  <c r="B74" i="5"/>
  <c r="D21" i="10"/>
  <c r="C21" i="10"/>
  <c r="P21" i="8"/>
  <c r="P22" i="8" s="1"/>
  <c r="C76" i="5"/>
  <c r="E29" i="6"/>
  <c r="E49" i="6" s="1"/>
  <c r="F21" i="10"/>
  <c r="I73" i="7"/>
  <c r="H73" i="7" s="1"/>
  <c r="D27" i="6"/>
  <c r="D47" i="6" s="1"/>
  <c r="D29" i="6"/>
  <c r="D49" i="6" s="1"/>
  <c r="I113" i="7"/>
  <c r="H113" i="7" s="1"/>
  <c r="E187" i="7"/>
  <c r="Y133" i="12" s="1"/>
  <c r="X103" i="1"/>
  <c r="S21" i="8"/>
  <c r="S22" i="8" s="1"/>
  <c r="E47" i="5"/>
  <c r="E49" i="5" s="1"/>
  <c r="C47" i="5"/>
  <c r="C49" i="5" s="1"/>
  <c r="B47" i="5"/>
  <c r="B49" i="5" s="1"/>
  <c r="D47" i="5"/>
  <c r="D74" i="5"/>
  <c r="F192" i="7"/>
  <c r="Y175" i="12" s="1"/>
  <c r="X136" i="1"/>
  <c r="B88" i="7"/>
  <c r="B89" i="7"/>
  <c r="B85" i="7"/>
  <c r="B87" i="7"/>
  <c r="B86" i="7"/>
  <c r="M21" i="8"/>
  <c r="M22" i="8" s="1"/>
  <c r="I127" i="7"/>
  <c r="H127" i="7" s="1"/>
  <c r="B76" i="5"/>
  <c r="J8" i="1"/>
  <c r="J6" i="1" s="1"/>
  <c r="Y21" i="8"/>
  <c r="Y22" i="8" s="1"/>
  <c r="Z22" i="8" s="1"/>
  <c r="E21" i="10"/>
  <c r="V21" i="8"/>
  <c r="V22" i="8" s="1"/>
  <c r="E33" i="5"/>
  <c r="E60" i="5" s="1"/>
  <c r="E59" i="5"/>
  <c r="G21" i="10"/>
  <c r="I112" i="7"/>
  <c r="G60" i="6"/>
  <c r="E74" i="5"/>
  <c r="E76" i="5" s="1"/>
  <c r="I129" i="7"/>
  <c r="E129" i="7" s="1"/>
  <c r="AL299" i="12" l="1"/>
  <c r="AE265" i="1"/>
  <c r="V37" i="8"/>
  <c r="V38" i="8" s="1"/>
  <c r="AC8" i="1"/>
  <c r="AC6" i="1" s="1"/>
  <c r="AC8" i="12"/>
  <c r="AC6" i="12" s="1"/>
  <c r="P37" i="8"/>
  <c r="P38" i="8" s="1"/>
  <c r="AA8" i="1"/>
  <c r="AA6" i="1" s="1"/>
  <c r="AA8" i="12"/>
  <c r="AA6" i="12" s="1"/>
  <c r="G37" i="8"/>
  <c r="G38" i="8" s="1"/>
  <c r="X8" i="1"/>
  <c r="X6" i="1" s="1"/>
  <c r="X8" i="12"/>
  <c r="X6" i="12" s="1"/>
  <c r="Z8" i="1"/>
  <c r="Z6" i="1" s="1"/>
  <c r="Z8" i="12"/>
  <c r="Z6" i="12" s="1"/>
  <c r="M37" i="8"/>
  <c r="M38" i="8" s="1"/>
  <c r="Y8" i="1"/>
  <c r="Y6" i="1" s="1"/>
  <c r="Y8" i="12"/>
  <c r="Y6" i="12" s="1"/>
  <c r="J37" i="8"/>
  <c r="J38" i="8" s="1"/>
  <c r="AB8" i="12"/>
  <c r="AB6" i="12" s="1"/>
  <c r="AB8" i="1"/>
  <c r="AB6" i="1" s="1"/>
  <c r="S37" i="8"/>
  <c r="S38" i="8" s="1"/>
  <c r="AD8" i="12"/>
  <c r="AD6" i="12" s="1"/>
  <c r="AD8" i="1"/>
  <c r="AD6" i="1"/>
  <c r="Y37" i="8"/>
  <c r="Y38" i="8" s="1"/>
  <c r="Z38" i="8" s="1"/>
  <c r="Y258" i="12"/>
  <c r="X236" i="1"/>
  <c r="AC46" i="8"/>
  <c r="AA137" i="1"/>
  <c r="AE135" i="12"/>
  <c r="U46" i="8"/>
  <c r="Y176" i="12"/>
  <c r="X169" i="1"/>
  <c r="I46" i="8"/>
  <c r="Y135" i="12"/>
  <c r="AL135" i="12" s="1"/>
  <c r="X137" i="1"/>
  <c r="AE137" i="1" s="1"/>
  <c r="Q46" i="8"/>
  <c r="AA105" i="1"/>
  <c r="AE105" i="1" s="1"/>
  <c r="AE94" i="12"/>
  <c r="AL94" i="12" s="1"/>
  <c r="AA169" i="1"/>
  <c r="AE176" i="12"/>
  <c r="AA236" i="1"/>
  <c r="AE258" i="12"/>
  <c r="AL258" i="12" s="1"/>
  <c r="Y217" i="12"/>
  <c r="X201" i="1"/>
  <c r="Y46" i="8"/>
  <c r="AA201" i="1"/>
  <c r="AE217" i="12"/>
  <c r="G115" i="7"/>
  <c r="D115" i="7"/>
  <c r="H115" i="7"/>
  <c r="E115" i="7"/>
  <c r="E52" i="6"/>
  <c r="E62" i="6" s="1"/>
  <c r="D52" i="6"/>
  <c r="D59" i="6" s="1"/>
  <c r="G28" i="6"/>
  <c r="F48" i="6"/>
  <c r="F25" i="6"/>
  <c r="E45" i="6"/>
  <c r="D128" i="7"/>
  <c r="G128" i="7"/>
  <c r="F128" i="7"/>
  <c r="E128" i="7"/>
  <c r="E48" i="7"/>
  <c r="G130" i="7"/>
  <c r="F114" i="7"/>
  <c r="G114" i="7"/>
  <c r="E114" i="7"/>
  <c r="D114" i="7"/>
  <c r="F130" i="7"/>
  <c r="H130" i="7"/>
  <c r="D130" i="7"/>
  <c r="H48" i="7"/>
  <c r="G48" i="7"/>
  <c r="F72"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29" i="7"/>
  <c r="F127" i="7"/>
  <c r="F129" i="7"/>
  <c r="G129" i="7"/>
  <c r="H70" i="7"/>
  <c r="I116" i="7"/>
  <c r="I178" i="7" s="1"/>
  <c r="H112" i="7"/>
  <c r="D73" i="7"/>
  <c r="E113" i="7"/>
  <c r="D113" i="7"/>
  <c r="D70" i="7"/>
  <c r="F70" i="7"/>
  <c r="D127" i="7"/>
  <c r="F113" i="7"/>
  <c r="G70" i="7"/>
  <c r="E127" i="7"/>
  <c r="E131" i="7" s="1"/>
  <c r="G113" i="7"/>
  <c r="G72" i="7"/>
  <c r="F73" i="7"/>
  <c r="G127" i="7"/>
  <c r="F69" i="7"/>
  <c r="F112" i="7"/>
  <c r="G112" i="7"/>
  <c r="I74" i="7"/>
  <c r="I75" i="5"/>
  <c r="G74" i="5"/>
  <c r="H75" i="5"/>
  <c r="F74" i="5"/>
  <c r="G75" i="5"/>
  <c r="F75" i="5"/>
  <c r="J74" i="5"/>
  <c r="H74" i="5"/>
  <c r="K75" i="5"/>
  <c r="J75" i="5"/>
  <c r="K74" i="5"/>
  <c r="I74" i="5"/>
  <c r="E73" i="7"/>
  <c r="I86" i="7"/>
  <c r="D86" i="7" s="1"/>
  <c r="G71" i="7"/>
  <c r="I87" i="7"/>
  <c r="E87" i="7" s="1"/>
  <c r="G73" i="7"/>
  <c r="I85" i="7"/>
  <c r="G85" i="7" s="1"/>
  <c r="I89" i="7"/>
  <c r="F89" i="7" s="1"/>
  <c r="H60" i="6"/>
  <c r="D71" i="7"/>
  <c r="E71" i="7"/>
  <c r="I88" i="7"/>
  <c r="H88" i="7" s="1"/>
  <c r="D69" i="7"/>
  <c r="G48" i="5"/>
  <c r="F48" i="5"/>
  <c r="K47" i="5"/>
  <c r="J48" i="5"/>
  <c r="H47" i="5"/>
  <c r="J47" i="5"/>
  <c r="I47" i="5"/>
  <c r="G47" i="5"/>
  <c r="F47" i="5"/>
  <c r="I48" i="5"/>
  <c r="K48" i="5"/>
  <c r="H48" i="5"/>
  <c r="D49" i="5"/>
  <c r="F59" i="5"/>
  <c r="F33" i="5"/>
  <c r="F60" i="5" s="1"/>
  <c r="F41" i="5"/>
  <c r="F42" i="5"/>
  <c r="F187" i="7"/>
  <c r="Y174" i="12" s="1"/>
  <c r="X135" i="1"/>
  <c r="H129" i="7"/>
  <c r="D112" i="7"/>
  <c r="F71" i="7"/>
  <c r="I131" i="7"/>
  <c r="E32" i="6"/>
  <c r="G69" i="7"/>
  <c r="E112" i="7"/>
  <c r="G192" i="7"/>
  <c r="Y216" i="12" s="1"/>
  <c r="X168" i="1"/>
  <c r="D32" i="6"/>
  <c r="E69" i="7"/>
  <c r="D76" i="5"/>
  <c r="AE169" i="1" l="1"/>
  <c r="AH131" i="12"/>
  <c r="AG131" i="12"/>
  <c r="AF131" i="12"/>
  <c r="AE131" i="12"/>
  <c r="AD131" i="12"/>
  <c r="AC131" i="12"/>
  <c r="E56" i="6"/>
  <c r="X133" i="1" s="1"/>
  <c r="D63" i="6"/>
  <c r="D62" i="6"/>
  <c r="AL176" i="12"/>
  <c r="AL217" i="12"/>
  <c r="AE236" i="1"/>
  <c r="D57" i="6"/>
  <c r="AB101" i="1" s="1"/>
  <c r="AE201" i="1"/>
  <c r="AF201" i="1"/>
  <c r="E57" i="6"/>
  <c r="AI131" i="12" s="1"/>
  <c r="E59" i="6"/>
  <c r="E61" i="6" s="1"/>
  <c r="AA139" i="1" s="1"/>
  <c r="E63" i="6"/>
  <c r="AC133" i="1" s="1"/>
  <c r="AC138" i="1" s="1"/>
  <c r="AC140" i="1" s="1"/>
  <c r="AC132" i="1" s="1"/>
  <c r="AC127" i="1" s="1"/>
  <c r="AC131" i="1" s="1"/>
  <c r="H131" i="7"/>
  <c r="H193" i="7" s="1"/>
  <c r="H116" i="7"/>
  <c r="D56" i="6"/>
  <c r="X101" i="1" s="1"/>
  <c r="H28" i="6"/>
  <c r="G48" i="6"/>
  <c r="G29" i="6"/>
  <c r="G49" i="6" s="1"/>
  <c r="G25" i="6"/>
  <c r="F45" i="6"/>
  <c r="F27" i="6"/>
  <c r="AA133" i="1"/>
  <c r="AC101" i="1"/>
  <c r="AC106" i="1" s="1"/>
  <c r="AC108" i="1" s="1"/>
  <c r="AC100" i="1" s="1"/>
  <c r="AC95" i="1" s="1"/>
  <c r="AC99" i="1" s="1"/>
  <c r="AJ90" i="12"/>
  <c r="D61" i="6"/>
  <c r="AA107" i="1" s="1"/>
  <c r="Y97" i="12"/>
  <c r="AL97" i="12" s="1"/>
  <c r="X107" i="1"/>
  <c r="G131" i="7"/>
  <c r="G193" i="7" s="1"/>
  <c r="I177" i="7"/>
  <c r="E298" i="12" s="1"/>
  <c r="D131" i="7"/>
  <c r="F131" i="7"/>
  <c r="F193" i="7" s="1"/>
  <c r="H74" i="7"/>
  <c r="H173" i="7" s="1"/>
  <c r="F49" i="5"/>
  <c r="E91" i="12" s="1"/>
  <c r="O264" i="1"/>
  <c r="E116" i="7"/>
  <c r="E177" i="7" s="1"/>
  <c r="E134" i="12" s="1"/>
  <c r="I180" i="7"/>
  <c r="D116" i="7"/>
  <c r="D177" i="7" s="1"/>
  <c r="F74" i="7"/>
  <c r="F173" i="7" s="1"/>
  <c r="H178" i="7"/>
  <c r="H180" i="7"/>
  <c r="H177" i="7"/>
  <c r="G74" i="7"/>
  <c r="G172" i="7" s="1"/>
  <c r="E215" i="12" s="1"/>
  <c r="G89" i="7"/>
  <c r="D85" i="7"/>
  <c r="E85" i="7"/>
  <c r="H85" i="7"/>
  <c r="C87" i="7"/>
  <c r="C85" i="7"/>
  <c r="G116" i="7"/>
  <c r="G177" i="7" s="1"/>
  <c r="F85" i="7"/>
  <c r="F116" i="7"/>
  <c r="E88" i="7"/>
  <c r="D87" i="7"/>
  <c r="F87" i="7"/>
  <c r="H87" i="7"/>
  <c r="G87" i="7"/>
  <c r="E74" i="7"/>
  <c r="E172" i="7" s="1"/>
  <c r="E133" i="12" s="1"/>
  <c r="E86" i="7"/>
  <c r="D74" i="7"/>
  <c r="D173" i="7" s="1"/>
  <c r="F86" i="7"/>
  <c r="G86" i="7"/>
  <c r="H86" i="7"/>
  <c r="E35" i="6"/>
  <c r="E38" i="6"/>
  <c r="E37" i="6"/>
  <c r="E39" i="6"/>
  <c r="I193" i="7"/>
  <c r="F88" i="7"/>
  <c r="I173" i="7"/>
  <c r="I174" i="7"/>
  <c r="I172" i="7"/>
  <c r="E297" i="12" s="1"/>
  <c r="G59" i="5"/>
  <c r="G33" i="5"/>
  <c r="G60" i="5" s="1"/>
  <c r="G41" i="5"/>
  <c r="G49" i="5" s="1"/>
  <c r="E132" i="12" s="1"/>
  <c r="G42" i="5"/>
  <c r="G50" i="5" s="1"/>
  <c r="O132" i="12" s="1"/>
  <c r="C88" i="7"/>
  <c r="H89" i="7"/>
  <c r="D35" i="6"/>
  <c r="D38" i="6"/>
  <c r="D39" i="6"/>
  <c r="D37" i="6"/>
  <c r="F69" i="5"/>
  <c r="F77" i="5" s="1"/>
  <c r="F68" i="5"/>
  <c r="F76" i="5" s="1"/>
  <c r="G187" i="7"/>
  <c r="Y215" i="12" s="1"/>
  <c r="X167" i="1"/>
  <c r="E193" i="7"/>
  <c r="D89" i="7"/>
  <c r="I90" i="7"/>
  <c r="H192" i="7"/>
  <c r="Y257" i="12" s="1"/>
  <c r="X200" i="1"/>
  <c r="D88" i="7"/>
  <c r="C89" i="7"/>
  <c r="F50" i="5"/>
  <c r="O91" i="12" s="1"/>
  <c r="G88" i="7"/>
  <c r="E89" i="7"/>
  <c r="C86" i="7"/>
  <c r="AC90" i="12" l="1"/>
  <c r="AD90" i="12"/>
  <c r="AF90" i="12"/>
  <c r="AE90" i="12"/>
  <c r="AH90" i="12"/>
  <c r="AG90" i="12"/>
  <c r="Y131" i="12"/>
  <c r="AL131" i="12" s="1"/>
  <c r="AA101" i="1"/>
  <c r="AE101" i="1" s="1"/>
  <c r="AD216" i="12"/>
  <c r="AC216" i="12"/>
  <c r="AF216" i="12"/>
  <c r="AG216" i="12"/>
  <c r="AH216" i="12"/>
  <c r="AE216" i="12"/>
  <c r="AH175" i="12"/>
  <c r="AG175" i="12"/>
  <c r="AF175" i="12"/>
  <c r="AE175" i="12"/>
  <c r="AD175" i="12"/>
  <c r="AC175" i="12"/>
  <c r="AH134" i="12"/>
  <c r="AG134" i="12"/>
  <c r="AF134" i="12"/>
  <c r="AE134" i="12"/>
  <c r="AD134" i="12"/>
  <c r="AC134" i="12"/>
  <c r="AD298" i="12"/>
  <c r="AC298" i="12"/>
  <c r="AH298" i="12"/>
  <c r="AE298" i="12"/>
  <c r="AG298" i="12"/>
  <c r="AF298" i="12"/>
  <c r="AH257" i="12"/>
  <c r="AG257" i="12"/>
  <c r="AF257" i="12"/>
  <c r="AE257" i="12"/>
  <c r="AD257" i="12"/>
  <c r="AC257" i="12"/>
  <c r="I92" i="12"/>
  <c r="J92" i="12"/>
  <c r="K92" i="12"/>
  <c r="L92" i="12"/>
  <c r="M92" i="12"/>
  <c r="N92" i="12"/>
  <c r="Y138" i="12"/>
  <c r="AL138" i="12" s="1"/>
  <c r="AJ131" i="12"/>
  <c r="AI90" i="12"/>
  <c r="X139" i="1"/>
  <c r="AE139" i="1" s="1"/>
  <c r="AB133" i="1"/>
  <c r="AE133" i="1" s="1"/>
  <c r="Y90" i="12"/>
  <c r="E264" i="1"/>
  <c r="AE107" i="1"/>
  <c r="H48" i="6"/>
  <c r="H29" i="6"/>
  <c r="H49" i="6" s="1"/>
  <c r="AJ129" i="12"/>
  <c r="AJ119" i="12" s="1"/>
  <c r="AJ137" i="12"/>
  <c r="AJ139" i="12" s="1"/>
  <c r="AJ96" i="12"/>
  <c r="AJ98" i="12" s="1"/>
  <c r="AJ88" i="12"/>
  <c r="AJ78" i="12" s="1"/>
  <c r="F47" i="6"/>
  <c r="F52" i="6" s="1"/>
  <c r="F32" i="6"/>
  <c r="G45" i="6"/>
  <c r="G27" i="6"/>
  <c r="H174" i="7"/>
  <c r="P234" i="1" s="1"/>
  <c r="H172" i="7"/>
  <c r="E256" i="12" s="1"/>
  <c r="E178" i="7"/>
  <c r="E180" i="7"/>
  <c r="O134" i="12" s="1"/>
  <c r="D178" i="7"/>
  <c r="E102" i="1"/>
  <c r="D172" i="7"/>
  <c r="E103" i="1" s="1"/>
  <c r="D174" i="7"/>
  <c r="O92" i="12" s="1"/>
  <c r="F172" i="7"/>
  <c r="E174" i="12" s="1"/>
  <c r="F174" i="7"/>
  <c r="P167" i="1" s="1"/>
  <c r="AB102" i="1"/>
  <c r="AL91" i="12"/>
  <c r="P134" i="1"/>
  <c r="R132" i="12"/>
  <c r="R91" i="12"/>
  <c r="P102" i="1"/>
  <c r="P235" i="1"/>
  <c r="O257" i="12"/>
  <c r="O103" i="1"/>
  <c r="E200" i="1"/>
  <c r="E216" i="12"/>
  <c r="O167" i="1"/>
  <c r="N174" i="12"/>
  <c r="M174" i="12"/>
  <c r="L174" i="12"/>
  <c r="K174" i="12"/>
  <c r="J174" i="12"/>
  <c r="I174" i="12"/>
  <c r="AA200" i="1"/>
  <c r="G180" i="7"/>
  <c r="E93" i="12"/>
  <c r="E104" i="1"/>
  <c r="P264" i="1"/>
  <c r="O298" i="12"/>
  <c r="P263" i="1"/>
  <c r="O297" i="12"/>
  <c r="O263" i="1"/>
  <c r="J297" i="12"/>
  <c r="I297" i="12"/>
  <c r="K297" i="12"/>
  <c r="N297" i="12"/>
  <c r="M297" i="12"/>
  <c r="L297" i="12"/>
  <c r="G173" i="7"/>
  <c r="O235" i="1"/>
  <c r="AA235" i="1"/>
  <c r="O234" i="1"/>
  <c r="K256" i="12"/>
  <c r="J256" i="12"/>
  <c r="I256" i="12"/>
  <c r="L256" i="12"/>
  <c r="N256" i="12"/>
  <c r="M256" i="12"/>
  <c r="E257" i="12"/>
  <c r="Q133" i="1"/>
  <c r="Q138" i="1" s="1"/>
  <c r="Q140" i="1" s="1"/>
  <c r="Q132" i="1" s="1"/>
  <c r="Q127" i="1" s="1"/>
  <c r="Q131" i="1" s="1"/>
  <c r="P131" i="12"/>
  <c r="O133" i="1"/>
  <c r="E133" i="1"/>
  <c r="E131" i="12"/>
  <c r="E139" i="1"/>
  <c r="S139" i="1" s="1"/>
  <c r="E138" i="12"/>
  <c r="R138" i="12" s="1"/>
  <c r="O101" i="1"/>
  <c r="P90" i="12"/>
  <c r="Q101" i="1"/>
  <c r="Q106" i="1" s="1"/>
  <c r="Q108" i="1" s="1"/>
  <c r="Q100" i="1" s="1"/>
  <c r="Q95" i="1" s="1"/>
  <c r="Q99" i="1" s="1"/>
  <c r="E90" i="12"/>
  <c r="E101" i="1"/>
  <c r="E97" i="12"/>
  <c r="R97" i="12" s="1"/>
  <c r="E107" i="1"/>
  <c r="S107" i="1" s="1"/>
  <c r="E235" i="1"/>
  <c r="D180" i="7"/>
  <c r="E90" i="7"/>
  <c r="E188" i="7" s="1"/>
  <c r="G174" i="7"/>
  <c r="G178" i="7"/>
  <c r="E173" i="7"/>
  <c r="F90" i="7"/>
  <c r="F188" i="7" s="1"/>
  <c r="F178" i="7"/>
  <c r="F180" i="7"/>
  <c r="F177" i="7"/>
  <c r="E175" i="12" s="1"/>
  <c r="D90" i="7"/>
  <c r="D188" i="7" s="1"/>
  <c r="G194" i="7"/>
  <c r="G90" i="7"/>
  <c r="G188" i="7" s="1"/>
  <c r="E174" i="7"/>
  <c r="H90" i="7"/>
  <c r="H188" i="7" s="1"/>
  <c r="E135" i="1"/>
  <c r="E199" i="1"/>
  <c r="I188" i="7"/>
  <c r="X235" i="1"/>
  <c r="F78" i="5"/>
  <c r="X102" i="1"/>
  <c r="X106" i="1" s="1"/>
  <c r="X108" i="1" s="1"/>
  <c r="D36" i="6"/>
  <c r="AA264" i="1"/>
  <c r="F51" i="5"/>
  <c r="I194" i="7"/>
  <c r="AA168" i="1"/>
  <c r="AA136" i="1"/>
  <c r="E194" i="7"/>
  <c r="G51" i="5"/>
  <c r="E134" i="1"/>
  <c r="F194" i="7"/>
  <c r="H194" i="7"/>
  <c r="E136" i="1"/>
  <c r="H59" i="5"/>
  <c r="H33" i="5"/>
  <c r="H60" i="5" s="1"/>
  <c r="H41" i="5"/>
  <c r="H49" i="5" s="1"/>
  <c r="E173" i="12" s="1"/>
  <c r="H42" i="5"/>
  <c r="H50" i="5" s="1"/>
  <c r="O173" i="12" s="1"/>
  <c r="E36" i="6"/>
  <c r="H187" i="7"/>
  <c r="Y256" i="12" s="1"/>
  <c r="X199" i="1"/>
  <c r="G68" i="5"/>
  <c r="G76" i="5" s="1"/>
  <c r="G69" i="5"/>
  <c r="G77" i="5" s="1"/>
  <c r="E263" i="1"/>
  <c r="AL90" i="12" l="1"/>
  <c r="S264" i="1"/>
  <c r="AD297" i="12"/>
  <c r="AC297" i="12"/>
  <c r="AE297" i="12"/>
  <c r="AF297" i="12"/>
  <c r="AH297" i="12"/>
  <c r="AG297" i="12"/>
  <c r="AH174" i="12"/>
  <c r="AG174" i="12"/>
  <c r="AF174" i="12"/>
  <c r="AE174" i="12"/>
  <c r="AD174" i="12"/>
  <c r="AC174" i="12"/>
  <c r="AD133" i="12"/>
  <c r="AD137" i="12" s="1"/>
  <c r="AD139" i="12" s="1"/>
  <c r="AC133" i="12"/>
  <c r="AC137" i="12" s="1"/>
  <c r="AG133" i="12"/>
  <c r="AG137" i="12" s="1"/>
  <c r="AG139" i="12" s="1"/>
  <c r="AF133" i="12"/>
  <c r="AF137" i="12" s="1"/>
  <c r="AF139" i="12" s="1"/>
  <c r="AH133" i="12"/>
  <c r="AH137" i="12" s="1"/>
  <c r="AH139" i="12" s="1"/>
  <c r="AE133" i="12"/>
  <c r="AE137" i="12" s="1"/>
  <c r="AE139" i="12" s="1"/>
  <c r="AD215" i="12"/>
  <c r="AC215" i="12"/>
  <c r="AG215" i="12"/>
  <c r="AE215" i="12"/>
  <c r="AH215" i="12"/>
  <c r="AF215" i="12"/>
  <c r="AH256" i="12"/>
  <c r="AG256" i="12"/>
  <c r="AF256" i="12"/>
  <c r="AE256" i="12"/>
  <c r="AD256" i="12"/>
  <c r="AC256" i="12"/>
  <c r="AH92" i="12"/>
  <c r="AG92" i="12"/>
  <c r="AF92" i="12"/>
  <c r="AE92" i="12"/>
  <c r="AD92" i="12"/>
  <c r="AC92" i="12"/>
  <c r="Y96" i="12"/>
  <c r="Y98" i="12" s="1"/>
  <c r="O256" i="12"/>
  <c r="E234" i="1"/>
  <c r="P136" i="1"/>
  <c r="I48" i="6"/>
  <c r="I29" i="6"/>
  <c r="I49" i="6" s="1"/>
  <c r="G47" i="6"/>
  <c r="G52" i="6" s="1"/>
  <c r="G32" i="6"/>
  <c r="H45" i="6"/>
  <c r="H27" i="6"/>
  <c r="F37" i="6"/>
  <c r="F35" i="6"/>
  <c r="F38" i="6"/>
  <c r="F39" i="6"/>
  <c r="F56" i="6"/>
  <c r="F59" i="6"/>
  <c r="F62" i="6"/>
  <c r="F57" i="6"/>
  <c r="F63" i="6"/>
  <c r="AJ87" i="12"/>
  <c r="AE78" i="12"/>
  <c r="AF78" i="12"/>
  <c r="AD78" i="12"/>
  <c r="AG78" i="12"/>
  <c r="AG88" i="12" s="1"/>
  <c r="AH78" i="12"/>
  <c r="AC78" i="12"/>
  <c r="AH119" i="12"/>
  <c r="AC119" i="12"/>
  <c r="AE119" i="12"/>
  <c r="AF119" i="12"/>
  <c r="AD119" i="12"/>
  <c r="AJ128" i="12"/>
  <c r="AG119" i="12"/>
  <c r="AG129" i="12" s="1"/>
  <c r="N96" i="12"/>
  <c r="N98" i="12" s="1"/>
  <c r="I96" i="12"/>
  <c r="I98" i="12" s="1"/>
  <c r="O104" i="1"/>
  <c r="O106" i="1" s="1"/>
  <c r="O108" i="1" s="1"/>
  <c r="O136" i="1"/>
  <c r="R134" i="12"/>
  <c r="J96" i="12"/>
  <c r="J98" i="12" s="1"/>
  <c r="E92" i="12"/>
  <c r="E96" i="12" s="1"/>
  <c r="K96" i="12"/>
  <c r="K98" i="12" s="1"/>
  <c r="P103" i="1"/>
  <c r="S103" i="1" s="1"/>
  <c r="S235" i="1"/>
  <c r="E167" i="1"/>
  <c r="S167" i="1" s="1"/>
  <c r="O174" i="12"/>
  <c r="R174" i="12" s="1"/>
  <c r="S234" i="1"/>
  <c r="S263" i="1"/>
  <c r="E189" i="7"/>
  <c r="D189" i="7"/>
  <c r="AI92" i="12" s="1"/>
  <c r="I189" i="7"/>
  <c r="AA199" i="1"/>
  <c r="M96" i="12"/>
  <c r="M98" i="12" s="1"/>
  <c r="P166" i="1"/>
  <c r="R173" i="12"/>
  <c r="AB134" i="1"/>
  <c r="AL132" i="12"/>
  <c r="Y137" i="12"/>
  <c r="Y139" i="12" s="1"/>
  <c r="AB136" i="1"/>
  <c r="AE136" i="1" s="1"/>
  <c r="AI134" i="12"/>
  <c r="P135" i="1"/>
  <c r="O133" i="12"/>
  <c r="O200" i="1"/>
  <c r="P200" i="1"/>
  <c r="O216" i="12"/>
  <c r="AB200" i="1"/>
  <c r="AF200" i="1" s="1"/>
  <c r="AI216" i="12"/>
  <c r="AL216" i="12" s="1"/>
  <c r="R256" i="12"/>
  <c r="R297" i="12"/>
  <c r="AB264" i="1"/>
  <c r="AE264" i="1" s="1"/>
  <c r="AI298" i="12"/>
  <c r="O199" i="1"/>
  <c r="N215" i="12"/>
  <c r="L215" i="12"/>
  <c r="K215" i="12"/>
  <c r="M215" i="12"/>
  <c r="J215" i="12"/>
  <c r="I215" i="12"/>
  <c r="L96" i="12"/>
  <c r="L98" i="12" s="1"/>
  <c r="O93" i="12"/>
  <c r="P104" i="1"/>
  <c r="S136" i="1"/>
  <c r="P168" i="1"/>
  <c r="O175" i="12"/>
  <c r="R298" i="12"/>
  <c r="O168" i="1"/>
  <c r="P199" i="1"/>
  <c r="O215" i="12"/>
  <c r="AB235" i="1"/>
  <c r="AE235" i="1" s="1"/>
  <c r="AI257" i="12"/>
  <c r="AB168" i="1"/>
  <c r="AE168" i="1" s="1"/>
  <c r="AI175" i="12"/>
  <c r="O135" i="1"/>
  <c r="O138" i="1" s="1"/>
  <c r="O140" i="1" s="1"/>
  <c r="J133" i="12"/>
  <c r="I133" i="12"/>
  <c r="L133" i="12"/>
  <c r="K133" i="12"/>
  <c r="K137" i="12" s="1"/>
  <c r="K139" i="12" s="1"/>
  <c r="N133" i="12"/>
  <c r="N137" i="12" s="1"/>
  <c r="N139" i="12" s="1"/>
  <c r="M133" i="12"/>
  <c r="M137" i="12" s="1"/>
  <c r="M139" i="12" s="1"/>
  <c r="R257" i="12"/>
  <c r="E137" i="12"/>
  <c r="P133" i="1"/>
  <c r="S133" i="1" s="1"/>
  <c r="O131" i="12"/>
  <c r="R131" i="12" s="1"/>
  <c r="P129" i="12"/>
  <c r="P119" i="12" s="1"/>
  <c r="P137" i="12"/>
  <c r="P139" i="12" s="1"/>
  <c r="P88" i="12"/>
  <c r="P78" i="12" s="1"/>
  <c r="I78" i="12" s="1"/>
  <c r="P96" i="12"/>
  <c r="P98" i="12" s="1"/>
  <c r="O90" i="12"/>
  <c r="P101" i="1"/>
  <c r="AA234" i="1"/>
  <c r="E168" i="1"/>
  <c r="E138" i="1"/>
  <c r="E140" i="1" s="1"/>
  <c r="G52" i="5"/>
  <c r="S134" i="1"/>
  <c r="I59" i="5"/>
  <c r="I33" i="5"/>
  <c r="I60" i="5" s="1"/>
  <c r="I42" i="5"/>
  <c r="I50" i="5" s="1"/>
  <c r="O214" i="12" s="1"/>
  <c r="I41" i="5"/>
  <c r="I49" i="5" s="1"/>
  <c r="E214" i="12" s="1"/>
  <c r="AA167" i="1"/>
  <c r="E106" i="1"/>
  <c r="E108" i="1" s="1"/>
  <c r="T108" i="1" s="1"/>
  <c r="X234" i="1"/>
  <c r="H68" i="5"/>
  <c r="H76" i="5" s="1"/>
  <c r="H69" i="5"/>
  <c r="H77" i="5" s="1"/>
  <c r="F52" i="5"/>
  <c r="S102" i="1"/>
  <c r="F189" i="7"/>
  <c r="AE102" i="1"/>
  <c r="F79" i="5"/>
  <c r="H189" i="7"/>
  <c r="G78" i="5"/>
  <c r="X134" i="1"/>
  <c r="X138" i="1" s="1"/>
  <c r="X140" i="1" s="1"/>
  <c r="G189" i="7"/>
  <c r="AI215" i="12" s="1"/>
  <c r="H51" i="5"/>
  <c r="E166" i="1"/>
  <c r="AA263" i="1"/>
  <c r="AA135" i="1"/>
  <c r="AA103" i="1"/>
  <c r="AC172" i="12" l="1"/>
  <c r="AF172" i="12"/>
  <c r="AE172" i="12"/>
  <c r="AH172" i="12"/>
  <c r="AG172" i="12"/>
  <c r="AG178" i="12" s="1"/>
  <c r="AG180" i="12" s="1"/>
  <c r="AD172" i="12"/>
  <c r="AD178" i="12" s="1"/>
  <c r="AD180" i="12" s="1"/>
  <c r="J137" i="12"/>
  <c r="J139" i="12" s="1"/>
  <c r="L137" i="12"/>
  <c r="L139" i="12" s="1"/>
  <c r="S104" i="1"/>
  <c r="E165" i="1"/>
  <c r="E170" i="1" s="1"/>
  <c r="E172" i="12"/>
  <c r="E178" i="12" s="1"/>
  <c r="F36" i="6"/>
  <c r="E171" i="1"/>
  <c r="S171" i="1" s="1"/>
  <c r="E179" i="12"/>
  <c r="R179" i="12" s="1"/>
  <c r="H32" i="6"/>
  <c r="H47" i="6"/>
  <c r="H52" i="6" s="1"/>
  <c r="AJ172" i="12"/>
  <c r="AC165" i="1"/>
  <c r="AC170" i="1" s="1"/>
  <c r="AC172" i="1" s="1"/>
  <c r="AC164" i="1" s="1"/>
  <c r="AC159" i="1" s="1"/>
  <c r="AC163" i="1" s="1"/>
  <c r="AI172" i="12"/>
  <c r="AB165" i="1"/>
  <c r="I45" i="6"/>
  <c r="I27" i="6"/>
  <c r="AH178" i="12"/>
  <c r="AH180" i="12" s="1"/>
  <c r="AF178" i="12"/>
  <c r="AF180" i="12" s="1"/>
  <c r="AA165" i="1"/>
  <c r="AA170" i="1" s="1"/>
  <c r="AC178" i="12"/>
  <c r="AC180" i="12" s="1"/>
  <c r="AE178" i="12"/>
  <c r="AE180" i="12" s="1"/>
  <c r="O165" i="1"/>
  <c r="O170" i="1" s="1"/>
  <c r="O172" i="1" s="1"/>
  <c r="N178" i="12"/>
  <c r="N180" i="12" s="1"/>
  <c r="M178" i="12"/>
  <c r="M180" i="12" s="1"/>
  <c r="L178" i="12"/>
  <c r="L180" i="12" s="1"/>
  <c r="K178" i="12"/>
  <c r="K180" i="12" s="1"/>
  <c r="J178" i="12"/>
  <c r="J180" i="12" s="1"/>
  <c r="I178" i="12"/>
  <c r="I180" i="12" s="1"/>
  <c r="F61" i="6"/>
  <c r="AA171" i="1" s="1"/>
  <c r="X171" i="1"/>
  <c r="Y179" i="12"/>
  <c r="AL179" i="12" s="1"/>
  <c r="X165" i="1"/>
  <c r="Y172" i="12"/>
  <c r="Y178" i="12" s="1"/>
  <c r="G35" i="6"/>
  <c r="G37" i="6"/>
  <c r="G38" i="6"/>
  <c r="G39" i="6"/>
  <c r="G56" i="6"/>
  <c r="G63" i="6"/>
  <c r="G59" i="6"/>
  <c r="G62" i="6"/>
  <c r="G57" i="6"/>
  <c r="P172" i="12"/>
  <c r="Q165" i="1"/>
  <c r="Q170" i="1" s="1"/>
  <c r="Q172" i="1" s="1"/>
  <c r="Q164" i="1" s="1"/>
  <c r="Q159" i="1" s="1"/>
  <c r="Q163" i="1" s="1"/>
  <c r="R92" i="12"/>
  <c r="R93" i="12"/>
  <c r="S199" i="1"/>
  <c r="S135" i="1"/>
  <c r="S138" i="1" s="1"/>
  <c r="S140" i="1" s="1"/>
  <c r="S200" i="1"/>
  <c r="P106" i="1"/>
  <c r="P108" i="1" s="1"/>
  <c r="P100" i="1" s="1"/>
  <c r="P95" i="1" s="1"/>
  <c r="P138" i="1"/>
  <c r="P140" i="1" s="1"/>
  <c r="P132" i="1" s="1"/>
  <c r="P127" i="1" s="1"/>
  <c r="C127" i="1" s="1"/>
  <c r="C132" i="1" s="1"/>
  <c r="AE200" i="1"/>
  <c r="S101" i="1"/>
  <c r="S106" i="1" s="1"/>
  <c r="S108" i="1" s="1"/>
  <c r="P128" i="12"/>
  <c r="J119" i="12"/>
  <c r="L119" i="12"/>
  <c r="N119" i="12"/>
  <c r="I119" i="12"/>
  <c r="K119" i="12"/>
  <c r="M119" i="12"/>
  <c r="M129" i="12" s="1"/>
  <c r="P87" i="12"/>
  <c r="K78" i="12"/>
  <c r="L78" i="12"/>
  <c r="M78" i="12"/>
  <c r="M88" i="12" s="1"/>
  <c r="N78" i="12"/>
  <c r="J78" i="12"/>
  <c r="R216" i="12"/>
  <c r="R175" i="12"/>
  <c r="AL215" i="12"/>
  <c r="AB234" i="1"/>
  <c r="AE234" i="1" s="1"/>
  <c r="AI256" i="12"/>
  <c r="AL256" i="12" s="1"/>
  <c r="AB167" i="1"/>
  <c r="AE167" i="1" s="1"/>
  <c r="AI174" i="12"/>
  <c r="AL174" i="12" s="1"/>
  <c r="AB263" i="1"/>
  <c r="AE263" i="1" s="1"/>
  <c r="AI297" i="12"/>
  <c r="AL297" i="12" s="1"/>
  <c r="AB103" i="1"/>
  <c r="AB135" i="1"/>
  <c r="AB138" i="1" s="1"/>
  <c r="AB140" i="1" s="1"/>
  <c r="AB132" i="1" s="1"/>
  <c r="AB127" i="1" s="1"/>
  <c r="AI133" i="12"/>
  <c r="AI137" i="12" s="1"/>
  <c r="R215" i="12"/>
  <c r="R133" i="12"/>
  <c r="O137" i="12"/>
  <c r="O139" i="12" s="1"/>
  <c r="O129" i="12" s="1"/>
  <c r="P198" i="1"/>
  <c r="AB166" i="1"/>
  <c r="AL298" i="12"/>
  <c r="I137" i="12"/>
  <c r="I139" i="12" s="1"/>
  <c r="O96" i="12"/>
  <c r="O98" i="12" s="1"/>
  <c r="O88" i="12" s="1"/>
  <c r="S168" i="1"/>
  <c r="AC139" i="12"/>
  <c r="AL175" i="12"/>
  <c r="AL257" i="12"/>
  <c r="AL134" i="12"/>
  <c r="E139" i="12"/>
  <c r="E98" i="12"/>
  <c r="R90" i="12"/>
  <c r="I51" i="5"/>
  <c r="E198" i="1"/>
  <c r="J59" i="5"/>
  <c r="J33" i="5"/>
  <c r="J60" i="5" s="1"/>
  <c r="J41" i="5"/>
  <c r="J49" i="5" s="1"/>
  <c r="E255" i="12" s="1"/>
  <c r="J42" i="5"/>
  <c r="J50" i="5" s="1"/>
  <c r="O255" i="12" s="1"/>
  <c r="AA138" i="1"/>
  <c r="AA140" i="1" s="1"/>
  <c r="H52" i="5"/>
  <c r="S166" i="1"/>
  <c r="I68" i="5"/>
  <c r="I76" i="5" s="1"/>
  <c r="I69" i="5"/>
  <c r="I77" i="5" s="1"/>
  <c r="G79" i="5"/>
  <c r="AE134" i="1"/>
  <c r="AB199" i="1"/>
  <c r="X166" i="1"/>
  <c r="H78" i="5"/>
  <c r="AH213" i="12" l="1"/>
  <c r="AG213" i="12"/>
  <c r="AF213" i="12"/>
  <c r="AF219" i="12" s="1"/>
  <c r="AF221" i="12" s="1"/>
  <c r="AE213" i="12"/>
  <c r="AD213" i="12"/>
  <c r="AD219" i="12" s="1"/>
  <c r="AD221" i="12" s="1"/>
  <c r="AC213" i="12"/>
  <c r="AC219" i="12" s="1"/>
  <c r="AC221" i="12" s="1"/>
  <c r="O77" i="12"/>
  <c r="O87" i="12" s="1"/>
  <c r="D29" i="4"/>
  <c r="O118" i="12"/>
  <c r="O127" i="12" s="1"/>
  <c r="R127" i="12" s="1"/>
  <c r="E29" i="4"/>
  <c r="E172" i="1"/>
  <c r="Y180" i="12"/>
  <c r="AA172" i="1"/>
  <c r="E180" i="12"/>
  <c r="X170" i="1"/>
  <c r="X172" i="1" s="1"/>
  <c r="Q197" i="1"/>
  <c r="Q202" i="1" s="1"/>
  <c r="Q204" i="1" s="1"/>
  <c r="Q196" i="1" s="1"/>
  <c r="Q191" i="1" s="1"/>
  <c r="Q195" i="1" s="1"/>
  <c r="P213" i="12"/>
  <c r="N219" i="12"/>
  <c r="N221" i="12" s="1"/>
  <c r="I219" i="12"/>
  <c r="I221" i="12" s="1"/>
  <c r="M219" i="12"/>
  <c r="M221" i="12" s="1"/>
  <c r="L219" i="12"/>
  <c r="L221" i="12" s="1"/>
  <c r="K219" i="12"/>
  <c r="K221" i="12" s="1"/>
  <c r="J219" i="12"/>
  <c r="J221" i="12" s="1"/>
  <c r="E220" i="12"/>
  <c r="E203" i="1"/>
  <c r="S203" i="1" s="1"/>
  <c r="AG219" i="12"/>
  <c r="AG221" i="12" s="1"/>
  <c r="AH219" i="12"/>
  <c r="AH221" i="12" s="1"/>
  <c r="AE219" i="12"/>
  <c r="AE221" i="12" s="1"/>
  <c r="AA197" i="1"/>
  <c r="AA202" i="1" s="1"/>
  <c r="G36" i="6"/>
  <c r="E197" i="1"/>
  <c r="E202" i="1" s="1"/>
  <c r="E213" i="12"/>
  <c r="Y220" i="12"/>
  <c r="AL220" i="12" s="1"/>
  <c r="X203" i="1"/>
  <c r="G61" i="6"/>
  <c r="AA203" i="1" s="1"/>
  <c r="AL172" i="12"/>
  <c r="AJ178" i="12"/>
  <c r="AJ180" i="12" s="1"/>
  <c r="AJ170" i="12"/>
  <c r="AJ160" i="12" s="1"/>
  <c r="AC197" i="1"/>
  <c r="AC202" i="1" s="1"/>
  <c r="AC204" i="1" s="1"/>
  <c r="AC196" i="1" s="1"/>
  <c r="AC191" i="1" s="1"/>
  <c r="AC195" i="1" s="1"/>
  <c r="AJ213" i="12"/>
  <c r="AE165" i="1"/>
  <c r="P165" i="1"/>
  <c r="O172" i="12"/>
  <c r="AE171" i="1"/>
  <c r="P170" i="12"/>
  <c r="P160" i="12" s="1"/>
  <c r="P178" i="12"/>
  <c r="P180" i="12" s="1"/>
  <c r="H56" i="6"/>
  <c r="H59" i="6"/>
  <c r="H57" i="6"/>
  <c r="H63" i="6"/>
  <c r="H62" i="6"/>
  <c r="AB197" i="1"/>
  <c r="AI213" i="12"/>
  <c r="Y213" i="12"/>
  <c r="Y219" i="12" s="1"/>
  <c r="X197" i="1"/>
  <c r="P98" i="1"/>
  <c r="S98" i="1" s="1"/>
  <c r="I47" i="6"/>
  <c r="I52" i="6" s="1"/>
  <c r="I32" i="6"/>
  <c r="H38" i="6"/>
  <c r="H37" i="6"/>
  <c r="H39" i="6"/>
  <c r="H35" i="6"/>
  <c r="H36" i="6" s="1"/>
  <c r="P99" i="1"/>
  <c r="S99" i="1" s="1"/>
  <c r="C95" i="1"/>
  <c r="C100" i="1" s="1"/>
  <c r="P131" i="1"/>
  <c r="S131" i="1" s="1"/>
  <c r="T140" i="1"/>
  <c r="O127" i="1"/>
  <c r="O132" i="1" s="1"/>
  <c r="I95" i="1"/>
  <c r="P130" i="1"/>
  <c r="S130" i="1" s="1"/>
  <c r="M95" i="1"/>
  <c r="J95" i="1"/>
  <c r="K95" i="1"/>
  <c r="H95" i="1"/>
  <c r="O95" i="1"/>
  <c r="AE135" i="1"/>
  <c r="AE138" i="1" s="1"/>
  <c r="AE140" i="1" s="1"/>
  <c r="AE103" i="1"/>
  <c r="R214" i="12"/>
  <c r="R137" i="12"/>
  <c r="R139" i="12"/>
  <c r="V127" i="1"/>
  <c r="V132" i="1" s="1"/>
  <c r="AB130" i="1"/>
  <c r="AE130" i="1" s="1"/>
  <c r="AB131" i="1"/>
  <c r="AE131" i="1" s="1"/>
  <c r="AI139" i="12"/>
  <c r="AI129" i="12" s="1"/>
  <c r="AI118" i="12" s="1"/>
  <c r="AL137" i="12"/>
  <c r="AF140" i="1"/>
  <c r="AL133" i="12"/>
  <c r="AI178" i="12"/>
  <c r="AI180" i="12" s="1"/>
  <c r="AI170" i="12" s="1"/>
  <c r="AI159" i="12" s="1"/>
  <c r="AB170" i="1"/>
  <c r="AB172" i="1" s="1"/>
  <c r="AB164" i="1" s="1"/>
  <c r="AB159" i="1" s="1"/>
  <c r="AB163" i="1" s="1"/>
  <c r="AE163" i="1" s="1"/>
  <c r="AL92" i="12"/>
  <c r="R96" i="12"/>
  <c r="R98" i="12"/>
  <c r="AL173" i="12"/>
  <c r="AB198" i="1"/>
  <c r="P233" i="1"/>
  <c r="J51" i="5"/>
  <c r="E233" i="1"/>
  <c r="I78" i="5"/>
  <c r="X198" i="1"/>
  <c r="K59" i="5"/>
  <c r="K33" i="5"/>
  <c r="K60" i="5" s="1"/>
  <c r="K41" i="5"/>
  <c r="K49" i="5" s="1"/>
  <c r="E296" i="12" s="1"/>
  <c r="K42" i="5"/>
  <c r="K50" i="5" s="1"/>
  <c r="O296" i="12" s="1"/>
  <c r="J68" i="5"/>
  <c r="J76" i="5" s="1"/>
  <c r="J69" i="5"/>
  <c r="J77" i="5" s="1"/>
  <c r="S198" i="1"/>
  <c r="I52" i="5"/>
  <c r="AF199" i="1"/>
  <c r="AE199" i="1"/>
  <c r="H79" i="5"/>
  <c r="AE166" i="1"/>
  <c r="O86" i="12" l="1"/>
  <c r="R86" i="12" s="1"/>
  <c r="AC254" i="12"/>
  <c r="AH254" i="12"/>
  <c r="AG254" i="12"/>
  <c r="AF254" i="12"/>
  <c r="AE254" i="12"/>
  <c r="AD254" i="12"/>
  <c r="N77" i="12"/>
  <c r="C77" i="12"/>
  <c r="L77" i="12"/>
  <c r="K77" i="12"/>
  <c r="J77" i="12"/>
  <c r="J88" i="12" s="1"/>
  <c r="J74" i="12" s="1"/>
  <c r="J68" i="12" s="1"/>
  <c r="I77" i="12"/>
  <c r="I88" i="12" s="1"/>
  <c r="I74" i="12" s="1"/>
  <c r="I69" i="12" s="1"/>
  <c r="F50" i="4"/>
  <c r="AD159" i="12"/>
  <c r="W159" i="12"/>
  <c r="W170" i="12" s="1"/>
  <c r="AE159" i="12"/>
  <c r="AH159" i="12"/>
  <c r="AF159" i="12"/>
  <c r="AF170" i="12" s="1"/>
  <c r="AF156" i="12" s="1"/>
  <c r="AF150" i="12" s="1"/>
  <c r="O128" i="12"/>
  <c r="R128" i="12" s="1"/>
  <c r="E50" i="4"/>
  <c r="AH118" i="12"/>
  <c r="AH129" i="12" s="1"/>
  <c r="AH115" i="12" s="1"/>
  <c r="AH109" i="12" s="1"/>
  <c r="W118" i="12"/>
  <c r="W129" i="12" s="1"/>
  <c r="AF118" i="12"/>
  <c r="AF129" i="12" s="1"/>
  <c r="AF115" i="12" s="1"/>
  <c r="AF109" i="12" s="1"/>
  <c r="AE118" i="12"/>
  <c r="AE129" i="12" s="1"/>
  <c r="AE115" i="12" s="1"/>
  <c r="AD118" i="12"/>
  <c r="AD129" i="12" s="1"/>
  <c r="I118" i="12"/>
  <c r="I129" i="12" s="1"/>
  <c r="I115" i="12" s="1"/>
  <c r="I110" i="12" s="1"/>
  <c r="C118" i="12"/>
  <c r="C129" i="12" s="1"/>
  <c r="N118" i="12"/>
  <c r="N129" i="12" s="1"/>
  <c r="N115" i="12" s="1"/>
  <c r="N109" i="12" s="1"/>
  <c r="L118" i="12"/>
  <c r="L129" i="12" s="1"/>
  <c r="L115" i="12" s="1"/>
  <c r="L109" i="12" s="1"/>
  <c r="K118" i="12"/>
  <c r="K129" i="12" s="1"/>
  <c r="K115" i="12" s="1"/>
  <c r="K110" i="12" s="1"/>
  <c r="J118" i="12"/>
  <c r="J129" i="12" s="1"/>
  <c r="J115" i="12" s="1"/>
  <c r="J109" i="12" s="1"/>
  <c r="N88" i="12"/>
  <c r="N74" i="12" s="1"/>
  <c r="N68" i="12" s="1"/>
  <c r="C88" i="12"/>
  <c r="E34" i="4"/>
  <c r="E40" i="4"/>
  <c r="G127" i="1" s="1"/>
  <c r="G132" i="1" s="1"/>
  <c r="D40" i="4"/>
  <c r="D34" i="4"/>
  <c r="AB202" i="1"/>
  <c r="AB204" i="1" s="1"/>
  <c r="AB196" i="1" s="1"/>
  <c r="AB191" i="1" s="1"/>
  <c r="AB195" i="1" s="1"/>
  <c r="AE195" i="1" s="1"/>
  <c r="AI219" i="12"/>
  <c r="AI221" i="12" s="1"/>
  <c r="AI211" i="12" s="1"/>
  <c r="AI200" i="12" s="1"/>
  <c r="AE170" i="1"/>
  <c r="AE172" i="1" s="1"/>
  <c r="E204" i="1"/>
  <c r="AA204" i="1"/>
  <c r="AL213" i="12"/>
  <c r="P232" i="1"/>
  <c r="P237" i="1" s="1"/>
  <c r="P239" i="1" s="1"/>
  <c r="P231" i="1" s="1"/>
  <c r="P226" i="1" s="1"/>
  <c r="O254" i="12"/>
  <c r="O260" i="12" s="1"/>
  <c r="O262" i="12" s="1"/>
  <c r="O252" i="12" s="1"/>
  <c r="I56" i="6"/>
  <c r="I57" i="6"/>
  <c r="I65" i="6" s="1"/>
  <c r="I63" i="6"/>
  <c r="I62" i="6"/>
  <c r="I59" i="6"/>
  <c r="I160" i="12"/>
  <c r="P169" i="12"/>
  <c r="J160" i="12"/>
  <c r="M160" i="12"/>
  <c r="M170" i="12" s="1"/>
  <c r="K160" i="12"/>
  <c r="L160" i="12"/>
  <c r="N160" i="12"/>
  <c r="AF197" i="1"/>
  <c r="AE197" i="1"/>
  <c r="R172" i="12"/>
  <c r="O178" i="12"/>
  <c r="E219" i="12"/>
  <c r="E221" i="12" s="1"/>
  <c r="R220" i="12"/>
  <c r="S165" i="1"/>
  <c r="S170" i="1" s="1"/>
  <c r="S172" i="1" s="1"/>
  <c r="P170" i="1"/>
  <c r="P172" i="1" s="1"/>
  <c r="P197" i="1"/>
  <c r="P202" i="1" s="1"/>
  <c r="P204" i="1" s="1"/>
  <c r="P196" i="1" s="1"/>
  <c r="P191" i="1" s="1"/>
  <c r="O213" i="12"/>
  <c r="O219" i="12" s="1"/>
  <c r="O221" i="12" s="1"/>
  <c r="O211" i="12" s="1"/>
  <c r="AA232" i="1"/>
  <c r="AA237" i="1" s="1"/>
  <c r="AG260" i="12"/>
  <c r="AG262" i="12" s="1"/>
  <c r="AF260" i="12"/>
  <c r="AF262" i="12" s="1"/>
  <c r="AE260" i="12"/>
  <c r="AE262" i="12" s="1"/>
  <c r="AH260" i="12"/>
  <c r="AH262" i="12" s="1"/>
  <c r="AD260" i="12"/>
  <c r="AD262" i="12" s="1"/>
  <c r="AC260" i="12"/>
  <c r="AC262" i="12" s="1"/>
  <c r="AJ219" i="12"/>
  <c r="AJ221" i="12" s="1"/>
  <c r="AJ211" i="12"/>
  <c r="AJ201" i="12" s="1"/>
  <c r="E232" i="1"/>
  <c r="E237" i="1" s="1"/>
  <c r="E254" i="12"/>
  <c r="AC232" i="1"/>
  <c r="AC237" i="1" s="1"/>
  <c r="AC239" i="1" s="1"/>
  <c r="AC231" i="1" s="1"/>
  <c r="AC226" i="1" s="1"/>
  <c r="AC230" i="1" s="1"/>
  <c r="AJ254" i="12"/>
  <c r="P254" i="12"/>
  <c r="Q232" i="1"/>
  <c r="Q237" i="1" s="1"/>
  <c r="Q239" i="1" s="1"/>
  <c r="Q231" i="1" s="1"/>
  <c r="Q226" i="1" s="1"/>
  <c r="Q230" i="1" s="1"/>
  <c r="AI254" i="12"/>
  <c r="AB232" i="1"/>
  <c r="AE160" i="12"/>
  <c r="AG160" i="12"/>
  <c r="AG170" i="12" s="1"/>
  <c r="AJ169" i="12"/>
  <c r="AF160" i="12"/>
  <c r="AH160" i="12"/>
  <c r="AC160" i="12"/>
  <c r="AD160" i="12"/>
  <c r="E238" i="1"/>
  <c r="S238" i="1" s="1"/>
  <c r="E261" i="12"/>
  <c r="R261" i="12" s="1"/>
  <c r="X238" i="1"/>
  <c r="Y261" i="12"/>
  <c r="AL261" i="12" s="1"/>
  <c r="H61" i="6"/>
  <c r="AA238" i="1" s="1"/>
  <c r="O232" i="1"/>
  <c r="O237" i="1" s="1"/>
  <c r="O239" i="1" s="1"/>
  <c r="K260" i="12"/>
  <c r="K262" i="12" s="1"/>
  <c r="O197" i="1"/>
  <c r="O202" i="1" s="1"/>
  <c r="O204" i="1" s="1"/>
  <c r="I260" i="12"/>
  <c r="I262" i="12" s="1"/>
  <c r="N260" i="12"/>
  <c r="N262" i="12" s="1"/>
  <c r="M260" i="12"/>
  <c r="M262" i="12" s="1"/>
  <c r="L260" i="12"/>
  <c r="L262" i="12" s="1"/>
  <c r="J260" i="12"/>
  <c r="J262" i="12" s="1"/>
  <c r="X232" i="1"/>
  <c r="Y254" i="12"/>
  <c r="P211" i="12"/>
  <c r="P201" i="12" s="1"/>
  <c r="P219" i="12"/>
  <c r="P221" i="12" s="1"/>
  <c r="I36" i="6"/>
  <c r="I35" i="6"/>
  <c r="I38" i="6"/>
  <c r="I37" i="6"/>
  <c r="I39" i="6"/>
  <c r="AE203" i="1"/>
  <c r="R87" i="12"/>
  <c r="AL119" i="12"/>
  <c r="R119" i="12"/>
  <c r="AL139" i="12"/>
  <c r="AF172" i="1"/>
  <c r="AL178" i="12"/>
  <c r="AI128" i="12"/>
  <c r="AL128" i="12" s="1"/>
  <c r="AI127" i="12"/>
  <c r="AL127" i="12" s="1"/>
  <c r="AB162" i="1"/>
  <c r="AE162" i="1" s="1"/>
  <c r="V159" i="1"/>
  <c r="V164" i="1" s="1"/>
  <c r="AL214" i="12"/>
  <c r="AL180" i="12"/>
  <c r="Y221" i="12"/>
  <c r="AB233" i="1"/>
  <c r="R255" i="12"/>
  <c r="P262" i="1"/>
  <c r="AI168" i="12"/>
  <c r="AL168" i="12" s="1"/>
  <c r="AI169" i="12"/>
  <c r="AL169" i="12" s="1"/>
  <c r="J78" i="5"/>
  <c r="X233" i="1"/>
  <c r="K51" i="5"/>
  <c r="E262" i="1"/>
  <c r="K68" i="5"/>
  <c r="K76" i="5" s="1"/>
  <c r="K69" i="5"/>
  <c r="K77" i="5" s="1"/>
  <c r="AF198" i="1"/>
  <c r="X202" i="1"/>
  <c r="I79" i="5"/>
  <c r="AE198" i="1"/>
  <c r="J52" i="5"/>
  <c r="S233" i="1"/>
  <c r="H77" i="12" l="1"/>
  <c r="V191" i="1"/>
  <c r="AH295" i="12"/>
  <c r="AH301" i="12" s="1"/>
  <c r="AH303" i="12" s="1"/>
  <c r="AG295" i="12"/>
  <c r="AF295" i="12"/>
  <c r="AE295" i="12"/>
  <c r="AD295" i="12"/>
  <c r="AC295" i="12"/>
  <c r="AC301" i="12" s="1"/>
  <c r="AC303" i="12" s="1"/>
  <c r="AL221" i="12"/>
  <c r="F55" i="4"/>
  <c r="F59" i="4"/>
  <c r="AC159" i="12" s="1"/>
  <c r="F61" i="4"/>
  <c r="Z159" i="1" s="1"/>
  <c r="Z164" i="1" s="1"/>
  <c r="E59" i="4"/>
  <c r="E61" i="4"/>
  <c r="Z127" i="1" s="1"/>
  <c r="Z132" i="1" s="1"/>
  <c r="E55" i="4"/>
  <c r="AB118" i="12" s="1"/>
  <c r="AB129" i="12" s="1"/>
  <c r="AB115" i="12" s="1"/>
  <c r="AB109" i="12" s="1"/>
  <c r="AB194" i="1"/>
  <c r="AE194" i="1" s="1"/>
  <c r="E43" i="4"/>
  <c r="G50" i="4"/>
  <c r="AH200" i="12"/>
  <c r="AF200" i="12"/>
  <c r="AE200" i="12"/>
  <c r="AD200" i="12"/>
  <c r="W200" i="12"/>
  <c r="W211" i="12" s="1"/>
  <c r="H118" i="12"/>
  <c r="H129" i="12" s="1"/>
  <c r="H115" i="12" s="1"/>
  <c r="H109" i="12" s="1"/>
  <c r="R109" i="12" s="1"/>
  <c r="R213" i="12"/>
  <c r="G95" i="1"/>
  <c r="G100" i="1" s="1"/>
  <c r="O241" i="12"/>
  <c r="O251" i="12" s="1"/>
  <c r="H29" i="4"/>
  <c r="D33" i="4"/>
  <c r="E77" i="12" s="1"/>
  <c r="D43" i="4"/>
  <c r="H88" i="12"/>
  <c r="H74" i="12" s="1"/>
  <c r="H68" i="12" s="1"/>
  <c r="O200" i="12"/>
  <c r="G29" i="4"/>
  <c r="E33" i="4"/>
  <c r="E118" i="12" s="1"/>
  <c r="X237" i="1"/>
  <c r="X239" i="1" s="1"/>
  <c r="AI209" i="12"/>
  <c r="AL209" i="12" s="1"/>
  <c r="AI210" i="12"/>
  <c r="T204" i="1"/>
  <c r="AE202" i="1"/>
  <c r="AE204" i="1" s="1"/>
  <c r="AF203" i="1"/>
  <c r="P230" i="1"/>
  <c r="S230" i="1" s="1"/>
  <c r="P229" i="1"/>
  <c r="S229" i="1" s="1"/>
  <c r="AL219" i="12"/>
  <c r="AL160" i="12"/>
  <c r="R221" i="12"/>
  <c r="E239" i="1"/>
  <c r="T239" i="1" s="1"/>
  <c r="AD170" i="12"/>
  <c r="AE238" i="1"/>
  <c r="AH170" i="12"/>
  <c r="AH156" i="12" s="1"/>
  <c r="AH150" i="12" s="1"/>
  <c r="Q261" i="1"/>
  <c r="Q266" i="1" s="1"/>
  <c r="Q268" i="1" s="1"/>
  <c r="Q260" i="1" s="1"/>
  <c r="Q255" i="1" s="1"/>
  <c r="Q259" i="1" s="1"/>
  <c r="P295" i="12"/>
  <c r="R219" i="12"/>
  <c r="E267" i="1"/>
  <c r="S267" i="1" s="1"/>
  <c r="E302" i="12"/>
  <c r="R302" i="12" s="1"/>
  <c r="R160" i="12"/>
  <c r="O261" i="1"/>
  <c r="O266" i="1" s="1"/>
  <c r="O268" i="1" s="1"/>
  <c r="N301" i="12"/>
  <c r="N303" i="12" s="1"/>
  <c r="M301" i="12"/>
  <c r="M303" i="12" s="1"/>
  <c r="K301" i="12"/>
  <c r="K303" i="12" s="1"/>
  <c r="L301" i="12"/>
  <c r="L303" i="12" s="1"/>
  <c r="J301" i="12"/>
  <c r="J303" i="12" s="1"/>
  <c r="I301" i="12"/>
  <c r="I303" i="12" s="1"/>
  <c r="P252" i="12"/>
  <c r="P242" i="12" s="1"/>
  <c r="P260" i="12"/>
  <c r="P262" i="12" s="1"/>
  <c r="O180" i="12"/>
  <c r="R178" i="12"/>
  <c r="E261" i="1"/>
  <c r="E266" i="1" s="1"/>
  <c r="E295" i="12"/>
  <c r="Y302" i="12"/>
  <c r="AL302" i="12" s="1"/>
  <c r="X267" i="1"/>
  <c r="I61" i="6"/>
  <c r="AA267" i="1" s="1"/>
  <c r="P261" i="1"/>
  <c r="P266" i="1" s="1"/>
  <c r="P268" i="1" s="1"/>
  <c r="P260" i="1" s="1"/>
  <c r="P255" i="1" s="1"/>
  <c r="O295" i="12"/>
  <c r="AJ252" i="12"/>
  <c r="AJ242" i="12" s="1"/>
  <c r="AJ260" i="12"/>
  <c r="AJ262" i="12" s="1"/>
  <c r="AA239" i="1"/>
  <c r="AF301" i="12"/>
  <c r="AF303" i="12" s="1"/>
  <c r="AA261" i="1"/>
  <c r="AA266" i="1" s="1"/>
  <c r="AE301" i="12"/>
  <c r="AE303" i="12" s="1"/>
  <c r="AD301" i="12"/>
  <c r="AD303" i="12" s="1"/>
  <c r="AG301" i="12"/>
  <c r="AG303" i="12" s="1"/>
  <c r="AE170" i="12"/>
  <c r="AE156" i="12" s="1"/>
  <c r="AC261" i="1"/>
  <c r="AC266" i="1" s="1"/>
  <c r="AC268" i="1" s="1"/>
  <c r="AC260" i="1" s="1"/>
  <c r="AC255" i="1" s="1"/>
  <c r="AC259" i="1" s="1"/>
  <c r="AJ295" i="12"/>
  <c r="R254" i="12"/>
  <c r="E260" i="12"/>
  <c r="P195" i="1"/>
  <c r="S195" i="1" s="1"/>
  <c r="P194" i="1"/>
  <c r="S194" i="1" s="1"/>
  <c r="C191" i="1"/>
  <c r="AB261" i="1"/>
  <c r="AI295" i="12"/>
  <c r="AB237" i="1"/>
  <c r="AB239" i="1" s="1"/>
  <c r="AB231" i="1" s="1"/>
  <c r="AB226" i="1" s="1"/>
  <c r="AB230" i="1" s="1"/>
  <c r="AE230" i="1" s="1"/>
  <c r="J201" i="12"/>
  <c r="K201" i="12"/>
  <c r="L201" i="12"/>
  <c r="N201" i="12"/>
  <c r="I201" i="12"/>
  <c r="M201" i="12"/>
  <c r="M211" i="12" s="1"/>
  <c r="P210" i="12"/>
  <c r="S197" i="1"/>
  <c r="S202" i="1" s="1"/>
  <c r="S204" i="1" s="1"/>
  <c r="C226" i="1"/>
  <c r="C231" i="1" s="1"/>
  <c r="X261" i="1"/>
  <c r="Y295" i="12"/>
  <c r="AL254" i="12"/>
  <c r="Y260" i="12"/>
  <c r="Y262" i="12" s="1"/>
  <c r="AD201" i="12"/>
  <c r="AE201" i="12"/>
  <c r="AF201" i="12"/>
  <c r="AH201" i="12"/>
  <c r="AJ210" i="12"/>
  <c r="AG201" i="12"/>
  <c r="AG211" i="12" s="1"/>
  <c r="AC201" i="12"/>
  <c r="P164" i="1"/>
  <c r="P159" i="1" s="1"/>
  <c r="T172" i="1"/>
  <c r="AE232" i="1"/>
  <c r="S232" i="1"/>
  <c r="S237" i="1" s="1"/>
  <c r="S239" i="1" s="1"/>
  <c r="AL78" i="12"/>
  <c r="R296" i="12"/>
  <c r="AB262" i="1"/>
  <c r="AL255" i="12"/>
  <c r="AI260" i="12"/>
  <c r="K78" i="5"/>
  <c r="X262" i="1"/>
  <c r="X204" i="1"/>
  <c r="AF204" i="1" s="1"/>
  <c r="AF202" i="1"/>
  <c r="K52" i="5"/>
  <c r="S262" i="1"/>
  <c r="V196" i="1"/>
  <c r="J79" i="5"/>
  <c r="AE233" i="1"/>
  <c r="G55" i="4" l="1"/>
  <c r="G59" i="4"/>
  <c r="AC200" i="12" s="1"/>
  <c r="G61" i="4"/>
  <c r="Z191" i="1" s="1"/>
  <c r="Z196" i="1" s="1"/>
  <c r="F54" i="4"/>
  <c r="AB159" i="12"/>
  <c r="AB170" i="12" s="1"/>
  <c r="AB156" i="12" s="1"/>
  <c r="AB150" i="12" s="1"/>
  <c r="E54" i="4"/>
  <c r="AA127" i="1"/>
  <c r="AA132" i="1" s="1"/>
  <c r="AC118" i="12"/>
  <c r="AC129" i="12" s="1"/>
  <c r="AC115" i="12" s="1"/>
  <c r="AD211" i="12"/>
  <c r="AL210" i="12"/>
  <c r="O301" i="12"/>
  <c r="O303" i="12" s="1"/>
  <c r="O293" i="12" s="1"/>
  <c r="O282" i="12" s="1"/>
  <c r="F14" i="21"/>
  <c r="AE211" i="12"/>
  <c r="AE197" i="12" s="1"/>
  <c r="AA191" i="1"/>
  <c r="I241" i="12"/>
  <c r="C241" i="12"/>
  <c r="C252" i="12" s="1"/>
  <c r="N241" i="12"/>
  <c r="L241" i="12"/>
  <c r="K241" i="12"/>
  <c r="J241" i="12"/>
  <c r="O250" i="12"/>
  <c r="R250" i="12" s="1"/>
  <c r="O210" i="12"/>
  <c r="R210" i="12" s="1"/>
  <c r="N200" i="12"/>
  <c r="N211" i="12" s="1"/>
  <c r="N197" i="12" s="1"/>
  <c r="N191" i="12" s="1"/>
  <c r="L200" i="12"/>
  <c r="L211" i="12" s="1"/>
  <c r="L197" i="12" s="1"/>
  <c r="L191" i="12" s="1"/>
  <c r="J200" i="12"/>
  <c r="I200" i="12"/>
  <c r="K200" i="12"/>
  <c r="C200" i="12"/>
  <c r="C211" i="12" s="1"/>
  <c r="AF211" i="12"/>
  <c r="AF197" i="12" s="1"/>
  <c r="AF191" i="12" s="1"/>
  <c r="G34" i="4"/>
  <c r="G40" i="4"/>
  <c r="D42" i="4"/>
  <c r="E88" i="12"/>
  <c r="E74" i="12" s="1"/>
  <c r="E69" i="12" s="1"/>
  <c r="E95" i="1"/>
  <c r="O209" i="12"/>
  <c r="R209" i="12" s="1"/>
  <c r="H40" i="4"/>
  <c r="G226" i="1" s="1"/>
  <c r="G231" i="1" s="1"/>
  <c r="H34" i="4"/>
  <c r="E42" i="4"/>
  <c r="E127" i="1"/>
  <c r="E268" i="1"/>
  <c r="T268" i="1" s="1"/>
  <c r="R260" i="12"/>
  <c r="AE267" i="1"/>
  <c r="S261" i="1"/>
  <c r="S266" i="1" s="1"/>
  <c r="S268" i="1" s="1"/>
  <c r="AA268" i="1"/>
  <c r="P258" i="1"/>
  <c r="S258" i="1" s="1"/>
  <c r="P259" i="1"/>
  <c r="S259" i="1" s="1"/>
  <c r="C255" i="1"/>
  <c r="C260" i="1" s="1"/>
  <c r="X266" i="1"/>
  <c r="X268" i="1" s="1"/>
  <c r="AB266" i="1"/>
  <c r="AB268" i="1" s="1"/>
  <c r="AB260" i="1" s="1"/>
  <c r="AB255" i="1" s="1"/>
  <c r="AB258" i="1" s="1"/>
  <c r="AE258" i="1" s="1"/>
  <c r="AL201" i="12"/>
  <c r="AE261" i="1"/>
  <c r="P163" i="1"/>
  <c r="S163" i="1" s="1"/>
  <c r="P162" i="1"/>
  <c r="S162" i="1" s="1"/>
  <c r="C159" i="1"/>
  <c r="F63" i="4"/>
  <c r="O170" i="12"/>
  <c r="R180" i="12"/>
  <c r="AB229" i="1"/>
  <c r="AE229" i="1" s="1"/>
  <c r="AJ301" i="12"/>
  <c r="AJ303" i="12" s="1"/>
  <c r="AJ293" i="12"/>
  <c r="AJ283" i="12" s="1"/>
  <c r="AJ251" i="12"/>
  <c r="AE242" i="12"/>
  <c r="AF242" i="12"/>
  <c r="AH242" i="12"/>
  <c r="AG242" i="12"/>
  <c r="AG252" i="12" s="1"/>
  <c r="AC242" i="12"/>
  <c r="AD242" i="12"/>
  <c r="AA159" i="1"/>
  <c r="M242" i="12"/>
  <c r="M252" i="12" s="1"/>
  <c r="N242" i="12"/>
  <c r="K242" i="12"/>
  <c r="P251" i="12"/>
  <c r="R251" i="12" s="1"/>
  <c r="L242" i="12"/>
  <c r="I242" i="12"/>
  <c r="J242" i="12"/>
  <c r="AH211" i="12"/>
  <c r="AH197" i="12" s="1"/>
  <c r="AH191" i="12" s="1"/>
  <c r="AE237" i="1"/>
  <c r="AE239" i="1" s="1"/>
  <c r="R201" i="12"/>
  <c r="C196" i="1"/>
  <c r="P301" i="12"/>
  <c r="P303" i="12" s="1"/>
  <c r="P293" i="12"/>
  <c r="P283" i="12" s="1"/>
  <c r="V226" i="1"/>
  <c r="V231" i="1" s="1"/>
  <c r="Y301" i="12"/>
  <c r="Y303" i="12" s="1"/>
  <c r="AL295" i="12"/>
  <c r="AF239" i="1"/>
  <c r="E262" i="12"/>
  <c r="R262" i="12" s="1"/>
  <c r="R295" i="12"/>
  <c r="E301" i="12"/>
  <c r="AI262" i="12"/>
  <c r="AL260" i="12"/>
  <c r="AL296" i="12"/>
  <c r="AI301" i="12"/>
  <c r="K79" i="5"/>
  <c r="AE262" i="1"/>
  <c r="G54" i="4" l="1"/>
  <c r="AB200" i="12"/>
  <c r="AB211" i="12" s="1"/>
  <c r="AB197" i="12" s="1"/>
  <c r="AB191" i="12" s="1"/>
  <c r="Y159" i="12"/>
  <c r="Y170" i="12" s="1"/>
  <c r="Y156" i="12" s="1"/>
  <c r="X159" i="1"/>
  <c r="X164" i="1" s="1"/>
  <c r="E63" i="4"/>
  <c r="X127" i="1"/>
  <c r="Y118" i="12"/>
  <c r="G33" i="4"/>
  <c r="E200" i="12" s="1"/>
  <c r="E211" i="12" s="1"/>
  <c r="E197" i="12" s="1"/>
  <c r="E192" i="12" s="1"/>
  <c r="I29" i="4"/>
  <c r="N252" i="12"/>
  <c r="N238" i="12" s="1"/>
  <c r="N232" i="12" s="1"/>
  <c r="L252" i="12"/>
  <c r="L238" i="12" s="1"/>
  <c r="L232" i="12" s="1"/>
  <c r="H200" i="12"/>
  <c r="O292" i="12"/>
  <c r="N282" i="12"/>
  <c r="L282" i="12"/>
  <c r="K282" i="12"/>
  <c r="J282" i="12"/>
  <c r="I282" i="12"/>
  <c r="C282" i="12"/>
  <c r="C293" i="12" s="1"/>
  <c r="H33" i="4"/>
  <c r="E241" i="12" s="1"/>
  <c r="E252" i="12" s="1"/>
  <c r="E238" i="12" s="1"/>
  <c r="E233" i="12" s="1"/>
  <c r="H241" i="12"/>
  <c r="H252" i="12" s="1"/>
  <c r="H238" i="12" s="1"/>
  <c r="H232" i="12" s="1"/>
  <c r="I40" i="4"/>
  <c r="I34" i="4"/>
  <c r="E129" i="12"/>
  <c r="R118" i="12"/>
  <c r="E100" i="1"/>
  <c r="S100" i="1" s="1"/>
  <c r="S95" i="1"/>
  <c r="O291" i="12"/>
  <c r="R291" i="12" s="1"/>
  <c r="H43" i="4"/>
  <c r="O159" i="12"/>
  <c r="F29" i="4"/>
  <c r="E132" i="1"/>
  <c r="S132" i="1" s="1"/>
  <c r="S127" i="1"/>
  <c r="G43" i="4"/>
  <c r="AF268" i="1"/>
  <c r="AE266" i="1"/>
  <c r="AE268" i="1" s="1"/>
  <c r="V255" i="1"/>
  <c r="V260" i="1" s="1"/>
  <c r="AB259" i="1"/>
  <c r="AE259" i="1" s="1"/>
  <c r="C164" i="1"/>
  <c r="AC211" i="12"/>
  <c r="R242" i="12"/>
  <c r="AA196" i="1"/>
  <c r="AJ292" i="12"/>
  <c r="AC283" i="12"/>
  <c r="AF283" i="12"/>
  <c r="AG283" i="12"/>
  <c r="AG293" i="12" s="1"/>
  <c r="AH283" i="12"/>
  <c r="AE283" i="12"/>
  <c r="AD283" i="12"/>
  <c r="K211" i="12"/>
  <c r="K197" i="12" s="1"/>
  <c r="K192" i="12" s="1"/>
  <c r="J211" i="12"/>
  <c r="J197" i="12" s="1"/>
  <c r="J191" i="12" s="1"/>
  <c r="E303" i="12"/>
  <c r="R303" i="12" s="1"/>
  <c r="R301" i="12"/>
  <c r="J252" i="12"/>
  <c r="J238" i="12" s="1"/>
  <c r="J232" i="12" s="1"/>
  <c r="AC170" i="12"/>
  <c r="AA164" i="1"/>
  <c r="G191" i="1"/>
  <c r="K252" i="12"/>
  <c r="K238" i="12" s="1"/>
  <c r="K233" i="12" s="1"/>
  <c r="P292" i="12"/>
  <c r="J283" i="12"/>
  <c r="M283" i="12"/>
  <c r="M293" i="12" s="1"/>
  <c r="I283" i="12"/>
  <c r="K283" i="12"/>
  <c r="L283" i="12"/>
  <c r="N283" i="12"/>
  <c r="I252" i="12"/>
  <c r="I238" i="12" s="1"/>
  <c r="O226" i="1"/>
  <c r="O231" i="1" s="1"/>
  <c r="AL242" i="12"/>
  <c r="AI303" i="12"/>
  <c r="AL301" i="12"/>
  <c r="AO67" i="12" s="1"/>
  <c r="AI252" i="12"/>
  <c r="AI241" i="12" s="1"/>
  <c r="AL262" i="12"/>
  <c r="R292" i="12" l="1"/>
  <c r="E191" i="1"/>
  <c r="E196" i="1" s="1"/>
  <c r="AE159" i="1"/>
  <c r="AL159" i="12"/>
  <c r="AE164" i="1"/>
  <c r="Y200" i="12"/>
  <c r="X191" i="1"/>
  <c r="G63" i="4"/>
  <c r="X132" i="1"/>
  <c r="AE132" i="1" s="1"/>
  <c r="AE127" i="1"/>
  <c r="Y129" i="12"/>
  <c r="AL118" i="12"/>
  <c r="H50" i="4"/>
  <c r="W241" i="12"/>
  <c r="W252" i="12" s="1"/>
  <c r="AH241" i="12"/>
  <c r="AF241" i="12"/>
  <c r="AF252" i="12" s="1"/>
  <c r="AF238" i="12" s="1"/>
  <c r="AF232" i="12" s="1"/>
  <c r="AE241" i="12"/>
  <c r="AD241" i="12"/>
  <c r="AD252" i="12" s="1"/>
  <c r="E226" i="1"/>
  <c r="E231" i="1" s="1"/>
  <c r="S231" i="1" s="1"/>
  <c r="N293" i="12"/>
  <c r="N279" i="12" s="1"/>
  <c r="N273" i="12" s="1"/>
  <c r="I33" i="4"/>
  <c r="E282" i="12" s="1"/>
  <c r="E293" i="12" s="1"/>
  <c r="E279" i="12" s="1"/>
  <c r="E274" i="12" s="1"/>
  <c r="O169" i="12"/>
  <c r="R169" i="12" s="1"/>
  <c r="N159" i="12"/>
  <c r="N170" i="12" s="1"/>
  <c r="N156" i="12" s="1"/>
  <c r="N150" i="12" s="1"/>
  <c r="L159" i="12"/>
  <c r="L170" i="12" s="1"/>
  <c r="L156" i="12" s="1"/>
  <c r="L150" i="12" s="1"/>
  <c r="K159" i="12"/>
  <c r="J159" i="12"/>
  <c r="I159" i="12"/>
  <c r="C159" i="12"/>
  <c r="C170" i="12" s="1"/>
  <c r="H282" i="12"/>
  <c r="F7" i="21" s="1"/>
  <c r="H42" i="4"/>
  <c r="F40" i="4"/>
  <c r="F34" i="4"/>
  <c r="E115" i="12"/>
  <c r="E110" i="12" s="1"/>
  <c r="R129" i="12"/>
  <c r="S133" i="12" s="1"/>
  <c r="O168" i="12"/>
  <c r="R168" i="12" s="1"/>
  <c r="I43" i="4"/>
  <c r="R241" i="12"/>
  <c r="H211" i="12"/>
  <c r="G42" i="4"/>
  <c r="I211" i="12"/>
  <c r="I197" i="12" s="1"/>
  <c r="I192" i="12" s="1"/>
  <c r="O191" i="1"/>
  <c r="O196" i="1" s="1"/>
  <c r="R283" i="12"/>
  <c r="AC197" i="12"/>
  <c r="AC156" i="12"/>
  <c r="AL170" i="12"/>
  <c r="G255" i="1"/>
  <c r="G196" i="1"/>
  <c r="R238" i="12"/>
  <c r="J293" i="12"/>
  <c r="J279" i="12" s="1"/>
  <c r="J273" i="12" s="1"/>
  <c r="R252" i="12"/>
  <c r="S248" i="12" s="1"/>
  <c r="R232" i="12"/>
  <c r="I233" i="12"/>
  <c r="R233" i="12" s="1"/>
  <c r="L293" i="12"/>
  <c r="L279" i="12" s="1"/>
  <c r="L273" i="12" s="1"/>
  <c r="AI251" i="12"/>
  <c r="AL251" i="12" s="1"/>
  <c r="AI250" i="12"/>
  <c r="AL250" i="12" s="1"/>
  <c r="AI293" i="12"/>
  <c r="AI282" i="12" s="1"/>
  <c r="AL303" i="12"/>
  <c r="AL151" i="12" l="1"/>
  <c r="H61" i="4"/>
  <c r="Z226" i="1" s="1"/>
  <c r="H55" i="4"/>
  <c r="H59" i="4"/>
  <c r="AC241" i="12" s="1"/>
  <c r="X196" i="1"/>
  <c r="AE196" i="1" s="1"/>
  <c r="AE191" i="1"/>
  <c r="Y211" i="12"/>
  <c r="AL200" i="12"/>
  <c r="Y115" i="12"/>
  <c r="AL129" i="12"/>
  <c r="E255" i="1"/>
  <c r="E260" i="1" s="1"/>
  <c r="I50" i="4"/>
  <c r="AH282" i="12"/>
  <c r="AH293" i="12" s="1"/>
  <c r="AH279" i="12" s="1"/>
  <c r="AH273" i="12" s="1"/>
  <c r="AF282" i="12"/>
  <c r="AF293" i="12" s="1"/>
  <c r="AF279" i="12" s="1"/>
  <c r="AF273" i="12" s="1"/>
  <c r="AE282" i="12"/>
  <c r="AD282" i="12"/>
  <c r="AD293" i="12" s="1"/>
  <c r="W282" i="12"/>
  <c r="W293" i="12" s="1"/>
  <c r="S226" i="1"/>
  <c r="F6" i="21"/>
  <c r="G6" i="21" s="1"/>
  <c r="F5" i="21"/>
  <c r="G5" i="21" s="1"/>
  <c r="H159" i="12"/>
  <c r="R110" i="12"/>
  <c r="R115" i="12"/>
  <c r="F33" i="4"/>
  <c r="E159" i="12" s="1"/>
  <c r="E170" i="12" s="1"/>
  <c r="E156" i="12" s="1"/>
  <c r="E151" i="12" s="1"/>
  <c r="F43" i="4"/>
  <c r="E159" i="1"/>
  <c r="E164" i="1" s="1"/>
  <c r="R192" i="12"/>
  <c r="G260" i="1"/>
  <c r="J170" i="12"/>
  <c r="J156" i="12" s="1"/>
  <c r="J150" i="12" s="1"/>
  <c r="H293" i="12"/>
  <c r="Z231" i="1"/>
  <c r="G159" i="1"/>
  <c r="I42" i="4"/>
  <c r="K293" i="12"/>
  <c r="K279" i="12" s="1"/>
  <c r="K274" i="12" s="1"/>
  <c r="S191" i="1"/>
  <c r="R200" i="12"/>
  <c r="AE252" i="12"/>
  <c r="AE238" i="12" s="1"/>
  <c r="AH252" i="12"/>
  <c r="AH238" i="12" s="1"/>
  <c r="AH232" i="12" s="1"/>
  <c r="O255" i="1"/>
  <c r="O260" i="1" s="1"/>
  <c r="I293" i="12"/>
  <c r="I279" i="12" s="1"/>
  <c r="S196" i="1"/>
  <c r="H197" i="12"/>
  <c r="R211" i="12"/>
  <c r="S204" i="12" s="1"/>
  <c r="AI292" i="12"/>
  <c r="AL292" i="12" s="1"/>
  <c r="AI291" i="12"/>
  <c r="AL291" i="12" s="1"/>
  <c r="I55" i="4" l="1"/>
  <c r="I59" i="4"/>
  <c r="AC282" i="12" s="1"/>
  <c r="I61" i="4"/>
  <c r="Z255" i="1" s="1"/>
  <c r="Z260" i="1" s="1"/>
  <c r="Y197" i="12"/>
  <c r="AL211" i="12"/>
  <c r="H54" i="4"/>
  <c r="H63" i="4" s="1"/>
  <c r="AB241" i="12"/>
  <c r="AB252" i="12" s="1"/>
  <c r="AB238" i="12" s="1"/>
  <c r="AB232" i="12" s="1"/>
  <c r="AL110" i="12"/>
  <c r="F10" i="21"/>
  <c r="G14" i="21" s="1"/>
  <c r="I17" i="21" s="1"/>
  <c r="H279" i="12"/>
  <c r="R293" i="12"/>
  <c r="S291" i="12" s="1"/>
  <c r="H191" i="12"/>
  <c r="R191" i="12" s="1"/>
  <c r="R197" i="12"/>
  <c r="H170" i="12"/>
  <c r="R159" i="12"/>
  <c r="I274" i="12"/>
  <c r="R274" i="12" s="1"/>
  <c r="G164" i="1"/>
  <c r="O159" i="1"/>
  <c r="O164" i="1" s="1"/>
  <c r="I170" i="12"/>
  <c r="I156" i="12" s="1"/>
  <c r="F42" i="4"/>
  <c r="K170" i="12"/>
  <c r="K156" i="12" s="1"/>
  <c r="K151" i="12" s="1"/>
  <c r="S255" i="1"/>
  <c r="S260" i="1"/>
  <c r="AA226" i="1"/>
  <c r="AC252" i="12"/>
  <c r="AC238" i="12" s="1"/>
  <c r="R282" i="12"/>
  <c r="R77" i="12"/>
  <c r="L88" i="12"/>
  <c r="I54" i="4" l="1"/>
  <c r="AB282" i="12"/>
  <c r="AB293" i="12" s="1"/>
  <c r="AB279" i="12" s="1"/>
  <c r="AB273" i="12" s="1"/>
  <c r="X226" i="1"/>
  <c r="X231" i="1" s="1"/>
  <c r="Y241" i="12"/>
  <c r="Y252" i="12" s="1"/>
  <c r="Y238" i="12" s="1"/>
  <c r="AL233" i="12" s="1"/>
  <c r="AL192" i="12"/>
  <c r="AA231" i="1"/>
  <c r="AE231" i="1" s="1"/>
  <c r="AE226" i="1"/>
  <c r="I63" i="4"/>
  <c r="I151" i="12"/>
  <c r="R151" i="12" s="1"/>
  <c r="AA255" i="1"/>
  <c r="H156" i="12"/>
  <c r="R170" i="12"/>
  <c r="S165" i="12" s="1"/>
  <c r="S159" i="1"/>
  <c r="S164" i="1"/>
  <c r="H273" i="12"/>
  <c r="R273" i="12" s="1"/>
  <c r="R279" i="12"/>
  <c r="L74" i="12"/>
  <c r="L68" i="12" s="1"/>
  <c r="R68" i="12" s="1"/>
  <c r="AL252" i="12" l="1"/>
  <c r="X255" i="1"/>
  <c r="X260" i="1" s="1"/>
  <c r="Y282" i="12"/>
  <c r="Y293" i="12" s="1"/>
  <c r="Y279" i="12" s="1"/>
  <c r="AL241" i="12"/>
  <c r="H150" i="12"/>
  <c r="R150" i="12" s="1"/>
  <c r="R156" i="12"/>
  <c r="AC293" i="12"/>
  <c r="AC279" i="12" s="1"/>
  <c r="AL282" i="12"/>
  <c r="AA260" i="1"/>
  <c r="AE260" i="1" s="1"/>
  <c r="AE255" i="1"/>
  <c r="K88" i="12" l="1"/>
  <c r="K74" i="12" s="1"/>
  <c r="K69" i="12" s="1"/>
  <c r="R78" i="12"/>
  <c r="R74" i="12" l="1"/>
  <c r="R69" i="12"/>
  <c r="R88" i="12"/>
  <c r="S87" i="12" s="1"/>
  <c r="AL283" i="12"/>
  <c r="AE293" i="12"/>
  <c r="AL293" i="12" s="1"/>
  <c r="AE279" i="12" l="1"/>
  <c r="AL274" i="12" l="1"/>
  <c r="AF108" i="1" l="1"/>
  <c r="D191" i="7"/>
  <c r="D193" i="7" s="1"/>
  <c r="AF93" i="12" l="1"/>
  <c r="AF96" i="12" s="1"/>
  <c r="AF98" i="12" s="1"/>
  <c r="AA104" i="1"/>
  <c r="AH93" i="12"/>
  <c r="AH96" i="12" s="1"/>
  <c r="AH98" i="12" s="1"/>
  <c r="AG93" i="12"/>
  <c r="AG96" i="12" s="1"/>
  <c r="AG98" i="12" s="1"/>
  <c r="AE93" i="12"/>
  <c r="AE96" i="12" s="1"/>
  <c r="AE98" i="12" s="1"/>
  <c r="AD93" i="12"/>
  <c r="AD96" i="12" s="1"/>
  <c r="AD98" i="12" s="1"/>
  <c r="AC93" i="12"/>
  <c r="D194" i="7"/>
  <c r="AI93" i="12" l="1"/>
  <c r="AI96" i="12" s="1"/>
  <c r="AI98" i="12" s="1"/>
  <c r="AI88" i="12" s="1"/>
  <c r="AI77" i="12" s="1"/>
  <c r="AB104" i="1"/>
  <c r="AB106" i="1" s="1"/>
  <c r="AB108" i="1" s="1"/>
  <c r="AB100" i="1" s="1"/>
  <c r="AB95" i="1" s="1"/>
  <c r="AC96" i="12"/>
  <c r="AL93" i="12"/>
  <c r="AE104" i="1"/>
  <c r="AE106" i="1" s="1"/>
  <c r="AE108" i="1" s="1"/>
  <c r="AA106" i="1"/>
  <c r="AA108" i="1" s="1"/>
  <c r="AL96" i="12" l="1"/>
  <c r="AC98" i="12"/>
  <c r="AL98" i="12" s="1"/>
  <c r="AA111" i="1"/>
  <c r="V95" i="1"/>
  <c r="AB99" i="1"/>
  <c r="AE99" i="1" s="1"/>
  <c r="AB98" i="1"/>
  <c r="AE98" i="1" s="1"/>
  <c r="AF77" i="12"/>
  <c r="AF88" i="12" s="1"/>
  <c r="AF74" i="12" s="1"/>
  <c r="AF68" i="12" s="1"/>
  <c r="AI87" i="12"/>
  <c r="AL87" i="12" s="1"/>
  <c r="AD77" i="12"/>
  <c r="AD88" i="12" s="1"/>
  <c r="AI86" i="12"/>
  <c r="AL86" i="12" s="1"/>
  <c r="AE77" i="12"/>
  <c r="AE88" i="12" s="1"/>
  <c r="AE74" i="12" s="1"/>
  <c r="D50" i="4"/>
  <c r="W77" i="12"/>
  <c r="AH77" i="12"/>
  <c r="AH88" i="12" s="1"/>
  <c r="AH74" i="12" s="1"/>
  <c r="AH68" i="12" s="1"/>
  <c r="W88" i="12" l="1"/>
  <c r="D59" i="4"/>
  <c r="D55" i="4"/>
  <c r="D61" i="4"/>
  <c r="Z95" i="1" s="1"/>
  <c r="Z100" i="1" s="1"/>
  <c r="V100" i="1"/>
  <c r="D54" i="4" l="1"/>
  <c r="AB77" i="12"/>
  <c r="AB88" i="12" s="1"/>
  <c r="AB74" i="12" s="1"/>
  <c r="AB68" i="12" s="1"/>
  <c r="AA95" i="1"/>
  <c r="AA100" i="1" s="1"/>
  <c r="AC77" i="12"/>
  <c r="AC88" i="12" s="1"/>
  <c r="AC74" i="12" s="1"/>
  <c r="D63" i="4" l="1"/>
  <c r="Y77" i="12"/>
  <c r="X95" i="1"/>
  <c r="Y88" i="12" l="1"/>
  <c r="AL77" i="12"/>
  <c r="X100" i="1"/>
  <c r="AE100" i="1" s="1"/>
  <c r="AE95" i="1"/>
  <c r="Y74" i="12" l="1"/>
  <c r="AL88" i="12"/>
  <c r="AL69" i="12" l="1"/>
  <c r="AL74" i="12" l="1"/>
  <c r="AD68" i="12"/>
  <c r="AL68" i="12" s="1"/>
  <c r="AL115" i="12"/>
  <c r="AD109" i="12"/>
  <c r="AL109" i="12" s="1"/>
  <c r="AL156" i="12"/>
  <c r="AD150" i="12"/>
  <c r="AL150" i="12" s="1"/>
  <c r="AL197" i="12"/>
  <c r="AD191" i="12"/>
  <c r="AL191" i="12"/>
  <c r="AL238" i="12"/>
  <c r="AD232" i="12"/>
  <c r="AL232" i="12" s="1"/>
  <c r="AL279" i="12"/>
  <c r="AD273" i="12"/>
  <c r="AL273" i="12" s="1"/>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D40" authorId="0" shapeId="0">
      <text>
        <r>
          <rPr>
            <b/>
            <sz val="9"/>
            <color indexed="81"/>
            <rFont val="Tahoma"/>
            <family val="2"/>
          </rPr>
          <t>CHAIGNEAU Yanis:</t>
        </r>
        <r>
          <rPr>
            <sz val="9"/>
            <color indexed="81"/>
            <rFont val="Tahoma"/>
            <family val="2"/>
          </rPr>
          <t xml:space="preserve">
J'inclus énergies marines</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comments4.xml><?xml version="1.0" encoding="utf-8"?>
<comments xmlns="http://schemas.openxmlformats.org/spreadsheetml/2006/main">
  <authors>
    <author>CHAIGNEAU Yanis</author>
  </authors>
  <commentList>
    <comment ref="N28" authorId="0" shapeId="0">
      <text>
        <r>
          <rPr>
            <b/>
            <sz val="9"/>
            <color indexed="81"/>
            <rFont val="Tahoma"/>
            <charset val="1"/>
          </rPr>
          <t>CHAIGNEAU Yanis:</t>
        </r>
        <r>
          <rPr>
            <sz val="9"/>
            <color indexed="81"/>
            <rFont val="Tahoma"/>
            <charset val="1"/>
          </rPr>
          <t xml:space="preserve">
Pas de distinction entre tertiaire et industrie, donc 50%</t>
        </r>
      </text>
    </comment>
  </commentList>
</comments>
</file>

<file path=xl/sharedStrings.xml><?xml version="1.0" encoding="utf-8"?>
<sst xmlns="http://schemas.openxmlformats.org/spreadsheetml/2006/main" count="2849" uniqueCount="639">
  <si>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</si>
  <si>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</si>
  <si>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</si>
  <si>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</si>
  <si>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</si>
  <si>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</si>
  <si>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</si>
  <si>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</si>
  <si>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</si>
  <si>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</si>
  <si>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</si>
  <si>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</si>
  <si>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</si>
  <si>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</si>
  <si>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</si>
  <si>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</si>
  <si>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</si>
  <si>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</si>
  <si>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</si>
  <si>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</si>
  <si>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</si>
  <si>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</si>
  <si>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</si>
  <si>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</si>
  <si>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</si>
  <si>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</si>
  <si>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</si>
  <si>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</si>
  <si>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</si>
  <si>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</si>
  <si>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</si>
  <si>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</si>
  <si>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</si>
  <si>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</si>
  <si>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</si>
  <si>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</si>
  <si>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</si>
  <si>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</si>
  <si>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</si>
  <si>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</si>
  <si>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</si>
  <si>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</si>
  <si>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</si>
  <si>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</si>
  <si>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</si>
  <si>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</si>
  <si>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</si>
  <si>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</si>
  <si>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</si>
  <si>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</si>
  <si>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</si>
  <si>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</si>
  <si>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</si>
  <si>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</si>
  <si>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</si>
  <si>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</si>
  <si>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</si>
  <si>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</si>
  <si>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t>IEDOM</t>
  </si>
  <si>
    <t>2. AMS - AME 2023</t>
  </si>
  <si>
    <t xml:space="preserve">Réunion </t>
  </si>
  <si>
    <t>DOM</t>
  </si>
  <si>
    <t>Population (en millions)</t>
  </si>
  <si>
    <t>PIB ( en millions d’euros 2014)</t>
  </si>
  <si>
    <t>PIB/habitant  (€/hab.)</t>
  </si>
  <si>
    <t xml:space="preserve">3. AME 2021 </t>
  </si>
  <si>
    <t>France</t>
  </si>
  <si>
    <t>Population (2014)</t>
  </si>
  <si>
    <t>PIB (2014, en millions d’euros 2010)</t>
  </si>
  <si>
    <t>PIB/habitant (2014, €/hab.)</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</si>
  <si>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</si>
  <si>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</si>
  <si>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</si>
  <si>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</si>
  <si>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</si>
  <si>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</si>
  <si>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</si>
  <si>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</si>
  <si>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</si>
  <si>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</si>
  <si>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</si>
  <si>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</si>
  <si>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</si>
  <si>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</si>
  <si>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</si>
  <si>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</si>
  <si>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</si>
  <si>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</si>
  <si>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</si>
  <si>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</si>
  <si>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</si>
  <si>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</si>
  <si>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</si>
  <si>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</si>
  <si>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</si>
  <si>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</si>
  <si>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</si>
  <si>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</si>
  <si>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</si>
  <si>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</si>
  <si>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</si>
  <si>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</si>
  <si>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</si>
  <si>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</si>
  <si>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</si>
  <si>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</si>
  <si>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</si>
  <si>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</si>
  <si>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</si>
  <si>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</si>
  <si>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</si>
  <si>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</si>
  <si>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</si>
  <si>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</si>
  <si>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</si>
  <si>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</si>
  <si>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</si>
  <si>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</si>
  <si>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</si>
  <si>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</si>
  <si>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</si>
  <si>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</si>
  <si>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</si>
  <si>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</si>
  <si>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</si>
  <si>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</si>
  <si>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</si>
  <si>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</si>
  <si>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</si>
  <si>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</si>
  <si>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</si>
  <si>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</si>
  <si>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</si>
  <si>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</si>
  <si>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</si>
  <si>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</si>
  <si>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</si>
  <si>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</si>
  <si>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</si>
  <si>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</si>
  <si>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</si>
  <si>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</si>
  <si>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</si>
  <si>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Hypothèse: part ENR identique à PPE 2028 et sortie du charbon [AME18 : PPE 2023 72 %EnR]</t>
  </si>
  <si>
    <t>3. AMS 2023</t>
  </si>
  <si>
    <t>5. AMS 2018</t>
  </si>
  <si>
    <t>40 188</t>
  </si>
  <si>
    <t>1 220</t>
  </si>
  <si>
    <t>1 120</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</si>
  <si>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</si>
  <si>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</si>
  <si>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</si>
  <si>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</si>
  <si>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</si>
  <si>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</si>
  <si>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</si>
  <si>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</si>
  <si>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</si>
  <si>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</si>
  <si>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</si>
  <si>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</si>
  <si>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</si>
  <si>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</si>
  <si>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</si>
  <si>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</si>
  <si>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</si>
  <si>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</si>
  <si>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</si>
  <si>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</si>
  <si>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</si>
  <si>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</si>
  <si>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</si>
  <si>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</si>
  <si>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</si>
  <si>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</si>
  <si>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</si>
  <si>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</si>
  <si>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</si>
  <si>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</si>
  <si>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</si>
  <si>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</si>
  <si>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</si>
  <si>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</si>
  <si>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</si>
  <si>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</si>
  <si>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</si>
  <si>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</si>
  <si>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</si>
  <si>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</si>
  <si>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</si>
  <si>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</si>
  <si>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</si>
  <si>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</si>
  <si>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</si>
  <si>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</si>
  <si>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</si>
  <si>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</si>
  <si>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</si>
  <si>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</si>
  <si>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</si>
  <si>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</si>
  <si>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</si>
  <si>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</si>
  <si>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</si>
  <si>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</si>
  <si>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</si>
  <si>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</si>
  <si>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</si>
  <si>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</si>
  <si>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</si>
  <si>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</si>
  <si>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</si>
  <si>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</si>
  <si>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</si>
  <si>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</si>
  <si>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</si>
  <si>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</si>
  <si>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</si>
  <si>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</si>
  <si>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</si>
  <si>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</si>
  <si>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16 949</t>
  </si>
  <si>
    <t>VA Indus</t>
  </si>
  <si>
    <t>VA BTP</t>
  </si>
  <si>
    <t>1 000</t>
  </si>
  <si>
    <t>1 704</t>
  </si>
  <si>
    <t>1 909</t>
  </si>
  <si>
    <t>4 139</t>
  </si>
  <si>
    <t>Demande fossile éner industrie (ktep)</t>
  </si>
  <si>
    <t xml:space="preserve">Calcul AME 21 </t>
  </si>
  <si>
    <t>Calcul AME 22</t>
  </si>
  <si>
    <t>Conso PPR non énergétique</t>
  </si>
  <si>
    <t>Conso EnRt</t>
  </si>
  <si>
    <t>Conso chaleur vendue</t>
  </si>
  <si>
    <t>Source : IEDOM – Rapport Guadeloupe 2016</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</si>
  <si>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</si>
  <si>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</si>
  <si>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</si>
  <si>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</si>
  <si>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</si>
  <si>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</si>
  <si>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</si>
  <si>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</si>
  <si>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</si>
  <si>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</si>
  <si>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</si>
  <si>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</si>
  <si>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</si>
  <si>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</si>
  <si>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</si>
  <si>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</si>
  <si>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</si>
  <si>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</si>
  <si>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</si>
  <si>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</si>
  <si>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</si>
  <si>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</si>
  <si>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</si>
  <si>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AME2020</t>
  </si>
  <si>
    <t>AME2021</t>
  </si>
  <si>
    <t>Calcul AME 2021</t>
  </si>
  <si>
    <t>Émissions CO2</t>
  </si>
  <si>
    <t>PIB</t>
  </si>
  <si>
    <t>18 530</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</si>
  <si>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</si>
  <si>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</si>
  <si>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</si>
  <si>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</si>
  <si>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</si>
  <si>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</si>
  <si>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</si>
  <si>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</si>
  <si>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</si>
  <si>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</si>
  <si>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</si>
  <si>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</si>
  <si>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</si>
  <si>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</si>
  <si>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</si>
  <si>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1 281</t>
  </si>
  <si>
    <t>Idem métropole</t>
  </si>
  <si>
    <t>Index communs métropole (logement, pop…) + variation tx équipement</t>
  </si>
  <si>
    <t>ECS solaire</t>
  </si>
  <si>
    <t>III. Tertiaire (Hors climatisation)</t>
  </si>
  <si>
    <t>(OREC) 2018</t>
  </si>
  <si>
    <t>Avec clim</t>
  </si>
  <si>
    <t>Froid</t>
  </si>
  <si>
    <t>Équipements divers</t>
  </si>
  <si>
    <t>TOTAL</t>
  </si>
  <si>
    <t>1 536</t>
  </si>
  <si>
    <t>Ajusté hausse climatisation</t>
  </si>
  <si>
    <t>Idem résidentiel</t>
  </si>
  <si>
    <t>Indexé PIB</t>
  </si>
  <si>
    <t>Insee, enquête budgets de famille 2011</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</si>
  <si>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</si>
  <si>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</si>
  <si>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</si>
  <si>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</si>
  <si>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</si>
  <si>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</si>
  <si>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</si>
  <si>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</si>
  <si>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</si>
  <si>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</si>
  <si>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</si>
  <si>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</si>
  <si>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</si>
  <si>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</si>
  <si>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</si>
  <si>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</si>
  <si>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</si>
  <si>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</si>
  <si>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</si>
  <si>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</si>
  <si>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</si>
  <si>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</si>
  <si>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</si>
  <si>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</si>
  <si>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</si>
  <si>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</si>
  <si>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</si>
  <si>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</si>
  <si>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</si>
  <si>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</si>
  <si>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</si>
  <si>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</si>
  <si>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</si>
  <si>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</si>
  <si>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</si>
  <si>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</si>
  <si>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</si>
  <si>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</si>
  <si>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</si>
  <si>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</si>
  <si>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</si>
  <si>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</si>
  <si>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</si>
  <si>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</si>
  <si>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</si>
  <si>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</si>
  <si>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</si>
  <si>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Développement autonomie alimentaire</t>
  </si>
  <si>
    <t>Semblable métropole</t>
  </si>
  <si>
    <t>Citepa</t>
  </si>
  <si>
    <t>Intensité émissions (indice 2015)</t>
  </si>
  <si>
    <t>Population (indice 2015)</t>
  </si>
  <si>
    <t>Quantité de déchets (kt)</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</si>
  <si>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</si>
  <si>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</si>
  <si>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</si>
  <si>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</si>
  <si>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</si>
  <si>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</si>
  <si>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</si>
  <si>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</si>
  <si>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</si>
  <si>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</si>
  <si>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</si>
  <si>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</si>
  <si>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</si>
  <si>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</si>
  <si>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</si>
  <si>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</si>
  <si>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</si>
  <si>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</si>
  <si>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</si>
  <si>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</si>
  <si>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</si>
  <si>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</si>
  <si>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</si>
  <si>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</si>
  <si>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</si>
  <si>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</si>
  <si>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</si>
  <si>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</si>
  <si>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</si>
  <si>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</si>
  <si>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</si>
  <si>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</si>
  <si>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</si>
  <si>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</si>
  <si>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</si>
  <si>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</si>
  <si>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</si>
  <si>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</si>
  <si>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</si>
  <si>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</si>
  <si>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</si>
  <si>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1. Historique</t>
  </si>
  <si>
    <t>Sources</t>
  </si>
  <si>
    <t>Cadrage macroéconomique</t>
  </si>
  <si>
    <t>IEDOM 2020 + regression linéaire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</si>
  <si>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</si>
  <si>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</si>
  <si>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</si>
  <si>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</si>
  <si>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</si>
  <si>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</si>
  <si>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</si>
  <si>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</si>
  <si>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</si>
  <si>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Multiplié par les émissions autre méthane (moyenne 2010-2019)</t>
  </si>
  <si>
    <t>Part total / méthane</t>
  </si>
  <si>
    <t>2020: moyenne 2010-2019</t>
  </si>
  <si>
    <t>Croissance avec population et intensité</t>
  </si>
  <si>
    <t xml:space="preserve"> </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</si>
  <si>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</si>
  <si>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</si>
  <si>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</si>
  <si>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</si>
  <si>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</si>
  <si>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</si>
  <si>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</si>
  <si>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</si>
  <si>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</si>
  <si>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</si>
  <si>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</si>
  <si>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</si>
  <si>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</si>
  <si>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</si>
  <si>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r>
      <t>PIB (millions d</t>
    </r>
    <r>
      <rPr>
        <sz val="11"/>
        <color theme="1"/>
        <rFont val="Calibri"/>
        <family val="2"/>
      </rPr>
      <t>'euros base 2014)</t>
    </r>
  </si>
  <si>
    <t>PIB (millions d'euros base 2014)</t>
  </si>
  <si>
    <t>Données historiques</t>
  </si>
  <si>
    <t>PV</t>
  </si>
  <si>
    <t>2. AME 2023 run 2</t>
  </si>
  <si>
    <t>3. AMS 2023 run 2</t>
  </si>
  <si>
    <t xml:space="preserve">I. Mix électrique </t>
  </si>
  <si>
    <t>Cadrage Macroéconomique</t>
  </si>
  <si>
    <t>Production d'énergie</t>
  </si>
  <si>
    <t>Hypothèses MDE</t>
  </si>
  <si>
    <t>% économie d'énergie</t>
  </si>
  <si>
    <t>% économie</t>
  </si>
  <si>
    <t>Isolation</t>
  </si>
  <si>
    <t>Climatisation</t>
  </si>
  <si>
    <t>Eclairage public</t>
  </si>
  <si>
    <t>Eclairage performant</t>
  </si>
  <si>
    <t>Autres</t>
  </si>
  <si>
    <t>Economie d'energie / 2019 (GWh)</t>
  </si>
  <si>
    <t>Total (GWh)</t>
  </si>
  <si>
    <t>Codes couleurs</t>
  </si>
  <si>
    <t>Résumé des hypothèses prises (à faire)</t>
  </si>
  <si>
    <t>Modélisation statique sectorielle de la Réunion AME / AMS</t>
  </si>
  <si>
    <t>Le résultat de la modélisation est sous la forme d'un bilan d'énergie tous les 5 ans à horizon 2050.</t>
  </si>
  <si>
    <t>Demande électrique (GWh)</t>
  </si>
  <si>
    <t>Résultats de modélisation sectorielles</t>
  </si>
  <si>
    <t>Modélisations sectorielles</t>
  </si>
  <si>
    <t>Les hypothèses se situent dans les feuilles de modélisations sectorielles, et sont résumées dans la feuille hypothèse.</t>
  </si>
  <si>
    <t>Population (indice 2019)</t>
  </si>
  <si>
    <t>Intensité émissions (ktCO2eq/ kt)</t>
  </si>
  <si>
    <t>Intensité émissions / 2019</t>
  </si>
  <si>
    <t>Intensité émissions (ktCO2eq/kt)</t>
  </si>
  <si>
    <t>NB: pour la biomasse solide et liquide, on considère que la consommation supplémentaire par rapport à 2019 est totalement importée</t>
  </si>
  <si>
    <t>IEOM, est-ce qu'on prend en compte secteur primaire ?</t>
  </si>
  <si>
    <t>Polynésie</t>
  </si>
  <si>
    <t>Scénario Prospectif CDN Polynésie</t>
  </si>
  <si>
    <r>
      <t>PIB (millions d</t>
    </r>
    <r>
      <rPr>
        <sz val="11"/>
        <color rgb="FFFF0000"/>
        <rFont val="Calibri"/>
        <family val="2"/>
        <charset val="1"/>
      </rPr>
      <t xml:space="preserve">'euros </t>
    </r>
    <r>
      <rPr>
        <sz val="11"/>
        <color rgb="FF000000"/>
        <rFont val="Calibri"/>
        <family val="2"/>
        <charset val="1"/>
      </rPr>
      <t>)</t>
    </r>
  </si>
  <si>
    <r>
      <t>PIB/hab. (e/hab.</t>
    </r>
    <r>
      <rPr>
        <sz val="11"/>
        <color rgb="FF000000"/>
        <rFont val="Calibri"/>
        <family val="2"/>
        <charset val="1"/>
      </rPr>
      <t>)</t>
    </r>
  </si>
  <si>
    <t>Sources: Population: ISPF (Population moyenne). PIB: ISPF (Taux de change déterminé par la DGFIP (0,00838))</t>
  </si>
  <si>
    <r>
      <t>CH</t>
    </r>
    <r>
      <rPr>
        <b/>
        <vertAlign val="subscript"/>
        <sz val="20"/>
        <rFont val="Trebuchet MS"/>
        <family val="2"/>
      </rPr>
      <t>4</t>
    </r>
  </si>
  <si>
    <t>Méthane</t>
  </si>
  <si>
    <r>
      <t>Emissions dans l'air - Source Citepa édition 2021</t>
    </r>
    <r>
      <rPr>
        <sz val="10"/>
        <rFont val="Trebuchet MS"/>
        <family val="2"/>
      </rPr>
      <t xml:space="preserve"> - inventaire national d'émissions de gaz à effet de serre et de polluants atmosphériques en Outre-mer - citepa.org</t>
    </r>
  </si>
  <si>
    <r>
      <t>Emissions de CH</t>
    </r>
    <r>
      <rPr>
        <b/>
        <i/>
        <vertAlign val="subscript"/>
        <sz val="9"/>
        <rFont val="Trebuchet MS"/>
        <family val="2"/>
      </rPr>
      <t>4</t>
    </r>
    <r>
      <rPr>
        <b/>
        <i/>
        <sz val="9"/>
        <rFont val="Trebuchet MS"/>
        <family val="2"/>
      </rPr>
      <t xml:space="preserve"> (t/an)
Périmètre : Polynésie française</t>
    </r>
  </si>
  <si>
    <r>
      <t>CH</t>
    </r>
    <r>
      <rPr>
        <vertAlign val="subscript"/>
        <sz val="9"/>
        <color theme="1"/>
        <rFont val="Trebuchet MS"/>
        <family val="2"/>
      </rPr>
      <t>4</t>
    </r>
  </si>
  <si>
    <r>
      <t>Evolution des émissions dans l'air de CH</t>
    </r>
    <r>
      <rPr>
        <b/>
        <vertAlign val="subscript"/>
        <sz val="10"/>
        <color rgb="FF233F85"/>
        <rFont val="Trebuchet MS"/>
        <family val="2"/>
      </rPr>
      <t>4</t>
    </r>
    <r>
      <rPr>
        <b/>
        <sz val="10"/>
        <color rgb="FF233F85"/>
        <rFont val="Trebuchet MS"/>
        <family val="2"/>
      </rPr>
      <t xml:space="preserve"> depuis 1990 en Polynésie française</t>
    </r>
  </si>
  <si>
    <t>Répartition avec UTCATF</t>
  </si>
  <si>
    <r>
      <t>N</t>
    </r>
    <r>
      <rPr>
        <b/>
        <vertAlign val="subscript"/>
        <sz val="20"/>
        <rFont val="Trebuchet MS"/>
        <family val="2"/>
      </rPr>
      <t>2</t>
    </r>
    <r>
      <rPr>
        <b/>
        <sz val="20"/>
        <rFont val="Trebuchet MS"/>
        <family val="2"/>
      </rPr>
      <t>O</t>
    </r>
  </si>
  <si>
    <t>Protoxyde d'azote</t>
  </si>
  <si>
    <r>
      <t>Emissions de N</t>
    </r>
    <r>
      <rPr>
        <b/>
        <i/>
        <vertAlign val="subscript"/>
        <sz val="9"/>
        <rFont val="Trebuchet MS"/>
        <family val="2"/>
      </rPr>
      <t>2</t>
    </r>
    <r>
      <rPr>
        <b/>
        <i/>
        <sz val="9"/>
        <rFont val="Trebuchet MS"/>
        <family val="2"/>
      </rPr>
      <t>O (t/an)
Périmètre : Polynésie française</t>
    </r>
  </si>
  <si>
    <r>
      <t>N</t>
    </r>
    <r>
      <rPr>
        <vertAlign val="subscript"/>
        <sz val="9"/>
        <color theme="1"/>
        <rFont val="Trebuchet MS"/>
        <family val="2"/>
      </rPr>
      <t>2</t>
    </r>
    <r>
      <rPr>
        <sz val="9"/>
        <color theme="1"/>
        <rFont val="Trebuchet MS"/>
        <family val="2"/>
      </rPr>
      <t>O</t>
    </r>
  </si>
  <si>
    <r>
      <t>Evolution des émissions dans l'air de N</t>
    </r>
    <r>
      <rPr>
        <b/>
        <vertAlign val="subscript"/>
        <sz val="10"/>
        <color rgb="FF233F85"/>
        <rFont val="Trebuchet MS"/>
        <family val="2"/>
      </rPr>
      <t>2</t>
    </r>
    <r>
      <rPr>
        <b/>
        <sz val="10"/>
        <color rgb="FF233F85"/>
        <rFont val="Trebuchet MS"/>
        <family val="2"/>
      </rPr>
      <t>O depuis 1990 en Polynésie française</t>
    </r>
  </si>
  <si>
    <r>
      <t>CO</t>
    </r>
    <r>
      <rPr>
        <b/>
        <vertAlign val="subscript"/>
        <sz val="20"/>
        <rFont val="Trebuchet MS"/>
        <family val="2"/>
      </rPr>
      <t>2</t>
    </r>
  </si>
  <si>
    <t>Dioxyde de carbone</t>
  </si>
  <si>
    <r>
      <rPr>
        <b/>
        <sz val="10"/>
        <rFont val="Trebuchet MS"/>
        <family val="2"/>
      </rPr>
      <t>Emissions dans l'air - Source Citepa édition 2021</t>
    </r>
    <r>
      <rPr>
        <sz val="10"/>
        <rFont val="Trebuchet MS"/>
        <family val="2"/>
      </rPr>
      <t xml:space="preserve"> - inventaire national d'émissions de gaz à effet de serre et de polluants atmosphériques en Outre-mer - citepa.org</t>
    </r>
  </si>
  <si>
    <r>
      <t>Emissions de CO</t>
    </r>
    <r>
      <rPr>
        <b/>
        <i/>
        <vertAlign val="subscript"/>
        <sz val="9"/>
        <rFont val="Trebuchet MS"/>
        <family val="2"/>
      </rPr>
      <t>2</t>
    </r>
    <r>
      <rPr>
        <b/>
        <i/>
        <sz val="9"/>
        <rFont val="Trebuchet MS"/>
        <family val="2"/>
      </rPr>
      <t xml:space="preserve"> (kt/an)
Périmètre : Polynésie française</t>
    </r>
  </si>
  <si>
    <r>
      <t>CO</t>
    </r>
    <r>
      <rPr>
        <vertAlign val="subscript"/>
        <sz val="9"/>
        <color theme="1"/>
        <rFont val="Trebuchet MS"/>
        <family val="2"/>
      </rPr>
      <t>2</t>
    </r>
  </si>
  <si>
    <r>
      <t>Evolution des émissions dans l'air de CO</t>
    </r>
    <r>
      <rPr>
        <b/>
        <vertAlign val="subscript"/>
        <sz val="10"/>
        <color rgb="FF233F85"/>
        <rFont val="Trebuchet MS"/>
        <family val="2"/>
      </rPr>
      <t>2</t>
    </r>
    <r>
      <rPr>
        <b/>
        <sz val="10"/>
        <color rgb="FF233F85"/>
        <rFont val="Trebuchet MS"/>
        <family val="2"/>
      </rPr>
      <t xml:space="preserve"> depuis 1990 en Polynésie française</t>
    </r>
  </si>
  <si>
    <t>Le scénario BAU se base généralement sur les tendances des dernières années et des évolutions globales attendues. Peuvent également être prises en compte des actions prévues (qui figurent par exemple dans des schémas directeurs ou autres plans et programmes) mais uniquement quand elles sont précisément planifiées et budgétées et que les effets sont mesurables.</t>
  </si>
  <si>
    <t>D'après CDN BAU</t>
  </si>
  <si>
    <t>Hydro</t>
  </si>
  <si>
    <t>Autres EnR</t>
  </si>
  <si>
    <t>Thermique</t>
  </si>
  <si>
    <t>Production (avec pertes 11,7%)</t>
  </si>
  <si>
    <t>insi, les actions permettant d’atteindre cet objectif de 75% d’EnR dans le mix électrique ne sont pas suffisamment définies aujourd’hui (ni dans le PTE, ni ailleurs) pour que l’objectif soit atteignable avec les mesures actuelles…</t>
  </si>
  <si>
    <t>On va prendre le scénario 1 du CDN pour l'AME</t>
  </si>
  <si>
    <t>Scénario 1</t>
  </si>
  <si>
    <t>ISPF enquete taux d'équipements</t>
  </si>
  <si>
    <t>Stabilité du nombre de camions</t>
  </si>
  <si>
    <t>CDN scénario 1:</t>
  </si>
  <si>
    <t>GWH elec</t>
  </si>
  <si>
    <t>GWH thermique</t>
  </si>
  <si>
    <t>Part elec</t>
  </si>
  <si>
    <t>HFC</t>
  </si>
  <si>
    <t>Hydrofluorocarbures</t>
  </si>
  <si>
    <r>
      <t>Emissions de HFC (tCO</t>
    </r>
    <r>
      <rPr>
        <b/>
        <i/>
        <vertAlign val="subscript"/>
        <sz val="9"/>
        <rFont val="Trebuchet MS"/>
        <family val="2"/>
      </rPr>
      <t>2</t>
    </r>
    <r>
      <rPr>
        <b/>
        <i/>
        <sz val="9"/>
        <rFont val="Trebuchet MS"/>
        <family val="2"/>
      </rPr>
      <t>e/an)
Périmètre : Polynésie française</t>
    </r>
  </si>
  <si>
    <t>Evolution des émissions dans l'air de HFC depuis 1990 en Polynésie française</t>
  </si>
  <si>
    <t>Répartition</t>
  </si>
  <si>
    <t>Chiffre en 2030 PPH polynésie rapporté à la population+ hypothèse PPH -1% / an</t>
  </si>
  <si>
    <t>Scénario 1b Evolution consommation finale Res / tertiaire / industrie</t>
  </si>
  <si>
    <t>%</t>
  </si>
  <si>
    <t>Calculé à partir des pourcentages de réduction de consommation d'énergie primaire dans le scénario  1b CDN.</t>
  </si>
  <si>
    <t>Calculé à partir des hypothèses du CDN du scénario 1b (mêmes hypothèses de population). Les volumes ne sont pas les mêmes, mais le pourcentage oui.</t>
  </si>
  <si>
    <t>dont chaleur vendue</t>
  </si>
  <si>
    <t>Scénario 1b CDN</t>
  </si>
  <si>
    <t>Consommation primaire (GWh)</t>
  </si>
  <si>
    <t>GES /20</t>
  </si>
  <si>
    <t>éveloppement « raisonnable » de la production de l’agriculture, de l’élevage et de la transformation</t>
  </si>
  <si>
    <t>volution des pratiques culturales</t>
  </si>
  <si>
    <t>Réduction des émissions de GES azotés du secteur agricole</t>
  </si>
  <si>
    <t>Définition d’une politique sectorielle déchets (réduction, amélioration de la valorisation, notamment des fermentescibles)</t>
  </si>
  <si>
    <t>Réduction sensible des impacts du secteur déchets</t>
  </si>
  <si>
    <t>2050/2019</t>
  </si>
  <si>
    <t>Hypothèses: on se base sur les réduction d'émissoins CDN scénario 1.On suppose la même baisse des émissions en méthane et en N20</t>
  </si>
  <si>
    <t>Estimation Girus 2012, étude d'évaluatoin des gisements de déchets polynésien</t>
  </si>
  <si>
    <t>Scénario 1 CDN:</t>
  </si>
  <si>
    <t>Emissions /2020</t>
  </si>
  <si>
    <t>Hypothèses: Baisse de 15% de l'intensité des émissions déchets en 2050 par rapport à 2015. On ajuste les chiffres pour coller aux hypothèses de réduction des CDN</t>
  </si>
  <si>
    <t>Quantité de déchets / hab / 2019</t>
  </si>
  <si>
    <t>Scenario 1b</t>
  </si>
  <si>
    <t>emissions Gaz fluoré /2020</t>
  </si>
  <si>
    <t>Calibré pour avoir le même taux de réduction de gaz fluoré que CDN scénario 1b (+117% en 2050)</t>
  </si>
  <si>
    <t xml:space="preserve">Scénario 1: </t>
  </si>
  <si>
    <t>Emissions du transport routier quasi constantes</t>
  </si>
  <si>
    <t>EnR élec</t>
  </si>
  <si>
    <t>Biocard</t>
  </si>
  <si>
    <t>Gaz r</t>
  </si>
  <si>
    <t>Rendements métropolitains</t>
  </si>
  <si>
    <t>Pib/hab métropole</t>
  </si>
  <si>
    <t>Ecart 2019</t>
  </si>
  <si>
    <t>Fioul</t>
  </si>
  <si>
    <t>Emissions 2050 elec</t>
  </si>
  <si>
    <t>Consommation GWh</t>
  </si>
  <si>
    <t>Emissions ktCO2</t>
  </si>
  <si>
    <t>Intensité moyenne</t>
  </si>
  <si>
    <t>ktCO2/GWh</t>
  </si>
  <si>
    <t>Emssions industrie</t>
  </si>
  <si>
    <t>Elec industrie</t>
  </si>
  <si>
    <t>Emissions 2019 elec</t>
  </si>
  <si>
    <t>Emissions</t>
  </si>
  <si>
    <t>Rapport 2050/2019</t>
  </si>
  <si>
    <t>Sources: Scénario Prospectif CDN Polynésie. Hypothèse AME2018, la polynésie rattrape 50% de son écart avec la France métropolitaine en 2050. Mais incohérent avec les tendances depuis 30 ans (https://www.ispf.pf/publication/1261), avec une stagnation de l'écart avec la métropole (rapport 2). Donc on prend l'hypothèse d'une stagnation de l'écart avec la France, qui est d'un facteur 2.</t>
  </si>
  <si>
    <t>Diminution progressive (peu d'industries lourdes en Polynésie)</t>
  </si>
  <si>
    <t>A peu près compatible (il faudrait 0,94)</t>
  </si>
  <si>
    <t>Maritime</t>
  </si>
  <si>
    <t>Aérien</t>
  </si>
  <si>
    <t>Bilan SDES</t>
  </si>
  <si>
    <t>1. AME</t>
  </si>
  <si>
    <t>Consommation Maritime</t>
  </si>
  <si>
    <t>National</t>
  </si>
  <si>
    <t>Stabilité</t>
  </si>
  <si>
    <t>International</t>
  </si>
  <si>
    <t>Transport maritime national</t>
  </si>
  <si>
    <t>Evolution trafic fluvial</t>
  </si>
  <si>
    <t>Indice d'efficacité énergétique</t>
  </si>
  <si>
    <t>Essence maritime plaisance</t>
  </si>
  <si>
    <t>Electricité maritime plaisance</t>
  </si>
  <si>
    <t>Hypothèses: reprise métropole AME2023 run 2</t>
  </si>
  <si>
    <t>Consommation Maritime National (GWh)</t>
  </si>
  <si>
    <t>Tendance dépendante de la population</t>
  </si>
  <si>
    <t>dont essence (GWh)</t>
  </si>
  <si>
    <t>dont électrique (GWh)</t>
  </si>
  <si>
    <t>Hypothèse: croissance avec la population</t>
  </si>
  <si>
    <t>Soutes Internationales</t>
  </si>
  <si>
    <t>Croissance du trafic</t>
  </si>
  <si>
    <t>Indicateur d'efficacité énergétique</t>
  </si>
  <si>
    <t>Gaz naturel liquéfié</t>
  </si>
  <si>
    <t>dont GNL bio</t>
  </si>
  <si>
    <t>dont GNL fossile</t>
  </si>
  <si>
    <t>Fioul (ou autres carburants liquides yc biocarb)</t>
  </si>
  <si>
    <t>dont bio</t>
  </si>
  <si>
    <t>dont fossile</t>
  </si>
  <si>
    <t>Hypothèses: reprise des hypothèses métropoles AME 2023 run 2</t>
  </si>
  <si>
    <t>Consommation d'énergie dans les soutes maritimes avec ventilation selon le mix (Mtep)</t>
  </si>
  <si>
    <t xml:space="preserve">Soutes maritimes internationales   </t>
  </si>
  <si>
    <t>GNL bio</t>
  </si>
  <si>
    <t>GNL fossile</t>
  </si>
  <si>
    <t>Fioul fossile</t>
  </si>
  <si>
    <t xml:space="preserve">Hypothèses: </t>
  </si>
  <si>
    <t>Consommations historiques</t>
  </si>
  <si>
    <t>2018</t>
  </si>
  <si>
    <t>2019</t>
  </si>
  <si>
    <t>2020</t>
  </si>
  <si>
    <t>2021</t>
  </si>
  <si>
    <t>Internationaux (tonnes)</t>
  </si>
  <si>
    <t>Internationaux (GWh)</t>
  </si>
  <si>
    <t>Données CITEPA converties en GWH avec PCI 44GJ/t (carburéacteur)</t>
  </si>
  <si>
    <t>Métropole-OM &amp; intra OM</t>
  </si>
  <si>
    <t>Evolution trafic</t>
  </si>
  <si>
    <t>Consos unitaires</t>
  </si>
  <si>
    <t>Trafics Dom-Com</t>
  </si>
  <si>
    <t>Trafic / 2019</t>
  </si>
  <si>
    <t>Hypothèses trafics DOM-COM reprises AME2023 run 2</t>
  </si>
  <si>
    <t>Internationaux</t>
  </si>
  <si>
    <t>Trafics internationaux</t>
  </si>
  <si>
    <t>Intra-Wallis</t>
  </si>
  <si>
    <t>On considère qu'il n'y a pas d'introduction de biocarburants (négligeable)</t>
  </si>
  <si>
    <t>Intra-Polynésie (tonnes)</t>
  </si>
  <si>
    <t>Intra-Polynésie (GWh)</t>
  </si>
  <si>
    <t>Elec EnR</t>
  </si>
  <si>
    <t>I. Vision CDN</t>
  </si>
  <si>
    <t>D'après CDN BAU (GWh)</t>
  </si>
  <si>
    <t>Scénario BAU</t>
  </si>
  <si>
    <t>Hypothèses:Calculs à partir du scénario 1 du CDN pour la capacité de production des EnR, puis bouclage avec les moyens thermiques.</t>
  </si>
  <si>
    <t>Hypothèses: évolution du kilométrage moyen par voiture de +10% (hypothèse métropole. Trajectoires de déploiement flotte électrique basée sur le CDN. Efficacité basée sur métropole)</t>
  </si>
  <si>
    <t>Comparaison conso carburants vs bilans SDES. Hypothèse de 63% VP (CDN)</t>
  </si>
  <si>
    <t>Evolution conso énergie CDN scénario 1.</t>
  </si>
  <si>
    <t>Scénario 1 CDN</t>
  </si>
  <si>
    <t>% entre chaque date</t>
  </si>
  <si>
    <t>Emissions industrie</t>
  </si>
  <si>
    <t>Hypothèses: On calibre les économies d'énergie et la VA indus pour suivre la trajectoire de réduction d'émissions du CDN scénario 1 (-94% /2019 en 2050). Voir onglet compatibilité CDN</t>
  </si>
  <si>
    <t>Résidentiel (GWh)</t>
  </si>
  <si>
    <t>Hypothèses: Calibration sur scénario 1b</t>
  </si>
  <si>
    <t>10%%</t>
  </si>
  <si>
    <t>Mix / biomasse</t>
  </si>
  <si>
    <t>En l'absence de disponibilité historique, on considère le mix de la réunion</t>
  </si>
  <si>
    <t>Méthode de réduction brute</t>
  </si>
  <si>
    <t>Scénario 4 (AMS)</t>
  </si>
  <si>
    <t>Hypothèses: Objectifs scénario 4 CDN. Fort développement de l'hydraulique et du solaire, ainsi que de la biomasse (bois énergie + coprah)</t>
  </si>
  <si>
    <t>Hypothèses: Hypothèses CDN d'une électrification du parc à 100%, et d'une forte réduction des besoins en mobilité (calibration sur les consommations d'énergie à partir d'une baisse artificielle du kilométrage moyen parcouru par camion). Pas d'hypothèses sur les poids lourds, donc on prend les hypothèses métropolitaines, qui correspond à la première partie manquante dans les bilans d'énergie</t>
  </si>
  <si>
    <t>Hypothèses:  52% d'EE indus en 2050, pour coller avec la réduction d'énergie finale du secteur résidentiel / tertiaire / industrie.</t>
  </si>
  <si>
    <t>consommations en énergie primaire et en énergie finale</t>
  </si>
  <si>
    <t>Calculé à partir des pourcentages de réduction de consommation d'énergie primaire dans le scénario 4 CDN</t>
  </si>
  <si>
    <t>Calculé à partir des hypothèses du CDN du scénario 4 (mêmes hypothèses de population). Les volumes ne sont pas les mêmes, mais le pourcentage oui.</t>
  </si>
  <si>
    <t>Hypothèses: Hypothèses de production forte du secteur, d'après le CDN scénario 4</t>
  </si>
  <si>
    <t>Hypothèses: émissions calées sur scénario 4 CDN</t>
  </si>
  <si>
    <t>Hypothèses: calé sur scénario 4 CDN</t>
  </si>
  <si>
    <t>2. AMS</t>
  </si>
  <si>
    <t>Consommation d'énergie dans les soutes maritimes avec ventilation selon le mix (GWh)</t>
  </si>
  <si>
    <t>Intra-NC (tonnes)</t>
  </si>
  <si>
    <t>Intra-NC (GWh)</t>
  </si>
  <si>
    <t>Biocarburants (kt)</t>
  </si>
  <si>
    <t>PtL (kt)</t>
  </si>
  <si>
    <t>H2 (kt)</t>
  </si>
  <si>
    <t>kérosène fossile (kt)</t>
  </si>
  <si>
    <t>Consommation totale (kt)</t>
  </si>
  <si>
    <t>Dont biocarburants</t>
  </si>
  <si>
    <t>Dont Ptl</t>
  </si>
  <si>
    <t>Dont kérosène</t>
  </si>
  <si>
    <t>Intra-NC</t>
  </si>
  <si>
    <t>International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</si>
</sst>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quot; &quot;#,##0.0&quot; &quot;;&quot;-&quot;#,##0.0&quot; &quot;;&quot; -&quot;00&quot; &quot;;&quot; &quot;@&quot; &quot;"/>
    <numFmt numFmtId="179" formatCode="_-* #,##0\ _€_-;\-* #,##0\ _€_-;_-* &quot;-&quot;???\ _€_-;_-@_-"/>
    <numFmt numFmtId="180" formatCode="_-* #,##0_-;\-* #,##0_-;_-* &quot;-&quot;??_-;_-@_-"/>
  </numFmts>
  <fonts count="112">
    <font>
      <sz val="11"/>
      <color rgb="FF000000"/>
      <name val="Calibri"/>
      <family val="2"/>
      <charset val="1"/>
    </font>
    <font>
      <sz val="11"/>
      <color theme="1"/>
      <name val="Calibri"/>
      <family val="2"/>
      <scheme val="minor"/>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color rgb="FF000000"/>
      <name val="Trebuchet MS"/>
      <family val="2"/>
      <charset val="1"/>
    </font>
    <font>
      <b/>
      <i/>
      <sz val="8"/>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b/>
      <sz val="14"/>
      <color rgb="FF000000"/>
      <name val="Calibri"/>
      <family val="2"/>
    </font>
    <font>
      <b/>
      <sz val="9"/>
      <color indexed="81"/>
      <name val="Tahoma"/>
      <charset val="1"/>
    </font>
    <font>
      <sz val="9"/>
      <color indexed="81"/>
      <name val="Tahoma"/>
      <charset val="1"/>
    </font>
    <font>
      <sz val="8"/>
      <name val="Trebuchet MS"/>
      <family val="2"/>
    </font>
    <font>
      <sz val="8"/>
      <color theme="1"/>
      <name val="Trebuchet MS"/>
      <family val="2"/>
    </font>
    <font>
      <sz val="9"/>
      <color theme="1"/>
      <name val="Trebuchet MS"/>
      <family val="2"/>
    </font>
    <font>
      <sz val="8"/>
      <color theme="0"/>
      <name val="Trebuchet MS"/>
      <family val="2"/>
    </font>
    <font>
      <i/>
      <sz val="8"/>
      <name val="Trebuchet MS"/>
      <family val="2"/>
    </font>
    <font>
      <i/>
      <sz val="8"/>
      <color theme="1"/>
      <name val="Trebuchet MS"/>
      <family val="2"/>
    </font>
    <font>
      <i/>
      <sz val="9"/>
      <color theme="1"/>
      <name val="Trebuchet MS"/>
      <family val="2"/>
    </font>
    <font>
      <b/>
      <sz val="8"/>
      <name val="Trebuchet MS"/>
      <family val="2"/>
    </font>
    <font>
      <b/>
      <sz val="9"/>
      <color theme="1"/>
      <name val="Trebuchet MS"/>
      <family val="2"/>
    </font>
    <font>
      <b/>
      <sz val="8"/>
      <color theme="1"/>
      <name val="Trebuchet MS"/>
      <family val="2"/>
    </font>
    <font>
      <b/>
      <sz val="8"/>
      <color theme="0"/>
      <name val="Trebuchet MS"/>
      <family val="2"/>
    </font>
    <font>
      <sz val="14"/>
      <name val="Trebuchet MS"/>
      <family val="2"/>
    </font>
    <font>
      <b/>
      <sz val="20"/>
      <name val="Trebuchet MS"/>
      <family val="2"/>
    </font>
    <font>
      <b/>
      <vertAlign val="subscript"/>
      <sz val="20"/>
      <name val="Trebuchet MS"/>
      <family val="2"/>
    </font>
    <font>
      <b/>
      <sz val="14"/>
      <name val="Trebuchet MS"/>
      <family val="2"/>
    </font>
    <font>
      <sz val="14"/>
      <color theme="1"/>
      <name val="Trebuchet MS"/>
      <family val="2"/>
    </font>
    <font>
      <sz val="11"/>
      <color theme="1"/>
      <name val="Trebuchet MS"/>
      <family val="2"/>
    </font>
    <font>
      <b/>
      <sz val="10"/>
      <name val="Trebuchet MS"/>
      <family val="2"/>
    </font>
    <font>
      <sz val="10"/>
      <name val="Trebuchet MS"/>
      <family val="2"/>
    </font>
    <font>
      <i/>
      <sz val="10"/>
      <name val="Trebuchet MS"/>
      <family val="2"/>
    </font>
    <font>
      <b/>
      <sz val="16"/>
      <name val="Trebuchet MS"/>
      <family val="2"/>
    </font>
    <font>
      <sz val="14"/>
      <color theme="0"/>
      <name val="Trebuchet MS"/>
      <family val="2"/>
    </font>
    <font>
      <b/>
      <sz val="14"/>
      <color theme="0"/>
      <name val="Trebuchet MS"/>
      <family val="2"/>
    </font>
    <font>
      <b/>
      <i/>
      <sz val="9"/>
      <name val="Trebuchet MS"/>
      <family val="2"/>
    </font>
    <font>
      <b/>
      <i/>
      <vertAlign val="subscript"/>
      <sz val="9"/>
      <name val="Trebuchet MS"/>
      <family val="2"/>
    </font>
    <font>
      <b/>
      <sz val="9"/>
      <name val="Trebuchet MS"/>
      <family val="2"/>
    </font>
    <font>
      <vertAlign val="subscript"/>
      <sz val="9"/>
      <color theme="1"/>
      <name val="Trebuchet MS"/>
      <family val="2"/>
    </font>
    <font>
      <b/>
      <i/>
      <sz val="8"/>
      <name val="Trebuchet MS"/>
      <family val="2"/>
    </font>
    <font>
      <b/>
      <sz val="10"/>
      <color rgb="FF233F85"/>
      <name val="Trebuchet MS"/>
      <family val="2"/>
    </font>
    <font>
      <b/>
      <vertAlign val="subscript"/>
      <sz val="10"/>
      <color rgb="FF233F85"/>
      <name val="Trebuchet MS"/>
      <family val="2"/>
    </font>
    <font>
      <sz val="10"/>
      <color theme="0" tint="-0.499984740745262"/>
      <name val="Trebuchet MS"/>
      <family val="2"/>
    </font>
    <font>
      <sz val="12"/>
      <color rgb="FF000000"/>
      <name val="Arial"/>
      <family val="2"/>
    </font>
    <font>
      <b/>
      <i/>
      <sz val="16"/>
      <color rgb="FF000000"/>
      <name val="Calibri"/>
      <family val="2"/>
    </font>
    <font>
      <sz val="11"/>
      <color rgb="FF000000"/>
      <name val="Calibri1"/>
    </font>
    <font>
      <b/>
      <sz val="11"/>
      <color rgb="FFFFFFFF"/>
      <name val="Calibri"/>
      <family val="2"/>
      <scheme val="minor"/>
    </font>
    <font>
      <sz val="11"/>
      <color rgb="FF000000"/>
      <name val="Calibri"/>
      <family val="2"/>
      <scheme val="minor"/>
    </font>
    <font>
      <sz val="10"/>
      <name val="Times New Roman"/>
      <family val="1"/>
    </font>
    <font>
      <i/>
      <sz val="11"/>
      <color rgb="FF000000"/>
      <name val="Calibri"/>
      <family val="2"/>
      <scheme val="minor"/>
    </font>
    <font>
      <b/>
      <sz val="11"/>
      <color rgb="FF000000"/>
      <name val="Calibri"/>
      <family val="2"/>
      <scheme val="minor"/>
    </font>
    <font>
      <b/>
      <sz val="11"/>
      <name val="Calibri"/>
      <family val="2"/>
      <scheme val="minor"/>
    </font>
    <font>
      <sz val="11"/>
      <name val="Calibri"/>
      <family val="2"/>
    </font>
  </fonts>
  <fills count="91">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D6E3B4"/>
        <bgColor rgb="FFD8D7D7"/>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
      <patternFill patternType="solid">
        <fgColor theme="0"/>
        <bgColor rgb="FFC0C0C0"/>
      </patternFill>
    </fill>
    <fill>
      <patternFill patternType="solid">
        <fgColor rgb="FFDDEBF7"/>
        <bgColor indexed="64"/>
      </patternFill>
    </fill>
    <fill>
      <patternFill patternType="solid">
        <fgColor rgb="FFB3A2C7"/>
        <bgColor indexed="64"/>
      </patternFill>
    </fill>
    <fill>
      <patternFill patternType="solid">
        <fgColor rgb="FFE0E5B3"/>
        <bgColor indexed="64"/>
      </patternFill>
    </fill>
    <fill>
      <patternFill patternType="solid">
        <fgColor rgb="FF92D05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rgb="FFBDC921"/>
        <bgColor indexed="64"/>
      </patternFill>
    </fill>
    <fill>
      <patternFill patternType="solid">
        <fgColor theme="4" tint="-0.499984740745262"/>
        <bgColor indexed="64"/>
      </patternFill>
    </fill>
    <fill>
      <patternFill patternType="solid">
        <fgColor rgb="FF00758F"/>
        <bgColor rgb="FF00758F"/>
      </patternFill>
    </fill>
    <fill>
      <patternFill patternType="solid">
        <fgColor theme="0"/>
        <bgColor indexed="28"/>
      </patternFill>
    </fill>
    <fill>
      <patternFill patternType="solid">
        <fgColor theme="5" tint="0.79998168889431442"/>
        <bgColor indexed="64"/>
      </patternFill>
    </fill>
    <fill>
      <patternFill patternType="solid">
        <fgColor rgb="FFFFFF99"/>
        <bgColor rgb="FFFFFF99"/>
      </patternFill>
    </fill>
    <fill>
      <patternFill patternType="solid">
        <fgColor theme="0"/>
        <bgColor rgb="FFCCCCFF"/>
      </patternFill>
    </fill>
    <fill>
      <patternFill patternType="solid">
        <fgColor theme="2" tint="-0.499984740745262"/>
        <bgColor rgb="FFFFCC00"/>
      </patternFill>
    </fill>
    <fill>
      <patternFill patternType="solid">
        <fgColor theme="2" tint="-0.499984740745262"/>
        <bgColor indexed="64"/>
      </patternFill>
    </fill>
    <fill>
      <patternFill patternType="solid">
        <fgColor theme="2" tint="-0.499984740745262"/>
        <bgColor rgb="FFD8D7D7"/>
      </patternFill>
    </fill>
    <fill>
      <patternFill patternType="solid">
        <fgColor theme="2" tint="-0.749992370372631"/>
        <bgColor rgb="FFFFCC00"/>
      </patternFill>
    </fill>
    <fill>
      <patternFill patternType="solid">
        <fgColor theme="2" tint="-0.749992370372631"/>
        <bgColor indexed="64"/>
      </patternFill>
    </fill>
    <fill>
      <patternFill patternType="solid">
        <fgColor theme="2" tint="-0.749992370372631"/>
        <bgColor rgb="FFD8D7D7"/>
      </patternFill>
    </fill>
    <fill>
      <patternFill patternType="solid">
        <fgColor theme="4" tint="0.79998168889431442"/>
        <bgColor indexed="64"/>
      </patternFill>
    </fill>
  </fills>
  <borders count="2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right style="thin">
        <color auto="1"/>
      </right>
      <top style="thin">
        <color auto="1"/>
      </top>
      <bottom/>
      <diagonal/>
    </border>
    <border>
      <left style="medium">
        <color indexed="64"/>
      </left>
      <right/>
      <top/>
      <bottom/>
      <diagonal/>
    </border>
  </borders>
  <cellStyleXfs count="7788">
    <xf numFmtId="0" fontId="0" fillId="0" borderId="0"/>
    <xf numFmtId="167" fontId="43" fillId="0" borderId="0" applyBorder="0" applyProtection="0"/>
    <xf numFmtId="168" fontId="43" fillId="0" borderId="0" applyBorder="0" applyProtection="0"/>
    <xf numFmtId="0" fontId="7" fillId="0" borderId="0" applyBorder="0" applyProtection="0"/>
    <xf numFmtId="164" fontId="43" fillId="0" borderId="0" applyBorder="0" applyProtection="0"/>
    <xf numFmtId="164" fontId="43" fillId="0" borderId="0" applyBorder="0" applyProtection="0"/>
    <xf numFmtId="0" fontId="43" fillId="2" borderId="0" applyBorder="0" applyProtection="0"/>
    <xf numFmtId="0" fontId="2" fillId="3" borderId="0" applyBorder="0" applyProtection="0"/>
    <xf numFmtId="0" fontId="43" fillId="4" borderId="0" applyBorder="0" applyProtection="0"/>
    <xf numFmtId="0" fontId="43" fillId="4" borderId="0" applyBorder="0" applyProtection="0"/>
    <xf numFmtId="0" fontId="2" fillId="3" borderId="0" applyBorder="0" applyProtection="0"/>
    <xf numFmtId="0" fontId="43" fillId="4"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4" borderId="0" applyBorder="0" applyProtection="0"/>
    <xf numFmtId="0" fontId="43" fillId="4"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3" borderId="0" applyBorder="0" applyProtection="0"/>
    <xf numFmtId="0" fontId="43" fillId="3" borderId="0" applyBorder="0" applyProtection="0"/>
    <xf numFmtId="0" fontId="43" fillId="2" borderId="0" applyBorder="0" applyProtection="0"/>
    <xf numFmtId="0" fontId="43" fillId="3" borderId="0" applyBorder="0" applyProtection="0"/>
    <xf numFmtId="0" fontId="43" fillId="3" borderId="0" applyBorder="0" applyProtection="0"/>
    <xf numFmtId="0" fontId="43" fillId="2" borderId="0" applyBorder="0" applyProtection="0"/>
    <xf numFmtId="0" fontId="43" fillId="3" borderId="0" applyBorder="0" applyProtection="0"/>
    <xf numFmtId="0" fontId="43"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2" fillId="3" borderId="0" applyBorder="0" applyProtection="0"/>
    <xf numFmtId="0" fontId="43" fillId="4" borderId="0" applyBorder="0" applyProtection="0"/>
    <xf numFmtId="0" fontId="43" fillId="2" borderId="0" applyBorder="0" applyProtection="0"/>
    <xf numFmtId="0" fontId="2" fillId="3"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5"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3" borderId="0" applyBorder="0" applyProtection="0"/>
    <xf numFmtId="0" fontId="43" fillId="3" borderId="0" applyBorder="0" applyProtection="0"/>
    <xf numFmtId="0" fontId="43" fillId="5" borderId="0" applyBorder="0" applyProtection="0"/>
    <xf numFmtId="0" fontId="43" fillId="3" borderId="0" applyBorder="0" applyProtection="0"/>
    <xf numFmtId="0" fontId="43" fillId="3" borderId="0" applyBorder="0" applyProtection="0"/>
    <xf numFmtId="0" fontId="43" fillId="5" borderId="0" applyBorder="0" applyProtection="0"/>
    <xf numFmtId="0" fontId="43" fillId="3" borderId="0" applyBorder="0" applyProtection="0"/>
    <xf numFmtId="0" fontId="43"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2" fillId="3" borderId="0" applyBorder="0" applyProtection="0"/>
    <xf numFmtId="0" fontId="43" fillId="6"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7" borderId="0" applyBorder="0" applyProtection="0"/>
    <xf numFmtId="0" fontId="2" fillId="3" borderId="0" applyBorder="0" applyProtection="0"/>
    <xf numFmtId="0" fontId="43" fillId="8" borderId="0" applyBorder="0" applyProtection="0"/>
    <xf numFmtId="0" fontId="43" fillId="8" borderId="0" applyBorder="0" applyProtection="0"/>
    <xf numFmtId="0" fontId="2" fillId="3" borderId="0" applyBorder="0" applyProtection="0"/>
    <xf numFmtId="0" fontId="43" fillId="8"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8" borderId="0" applyBorder="0" applyProtection="0"/>
    <xf numFmtId="0" fontId="43" fillId="8"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2" fillId="3" borderId="0" applyBorder="0" applyProtection="0"/>
    <xf numFmtId="0" fontId="43" fillId="8"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10"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11"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3" borderId="0" applyBorder="0" applyProtection="0"/>
    <xf numFmtId="0" fontId="43" fillId="3" borderId="0" applyBorder="0" applyProtection="0"/>
    <xf numFmtId="0" fontId="43" fillId="10" borderId="0" applyBorder="0" applyProtection="0"/>
    <xf numFmtId="0" fontId="43" fillId="3" borderId="0" applyBorder="0" applyProtection="0"/>
    <xf numFmtId="0" fontId="43" fillId="3" borderId="0" applyBorder="0" applyProtection="0"/>
    <xf numFmtId="0" fontId="43" fillId="10" borderId="0" applyBorder="0" applyProtection="0"/>
    <xf numFmtId="0" fontId="43" fillId="3" borderId="0" applyBorder="0" applyProtection="0"/>
    <xf numFmtId="0" fontId="43"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2" fillId="3" borderId="0" applyBorder="0" applyProtection="0"/>
    <xf numFmtId="0" fontId="43" fillId="11" borderId="0" applyBorder="0" applyProtection="0"/>
    <xf numFmtId="0" fontId="43" fillId="10" borderId="0" applyBorder="0" applyProtection="0"/>
    <xf numFmtId="0" fontId="2" fillId="3"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3" borderId="0" applyBorder="0" applyProtection="0"/>
    <xf numFmtId="0" fontId="43" fillId="14" borderId="0" applyBorder="0" applyProtection="0"/>
    <xf numFmtId="0" fontId="43" fillId="14"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7"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10"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10" borderId="0" applyBorder="0" applyProtection="0"/>
    <xf numFmtId="0" fontId="43" fillId="10"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3" borderId="0" applyBorder="0" applyProtection="0"/>
    <xf numFmtId="0" fontId="43"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43" fillId="7" borderId="0" applyBorder="0" applyProtection="0"/>
    <xf numFmtId="0" fontId="2" fillId="3" borderId="0" applyBorder="0" applyProtection="0"/>
    <xf numFmtId="0" fontId="2" fillId="3" borderId="0" applyBorder="0" applyProtection="0"/>
    <xf numFmtId="0" fontId="43" fillId="10" borderId="0" applyBorder="0" applyProtection="0"/>
    <xf numFmtId="0" fontId="43" fillId="7" borderId="0" applyBorder="0" applyProtection="0"/>
    <xf numFmtId="0" fontId="2" fillId="3"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7" borderId="0" applyBorder="0" applyProtection="0"/>
    <xf numFmtId="0" fontId="2" fillId="3" borderId="0" applyBorder="0" applyProtection="0"/>
    <xf numFmtId="0" fontId="43" fillId="0" borderId="0" applyBorder="0" applyProtection="0">
      <alignment horizontal="left" vertical="center" indent="4"/>
    </xf>
    <xf numFmtId="0" fontId="43" fillId="0" borderId="0" applyBorder="0" applyProtection="0">
      <alignment horizontal="left" vertical="center" indent="3"/>
    </xf>
    <xf numFmtId="0" fontId="43" fillId="12"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5"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2" fillId="3" borderId="0" applyBorder="0" applyProtection="0"/>
    <xf numFmtId="0" fontId="43" fillId="16" borderId="0" applyBorder="0" applyProtection="0"/>
    <xf numFmtId="0" fontId="43" fillId="16" borderId="0" applyBorder="0" applyProtection="0"/>
    <xf numFmtId="0" fontId="43" fillId="16"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43" fillId="5" borderId="0" applyBorder="0" applyProtection="0"/>
    <xf numFmtId="0" fontId="2" fillId="3"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5" borderId="0" applyBorder="0" applyProtection="0"/>
    <xf numFmtId="0" fontId="2" fillId="3" borderId="0" applyBorder="0" applyProtection="0"/>
    <xf numFmtId="0" fontId="43" fillId="9" borderId="0" applyBorder="0" applyProtection="0"/>
    <xf numFmtId="0" fontId="2" fillId="3" borderId="0" applyBorder="0" applyProtection="0"/>
    <xf numFmtId="0" fontId="43" fillId="17" borderId="0" applyBorder="0" applyProtection="0"/>
    <xf numFmtId="0" fontId="43" fillId="17" borderId="0" applyBorder="0" applyProtection="0"/>
    <xf numFmtId="0" fontId="2" fillId="3" borderId="0" applyBorder="0" applyProtection="0"/>
    <xf numFmtId="0" fontId="43" fillId="17"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17" borderId="0" applyBorder="0" applyProtection="0"/>
    <xf numFmtId="0" fontId="43" fillId="17"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43" fillId="7" borderId="0" applyBorder="0" applyProtection="0"/>
    <xf numFmtId="0" fontId="2" fillId="3"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6"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11"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11" borderId="0" applyBorder="0" applyProtection="0"/>
    <xf numFmtId="0" fontId="43" fillId="11"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3" borderId="0" applyBorder="0" applyProtection="0"/>
    <xf numFmtId="0" fontId="43" fillId="3" borderId="0" applyBorder="0" applyProtection="0"/>
    <xf numFmtId="0" fontId="43" fillId="6" borderId="0" applyBorder="0" applyProtection="0"/>
    <xf numFmtId="0" fontId="43" fillId="3" borderId="0" applyBorder="0" applyProtection="0"/>
    <xf numFmtId="0" fontId="43" fillId="3" borderId="0" applyBorder="0" applyProtection="0"/>
    <xf numFmtId="0" fontId="43" fillId="6" borderId="0" applyBorder="0" applyProtection="0"/>
    <xf numFmtId="0" fontId="43" fillId="3" borderId="0" applyBorder="0" applyProtection="0"/>
    <xf numFmtId="0" fontId="43"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43" fillId="6" borderId="0" applyBorder="0" applyProtection="0"/>
    <xf numFmtId="0" fontId="2" fillId="3" borderId="0" applyBorder="0" applyProtection="0"/>
    <xf numFmtId="0" fontId="2" fillId="3" borderId="0" applyBorder="0" applyProtection="0"/>
    <xf numFmtId="0" fontId="43" fillId="15" borderId="0" applyBorder="0" applyProtection="0"/>
    <xf numFmtId="0" fontId="43" fillId="6" borderId="0" applyBorder="0" applyProtection="0"/>
    <xf numFmtId="0" fontId="2" fillId="3"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6" borderId="0" applyBorder="0" applyProtection="0"/>
    <xf numFmtId="0" fontId="2" fillId="3" borderId="0" applyBorder="0" applyProtection="0"/>
    <xf numFmtId="0" fontId="43" fillId="12"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2" borderId="0" applyBorder="0" applyProtection="0"/>
    <xf numFmtId="0" fontId="43" fillId="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3" borderId="0" applyBorder="0" applyProtection="0"/>
    <xf numFmtId="0" fontId="43"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43" fillId="12" borderId="0" applyBorder="0" applyProtection="0"/>
    <xf numFmtId="0" fontId="2" fillId="3" borderId="0" applyBorder="0" applyProtection="0"/>
    <xf numFmtId="0" fontId="2" fillId="3" borderId="0" applyBorder="0" applyProtection="0"/>
    <xf numFmtId="0" fontId="43" fillId="2" borderId="0" applyBorder="0" applyProtection="0"/>
    <xf numFmtId="0" fontId="43" fillId="12" borderId="0" applyBorder="0" applyProtection="0"/>
    <xf numFmtId="0" fontId="2" fillId="3"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12" borderId="0" applyBorder="0" applyProtection="0"/>
    <xf numFmtId="0" fontId="2" fillId="3" borderId="0" applyBorder="0" applyProtection="0"/>
    <xf numFmtId="0" fontId="43" fillId="9" borderId="0" applyBorder="0" applyProtection="0"/>
    <xf numFmtId="0" fontId="2" fillId="3" borderId="0" applyBorder="0" applyProtection="0"/>
    <xf numFmtId="0" fontId="43" fillId="18" borderId="0" applyBorder="0" applyProtection="0"/>
    <xf numFmtId="0" fontId="43" fillId="18" borderId="0" applyBorder="0" applyProtection="0"/>
    <xf numFmtId="0" fontId="2" fillId="3" borderId="0" applyBorder="0" applyProtection="0"/>
    <xf numFmtId="0" fontId="43" fillId="18"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18" borderId="0" applyBorder="0" applyProtection="0"/>
    <xf numFmtId="0" fontId="43" fillId="18"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3" borderId="0" applyBorder="0" applyProtection="0"/>
    <xf numFmtId="0" fontId="43"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43" fillId="9" borderId="0" applyBorder="0" applyProtection="0"/>
    <xf numFmtId="0" fontId="2" fillId="3" borderId="0" applyBorder="0" applyProtection="0"/>
    <xf numFmtId="0" fontId="2" fillId="3" borderId="0" applyBorder="0" applyProtection="0"/>
    <xf numFmtId="0" fontId="43" fillId="7" borderId="0" applyBorder="0" applyProtection="0"/>
    <xf numFmtId="0" fontId="43" fillId="9" borderId="0" applyBorder="0" applyProtection="0"/>
    <xf numFmtId="0" fontId="2" fillId="3"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9" borderId="0" applyBorder="0" applyProtection="0"/>
    <xf numFmtId="0" fontId="2" fillId="3" borderId="0" applyBorder="0" applyProtection="0"/>
    <xf numFmtId="0" fontId="43" fillId="0" borderId="0" applyBorder="0" applyProtection="0">
      <alignment horizontal="left" vertical="center" indent="9"/>
    </xf>
    <xf numFmtId="0" fontId="43" fillId="0" borderId="0" applyBorder="0" applyProtection="0">
      <alignment horizontal="left" vertical="center" indent="7"/>
    </xf>
    <xf numFmtId="0" fontId="3" fillId="12" borderId="0" applyBorder="0" applyProtection="0"/>
    <xf numFmtId="0" fontId="2" fillId="3" borderId="0" applyBorder="0" applyProtection="0"/>
    <xf numFmtId="0" fontId="3" fillId="19" borderId="0" applyBorder="0" applyProtection="0"/>
    <xf numFmtId="0" fontId="3" fillId="19" borderId="0" applyBorder="0" applyProtection="0"/>
    <xf numFmtId="0" fontId="2" fillId="3" borderId="0" applyBorder="0" applyProtection="0"/>
    <xf numFmtId="0" fontId="3" fillId="19"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9" borderId="0" applyBorder="0" applyProtection="0"/>
    <xf numFmtId="0" fontId="3" fillId="19"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2" fillId="3" borderId="0" applyBorder="0" applyProtection="0"/>
    <xf numFmtId="0" fontId="3" fillId="20"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21"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2" fillId="3" borderId="0" applyBorder="0" applyProtection="0"/>
    <xf numFmtId="0" fontId="3" fillId="5"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18" borderId="0" applyBorder="0" applyProtection="0"/>
    <xf numFmtId="0" fontId="2" fillId="3" borderId="0" applyBorder="0" applyProtection="0"/>
    <xf numFmtId="0" fontId="3" fillId="17" borderId="0" applyBorder="0" applyProtection="0"/>
    <xf numFmtId="0" fontId="3" fillId="17" borderId="0" applyBorder="0" applyProtection="0"/>
    <xf numFmtId="0" fontId="2" fillId="3" borderId="0" applyBorder="0" applyProtection="0"/>
    <xf numFmtId="0" fontId="3" fillId="17"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7" borderId="0" applyBorder="0" applyProtection="0"/>
    <xf numFmtId="0" fontId="3" fillId="17"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2" fillId="3" borderId="0" applyBorder="0" applyProtection="0"/>
    <xf numFmtId="0" fontId="3" fillId="7"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6"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22"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3" borderId="0" applyBorder="0" applyProtection="0"/>
    <xf numFmtId="0" fontId="3" fillId="6" borderId="0" applyBorder="0" applyProtection="0"/>
    <xf numFmtId="0" fontId="3" fillId="3" borderId="0" applyBorder="0" applyProtection="0"/>
    <xf numFmtId="0" fontId="3" fillId="6" borderId="0" applyBorder="0" applyProtection="0"/>
    <xf numFmtId="0" fontId="3" fillId="3" borderId="0" applyBorder="0" applyProtection="0"/>
    <xf numFmtId="0" fontId="3" fillId="6"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3" fillId="6" borderId="0" applyBorder="0" applyProtection="0"/>
    <xf numFmtId="0" fontId="2" fillId="3" borderId="0" applyBorder="0" applyProtection="0"/>
    <xf numFmtId="0" fontId="2" fillId="3" borderId="0" applyBorder="0" applyProtection="0"/>
    <xf numFmtId="0" fontId="3" fillId="15" borderId="0" applyBorder="0" applyProtection="0"/>
    <xf numFmtId="0" fontId="3" fillId="6" borderId="0" applyBorder="0" applyProtection="0"/>
    <xf numFmtId="0" fontId="2" fillId="3"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6" borderId="0" applyBorder="0" applyProtection="0"/>
    <xf numFmtId="0" fontId="2" fillId="3" borderId="0" applyBorder="0" applyProtection="0"/>
    <xf numFmtId="0" fontId="3" fillId="12"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3" fillId="12" borderId="0" applyBorder="0" applyProtection="0"/>
    <xf numFmtId="0" fontId="2" fillId="3" borderId="0" applyBorder="0" applyProtection="0"/>
    <xf numFmtId="0" fontId="2" fillId="3" borderId="0" applyBorder="0" applyProtection="0"/>
    <xf numFmtId="0" fontId="3" fillId="20" borderId="0" applyBorder="0" applyProtection="0"/>
    <xf numFmtId="0" fontId="3" fillId="12" borderId="0" applyBorder="0" applyProtection="0"/>
    <xf numFmtId="0" fontId="2" fillId="3"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12" borderId="0" applyBorder="0" applyProtection="0"/>
    <xf numFmtId="0" fontId="2" fillId="3" borderId="0" applyBorder="0" applyProtection="0"/>
    <xf numFmtId="0" fontId="3" fillId="5" borderId="0" applyBorder="0" applyProtection="0"/>
    <xf numFmtId="0" fontId="2" fillId="3" borderId="0" applyBorder="0" applyProtection="0"/>
    <xf numFmtId="0" fontId="3" fillId="23" borderId="0" applyBorder="0" applyProtection="0"/>
    <xf numFmtId="0" fontId="3" fillId="23" borderId="0" applyBorder="0" applyProtection="0"/>
    <xf numFmtId="0" fontId="2" fillId="3" borderId="0" applyBorder="0" applyProtection="0"/>
    <xf numFmtId="0" fontId="3" fillId="23"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23" borderId="0" applyBorder="0" applyProtection="0"/>
    <xf numFmtId="0" fontId="3" fillId="23"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3" borderId="0" applyBorder="0" applyProtection="0"/>
    <xf numFmtId="0" fontId="3" fillId="5" borderId="0" applyBorder="0" applyProtection="0"/>
    <xf numFmtId="0" fontId="3" fillId="3" borderId="0" applyBorder="0" applyProtection="0"/>
    <xf numFmtId="0" fontId="3" fillId="5" borderId="0" applyBorder="0" applyProtection="0"/>
    <xf numFmtId="0" fontId="3"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3" fillId="5" borderId="0" applyBorder="0" applyProtection="0"/>
    <xf numFmtId="0" fontId="2" fillId="3"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3" fillId="5" borderId="0" applyBorder="0" applyProtection="0"/>
    <xf numFmtId="0" fontId="2" fillId="3" borderId="0" applyBorder="0" applyProtection="0"/>
    <xf numFmtId="0" fontId="4" fillId="0" borderId="0"/>
    <xf numFmtId="0" fontId="4" fillId="0" borderId="0"/>
    <xf numFmtId="165" fontId="4" fillId="4" borderId="0"/>
    <xf numFmtId="165" fontId="4" fillId="3" borderId="0"/>
    <xf numFmtId="0" fontId="43" fillId="4" borderId="0" applyBorder="0" applyProtection="0"/>
    <xf numFmtId="0" fontId="2" fillId="3" borderId="0" applyBorder="0" applyProtection="0"/>
    <xf numFmtId="0" fontId="43" fillId="4" borderId="0" applyBorder="0" applyProtection="0"/>
    <xf numFmtId="0" fontId="2" fillId="3" borderId="0" applyBorder="0" applyProtection="0"/>
    <xf numFmtId="0" fontId="3" fillId="2" borderId="0" applyBorder="0" applyProtection="0"/>
    <xf numFmtId="0" fontId="2" fillId="3" borderId="0" applyBorder="0" applyProtection="0"/>
    <xf numFmtId="0" fontId="3" fillId="24" borderId="0" applyBorder="0" applyProtection="0"/>
    <xf numFmtId="0" fontId="2" fillId="24" borderId="0" applyBorder="0" applyProtection="0"/>
    <xf numFmtId="0" fontId="3" fillId="24" borderId="0" applyBorder="0" applyProtection="0"/>
    <xf numFmtId="0" fontId="3" fillId="25" borderId="0" applyBorder="0" applyProtection="0"/>
    <xf numFmtId="0" fontId="2" fillId="26" borderId="0" applyBorder="0" applyProtection="0"/>
    <xf numFmtId="0" fontId="3" fillId="25" borderId="0" applyBorder="0" applyProtection="0"/>
    <xf numFmtId="0" fontId="2" fillId="26" borderId="0" applyBorder="0" applyProtection="0"/>
    <xf numFmtId="0" fontId="3" fillId="24" borderId="0" applyBorder="0" applyProtection="0"/>
    <xf numFmtId="0" fontId="2" fillId="24" borderId="0" applyBorder="0" applyProtection="0"/>
    <xf numFmtId="0" fontId="3" fillId="25" borderId="0" applyBorder="0" applyProtection="0"/>
    <xf numFmtId="0" fontId="2" fillId="26" borderId="0" applyBorder="0" applyProtection="0"/>
    <xf numFmtId="0" fontId="2" fillId="24" borderId="0" applyBorder="0" applyProtection="0"/>
    <xf numFmtId="0" fontId="3" fillId="24" borderId="0" applyBorder="0" applyProtection="0"/>
    <xf numFmtId="0" fontId="3" fillId="25" borderId="0" applyBorder="0" applyProtection="0"/>
    <xf numFmtId="0" fontId="2" fillId="26" borderId="0" applyBorder="0" applyProtection="0"/>
    <xf numFmtId="0" fontId="3" fillId="24" borderId="0" applyBorder="0" applyProtection="0"/>
    <xf numFmtId="0" fontId="2" fillId="24" borderId="0" applyBorder="0" applyProtection="0"/>
    <xf numFmtId="0" fontId="3" fillId="25" borderId="0" applyBorder="0" applyProtection="0"/>
    <xf numFmtId="0" fontId="2" fillId="26" borderId="0" applyBorder="0" applyProtection="0"/>
    <xf numFmtId="0" fontId="2" fillId="24" borderId="0" applyBorder="0" applyProtection="0"/>
    <xf numFmtId="0" fontId="3"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3" fillId="24" borderId="0" applyBorder="0" applyProtection="0"/>
    <xf numFmtId="0" fontId="3"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4" borderId="0" applyBorder="0" applyProtection="0"/>
    <xf numFmtId="0" fontId="3" fillId="24" borderId="0" applyBorder="0" applyProtection="0"/>
    <xf numFmtId="0" fontId="2" fillId="24" borderId="0" applyBorder="0" applyProtection="0"/>
    <xf numFmtId="0" fontId="2" fillId="24" borderId="0" applyBorder="0" applyProtection="0"/>
    <xf numFmtId="0" fontId="3" fillId="20" borderId="0" applyBorder="0" applyProtection="0"/>
    <xf numFmtId="0" fontId="3" fillId="24" borderId="0" applyBorder="0" applyProtection="0"/>
    <xf numFmtId="0" fontId="2" fillId="24" borderId="0" applyBorder="0" applyProtection="0"/>
    <xf numFmtId="0" fontId="2" fillId="3" borderId="0" applyBorder="0" applyProtection="0"/>
    <xf numFmtId="0" fontId="3" fillId="20" borderId="0" applyBorder="0" applyProtection="0"/>
    <xf numFmtId="0" fontId="3" fillId="24" borderId="0" applyBorder="0" applyProtection="0"/>
    <xf numFmtId="0" fontId="2" fillId="24" borderId="0" applyBorder="0" applyProtection="0"/>
    <xf numFmtId="0" fontId="2" fillId="3" borderId="0" applyBorder="0" applyProtection="0"/>
    <xf numFmtId="0" fontId="3" fillId="20" borderId="0" applyBorder="0" applyProtection="0"/>
    <xf numFmtId="0" fontId="3" fillId="24" borderId="0" applyBorder="0" applyProtection="0"/>
    <xf numFmtId="0" fontId="2" fillId="24" borderId="0" applyBorder="0" applyProtection="0"/>
    <xf numFmtId="0" fontId="2" fillId="3" borderId="0" applyBorder="0" applyProtection="0"/>
    <xf numFmtId="0" fontId="3" fillId="24" borderId="0" applyBorder="0" applyProtection="0"/>
    <xf numFmtId="0" fontId="2" fillId="24" borderId="0" applyBorder="0" applyProtection="0"/>
    <xf numFmtId="0" fontId="43" fillId="9" borderId="0" applyBorder="0" applyProtection="0"/>
    <xf numFmtId="0" fontId="2" fillId="3" borderId="0" applyBorder="0" applyProtection="0"/>
    <xf numFmtId="0" fontId="43" fillId="15" borderId="0" applyBorder="0" applyProtection="0"/>
    <xf numFmtId="0" fontId="2" fillId="3" borderId="0" applyBorder="0" applyProtection="0"/>
    <xf numFmtId="0" fontId="3" fillId="27"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3" fillId="28" borderId="0" applyBorder="0" applyProtection="0"/>
    <xf numFmtId="0" fontId="2" fillId="3" borderId="0" applyBorder="0" applyProtection="0"/>
    <xf numFmtId="0" fontId="3" fillId="28" borderId="0" applyBorder="0" applyProtection="0"/>
    <xf numFmtId="0" fontId="2" fillId="3" borderId="0" applyBorder="0" applyProtection="0"/>
    <xf numFmtId="0" fontId="3" fillId="21" borderId="0" applyBorder="0" applyProtection="0"/>
    <xf numFmtId="0" fontId="2" fillId="3" borderId="0" applyBorder="0" applyProtection="0"/>
    <xf numFmtId="0" fontId="3" fillId="28" borderId="0" applyBorder="0" applyProtection="0"/>
    <xf numFmtId="0" fontId="2" fillId="3" borderId="0" applyBorder="0" applyProtection="0"/>
    <xf numFmtId="0" fontId="2" fillId="3" borderId="0" applyBorder="0" applyProtection="0"/>
    <xf numFmtId="0" fontId="3" fillId="21" borderId="0" applyBorder="0" applyProtection="0"/>
    <xf numFmtId="0" fontId="3" fillId="28" borderId="0" applyBorder="0" applyProtection="0"/>
    <xf numFmtId="0" fontId="2" fillId="3" borderId="0" applyBorder="0" applyProtection="0"/>
    <xf numFmtId="0" fontId="3" fillId="21" borderId="0" applyBorder="0" applyProtection="0"/>
    <xf numFmtId="0" fontId="2" fillId="3" borderId="0" applyBorder="0" applyProtection="0"/>
    <xf numFmtId="0" fontId="3" fillId="28"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3" fillId="3" borderId="0" applyBorder="0" applyProtection="0"/>
    <xf numFmtId="0" fontId="2" fillId="3" borderId="0" applyBorder="0" applyProtection="0"/>
    <xf numFmtId="0" fontId="3" fillId="21" borderId="0" applyBorder="0" applyProtection="0"/>
    <xf numFmtId="0" fontId="3" fillId="3" borderId="0" applyBorder="0" applyProtection="0"/>
    <xf numFmtId="0" fontId="3" fillId="21" borderId="0" applyBorder="0" applyProtection="0"/>
    <xf numFmtId="0" fontId="3"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2" fillId="3" borderId="0" applyBorder="0" applyProtection="0"/>
    <xf numFmtId="0" fontId="3" fillId="21" borderId="0" applyBorder="0" applyProtection="0"/>
    <xf numFmtId="0" fontId="2" fillId="3" borderId="0" applyBorder="0" applyProtection="0"/>
    <xf numFmtId="0" fontId="43" fillId="9" borderId="0" applyBorder="0" applyProtection="0"/>
    <xf numFmtId="0" fontId="2" fillId="3" borderId="0" applyBorder="0" applyProtection="0"/>
    <xf numFmtId="0" fontId="43" fillId="8" borderId="0" applyBorder="0" applyProtection="0"/>
    <xf numFmtId="0" fontId="2" fillId="3" borderId="0" applyBorder="0" applyProtection="0"/>
    <xf numFmtId="0" fontId="3" fillId="15"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3" fillId="29" borderId="0" applyBorder="0" applyProtection="0"/>
    <xf numFmtId="0" fontId="2" fillId="30" borderId="0" applyBorder="0" applyProtection="0"/>
    <xf numFmtId="0" fontId="3" fillId="29" borderId="0" applyBorder="0" applyProtection="0"/>
    <xf numFmtId="0" fontId="2" fillId="30" borderId="0" applyBorder="0" applyProtection="0"/>
    <xf numFmtId="0" fontId="3" fillId="18" borderId="0" applyBorder="0" applyProtection="0"/>
    <xf numFmtId="0" fontId="2" fillId="3" borderId="0" applyBorder="0" applyProtection="0"/>
    <xf numFmtId="0" fontId="3" fillId="29" borderId="0" applyBorder="0" applyProtection="0"/>
    <xf numFmtId="0" fontId="2" fillId="30" borderId="0" applyBorder="0" applyProtection="0"/>
    <xf numFmtId="0" fontId="2" fillId="3" borderId="0" applyBorder="0" applyProtection="0"/>
    <xf numFmtId="0" fontId="3" fillId="18" borderId="0" applyBorder="0" applyProtection="0"/>
    <xf numFmtId="0" fontId="3" fillId="29" borderId="0" applyBorder="0" applyProtection="0"/>
    <xf numFmtId="0" fontId="2" fillId="30" borderId="0" applyBorder="0" applyProtection="0"/>
    <xf numFmtId="0" fontId="3" fillId="18" borderId="0" applyBorder="0" applyProtection="0"/>
    <xf numFmtId="0" fontId="2" fillId="3" borderId="0" applyBorder="0" applyProtection="0"/>
    <xf numFmtId="0" fontId="3" fillId="29" borderId="0" applyBorder="0" applyProtection="0"/>
    <xf numFmtId="0" fontId="2" fillId="30" borderId="0" applyBorder="0" applyProtection="0"/>
    <xf numFmtId="0" fontId="2" fillId="3" borderId="0" applyBorder="0" applyProtection="0"/>
    <xf numFmtId="0" fontId="3" fillId="18" borderId="0" applyBorder="0" applyProtection="0"/>
    <xf numFmtId="0" fontId="3" fillId="18" borderId="0" applyBorder="0" applyProtection="0"/>
    <xf numFmtId="0" fontId="3" fillId="3" borderId="0" applyBorder="0" applyProtection="0"/>
    <xf numFmtId="0" fontId="2" fillId="3" borderId="0" applyBorder="0" applyProtection="0"/>
    <xf numFmtId="0" fontId="3" fillId="18" borderId="0" applyBorder="0" applyProtection="0"/>
    <xf numFmtId="0" fontId="3" fillId="3" borderId="0" applyBorder="0" applyProtection="0"/>
    <xf numFmtId="0" fontId="3" fillId="18" borderId="0" applyBorder="0" applyProtection="0"/>
    <xf numFmtId="0" fontId="3"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3" fillId="18" borderId="0" applyBorder="0" applyProtection="0"/>
    <xf numFmtId="0" fontId="2" fillId="3" borderId="0" applyBorder="0" applyProtection="0"/>
    <xf numFmtId="0" fontId="2" fillId="3" borderId="0" applyBorder="0" applyProtection="0"/>
    <xf numFmtId="0" fontId="3" fillId="18" borderId="0" applyBorder="0" applyProtection="0"/>
    <xf numFmtId="0" fontId="3" fillId="18" borderId="0" applyBorder="0" applyProtection="0"/>
    <xf numFmtId="0" fontId="2" fillId="3" borderId="0" applyBorder="0" applyProtection="0"/>
    <xf numFmtId="0" fontId="2" fillId="3" borderId="0" applyBorder="0" applyProtection="0"/>
    <xf numFmtId="0" fontId="3" fillId="29" borderId="0" applyBorder="0" applyProtection="0"/>
    <xf numFmtId="0" fontId="3" fillId="18" borderId="0" applyBorder="0" applyProtection="0"/>
    <xf numFmtId="0" fontId="2" fillId="3" borderId="0" applyBorder="0" applyProtection="0"/>
    <xf numFmtId="0" fontId="2" fillId="30" borderId="0" applyBorder="0" applyProtection="0"/>
    <xf numFmtId="0" fontId="3" fillId="29" borderId="0" applyBorder="0" applyProtection="0"/>
    <xf numFmtId="0" fontId="3" fillId="18" borderId="0" applyBorder="0" applyProtection="0"/>
    <xf numFmtId="0" fontId="2" fillId="3" borderId="0" applyBorder="0" applyProtection="0"/>
    <xf numFmtId="0" fontId="2" fillId="30" borderId="0" applyBorder="0" applyProtection="0"/>
    <xf numFmtId="0" fontId="3" fillId="29" borderId="0" applyBorder="0" applyProtection="0"/>
    <xf numFmtId="0" fontId="3" fillId="18" borderId="0" applyBorder="0" applyProtection="0"/>
    <xf numFmtId="0" fontId="2" fillId="3" borderId="0" applyBorder="0" applyProtection="0"/>
    <xf numFmtId="0" fontId="2" fillId="30" borderId="0" applyBorder="0" applyProtection="0"/>
    <xf numFmtId="0" fontId="3" fillId="18" borderId="0" applyBorder="0" applyProtection="0"/>
    <xf numFmtId="0" fontId="2" fillId="3" borderId="0" applyBorder="0" applyProtection="0"/>
    <xf numFmtId="0" fontId="43" fillId="4" borderId="0" applyBorder="0" applyProtection="0"/>
    <xf numFmtId="0" fontId="2" fillId="3" borderId="0" applyBorder="0" applyProtection="0"/>
    <xf numFmtId="0" fontId="43" fillId="15" borderId="0" applyBorder="0" applyProtection="0"/>
    <xf numFmtId="0" fontId="2" fillId="3" borderId="0" applyBorder="0" applyProtection="0"/>
    <xf numFmtId="0" fontId="3" fillId="15" borderId="0" applyBorder="0" applyProtection="0"/>
    <xf numFmtId="0" fontId="2" fillId="3" borderId="0" applyBorder="0" applyProtection="0"/>
    <xf numFmtId="0" fontId="3" fillId="31"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22"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22" borderId="0" applyBorder="0" applyProtection="0"/>
    <xf numFmtId="0" fontId="3" fillId="22"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3" fillId="3" borderId="0" applyBorder="0" applyProtection="0"/>
    <xf numFmtId="0" fontId="3" fillId="31" borderId="0" applyBorder="0" applyProtection="0"/>
    <xf numFmtId="0" fontId="3" fillId="3" borderId="0" applyBorder="0" applyProtection="0"/>
    <xf numFmtId="0" fontId="3" fillId="31" borderId="0" applyBorder="0" applyProtection="0"/>
    <xf numFmtId="0" fontId="3"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3" fillId="31" borderId="0" applyBorder="0" applyProtection="0"/>
    <xf numFmtId="0" fontId="2" fillId="3"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3" fillId="31" borderId="0" applyBorder="0" applyProtection="0"/>
    <xf numFmtId="0" fontId="2" fillId="3" borderId="0" applyBorder="0" applyProtection="0"/>
    <xf numFmtId="0" fontId="43" fillId="12" borderId="0" applyBorder="0" applyProtection="0"/>
    <xf numFmtId="0" fontId="2" fillId="3" borderId="0" applyBorder="0" applyProtection="0"/>
    <xf numFmtId="0" fontId="43" fillId="4" borderId="0" applyBorder="0" applyProtection="0"/>
    <xf numFmtId="0" fontId="2" fillId="3" borderId="0" applyBorder="0" applyProtection="0"/>
    <xf numFmtId="0" fontId="3" fillId="2"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2" fillId="3" borderId="0" applyBorder="0" applyProtection="0"/>
    <xf numFmtId="0" fontId="3" fillId="32" borderId="0" applyBorder="0" applyProtection="0"/>
    <xf numFmtId="0" fontId="3" fillId="32" borderId="0" applyBorder="0" applyProtection="0"/>
    <xf numFmtId="0" fontId="3" fillId="32" borderId="0" applyBorder="0" applyProtection="0"/>
    <xf numFmtId="0" fontId="3" fillId="32"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3" fillId="20" borderId="0" applyBorder="0" applyProtection="0"/>
    <xf numFmtId="0" fontId="2" fillId="3"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3" fillId="20" borderId="0" applyBorder="0" applyProtection="0"/>
    <xf numFmtId="0" fontId="2" fillId="3" borderId="0" applyBorder="0" applyProtection="0"/>
    <xf numFmtId="0" fontId="43" fillId="9" borderId="0" applyBorder="0" applyProtection="0"/>
    <xf numFmtId="0" fontId="2" fillId="3" borderId="0" applyBorder="0" applyProtection="0"/>
    <xf numFmtId="0" fontId="43" fillId="10" borderId="0" applyBorder="0" applyProtection="0"/>
    <xf numFmtId="0" fontId="2" fillId="3" borderId="0" applyBorder="0" applyProtection="0"/>
    <xf numFmtId="0" fontId="3" fillId="10" borderId="0" applyBorder="0" applyProtection="0"/>
    <xf numFmtId="0" fontId="2" fillId="3" borderId="0" applyBorder="0" applyProtection="0"/>
    <xf numFmtId="0" fontId="3" fillId="28"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3" fillId="21" borderId="0" applyBorder="0" applyProtection="0"/>
    <xf numFmtId="0" fontId="2" fillId="3" borderId="0" applyBorder="0" applyProtection="0"/>
    <xf numFmtId="0" fontId="3" fillId="28" borderId="0" applyBorder="0" applyProtection="0"/>
    <xf numFmtId="0" fontId="2" fillId="3" borderId="0" applyBorder="0" applyProtection="0"/>
    <xf numFmtId="0" fontId="3" fillId="21" borderId="0" applyBorder="0" applyProtection="0"/>
    <xf numFmtId="0" fontId="2" fillId="3" borderId="0" applyBorder="0" applyProtection="0"/>
    <xf numFmtId="0" fontId="2" fillId="3" borderId="0" applyBorder="0" applyProtection="0"/>
    <xf numFmtId="0" fontId="3" fillId="28" borderId="0" applyBorder="0" applyProtection="0"/>
    <xf numFmtId="0" fontId="3" fillId="21" borderId="0" applyBorder="0" applyProtection="0"/>
    <xf numFmtId="0" fontId="2" fillId="3" borderId="0" applyBorder="0" applyProtection="0"/>
    <xf numFmtId="0" fontId="3" fillId="28" borderId="0" applyBorder="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9" fontId="1" fillId="0" borderId="0" applyFont="0" applyFill="0" applyBorder="0" applyAlignment="0" applyProtection="0"/>
    <xf numFmtId="0" fontId="104" fillId="0" borderId="0" applyNumberFormat="0" applyBorder="0" applyProtection="0"/>
    <xf numFmtId="0" fontId="107" fillId="0" borderId="0"/>
  </cellStyleXfs>
  <cellXfs count="571">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2" fillId="34" borderId="0" xfId="1540" applyFont="1" applyFill="1" applyAlignment="1">
      <alignment horizontal="center" vertical="top" wrapText="1"/>
    </xf>
    <xf numFmtId="0" fontId="2" fillId="34" borderId="0" xfId="1540" applyFont="1" applyFill="1" applyAlignment="1">
      <alignment horizontal="center" vertical="top" wrapText="1"/>
    </xf>
    <xf numFmtId="0" fontId="2" fillId="0" borderId="0" xfId="1540" applyFont="1"/>
    <xf numFmtId="1" fontId="2" fillId="0" borderId="0" xfId="1540" applyNumberFormat="1" applyFont="1"/>
    <xf numFmtId="1" fontId="5" fillId="0" borderId="0" xfId="1540" applyNumberFormat="1" applyFont="1"/>
    <xf numFmtId="1" fontId="2" fillId="0" borderId="0" xfId="1540" applyNumberFormat="1" applyFont="1"/>
    <xf numFmtId="0" fontId="2" fillId="34" borderId="0" xfId="1540" applyFont="1" applyFill="1"/>
    <xf numFmtId="1" fontId="2" fillId="34" borderId="0" xfId="1540" applyNumberFormat="1" applyFont="1" applyFill="1"/>
    <xf numFmtId="1" fontId="5" fillId="34" borderId="0" xfId="1540" applyNumberFormat="1" applyFont="1" applyFill="1"/>
    <xf numFmtId="1" fontId="2" fillId="35" borderId="0" xfId="1540" applyNumberFormat="1" applyFont="1" applyFill="1"/>
    <xf numFmtId="0" fontId="2" fillId="36" borderId="0" xfId="1540" applyFont="1" applyFill="1"/>
    <xf numFmtId="1" fontId="2" fillId="36" borderId="0" xfId="1540" applyNumberFormat="1" applyFont="1" applyFill="1"/>
    <xf numFmtId="1" fontId="5" fillId="36" borderId="0" xfId="1540" applyNumberFormat="1" applyFont="1" applyFill="1"/>
    <xf numFmtId="1" fontId="2"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2" fillId="0" borderId="0" xfId="1540" applyFont="1"/>
    <xf numFmtId="170" fontId="2" fillId="0" borderId="0" xfId="1" applyNumberFormat="1" applyFont="1" applyBorder="1" applyAlignment="1" applyProtection="1"/>
    <xf numFmtId="0" fontId="2" fillId="34" borderId="0" xfId="1540" applyFont="1" applyFill="1"/>
    <xf numFmtId="2" fontId="0" fillId="0" borderId="0" xfId="1540" applyNumberFormat="1" applyFont="1"/>
    <xf numFmtId="0" fontId="2"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2" fillId="3" borderId="1" xfId="1540" applyNumberFormat="1" applyFont="1" applyFill="1" applyBorder="1"/>
    <xf numFmtId="0" fontId="0" fillId="0" borderId="3" xfId="1540" applyFont="1" applyBorder="1"/>
    <xf numFmtId="0" fontId="12"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169" fontId="0" fillId="0" borderId="6" xfId="1540" applyNumberFormat="1" applyFont="1" applyBorder="1"/>
    <xf numFmtId="0" fontId="13" fillId="41" borderId="0" xfId="1540" applyFont="1" applyFill="1"/>
    <xf numFmtId="0" fontId="14" fillId="41" borderId="0" xfId="1540" applyFont="1" applyFill="1"/>
    <xf numFmtId="0" fontId="15" fillId="0" borderId="0" xfId="1540" applyFont="1" applyAlignment="1">
      <alignment horizontal="center" vertical="center" wrapText="1"/>
    </xf>
    <xf numFmtId="0" fontId="17" fillId="0" borderId="1" xfId="1540" applyFont="1" applyBorder="1" applyAlignment="1">
      <alignment horizontal="center"/>
    </xf>
    <xf numFmtId="0" fontId="18" fillId="3" borderId="0" xfId="1540" applyFont="1" applyFill="1"/>
    <xf numFmtId="0" fontId="19" fillId="3" borderId="0" xfId="1540" applyFont="1" applyFill="1" applyAlignment="1">
      <alignment horizontal="center" vertical="center"/>
    </xf>
    <xf numFmtId="0" fontId="21" fillId="3" borderId="1" xfId="1540" applyFont="1" applyFill="1" applyBorder="1" applyAlignment="1">
      <alignment horizontal="center" vertical="center" wrapText="1"/>
    </xf>
    <xf numFmtId="0" fontId="22" fillId="0" borderId="1" xfId="1540" applyFont="1" applyBorder="1"/>
    <xf numFmtId="0" fontId="24" fillId="0" borderId="1" xfId="1540" applyFont="1" applyBorder="1"/>
    <xf numFmtId="0" fontId="22" fillId="43" borderId="1" xfId="1540" applyFont="1" applyFill="1" applyBorder="1"/>
    <xf numFmtId="0" fontId="25" fillId="0" borderId="0" xfId="1540" applyFont="1"/>
    <xf numFmtId="0" fontId="27" fillId="3" borderId="0" xfId="1540" applyFont="1" applyFill="1"/>
    <xf numFmtId="0" fontId="28" fillId="3" borderId="0" xfId="1540" applyFont="1" applyFill="1"/>
    <xf numFmtId="0" fontId="19" fillId="3" borderId="7" xfId="1540" applyFont="1" applyFill="1" applyBorder="1" applyAlignment="1">
      <alignment horizontal="justify" vertical="center" wrapText="1"/>
    </xf>
    <xf numFmtId="0" fontId="19" fillId="0" borderId="7" xfId="1540" applyFont="1" applyBorder="1" applyAlignment="1">
      <alignment horizontal="justify" vertical="center" wrapText="1"/>
    </xf>
    <xf numFmtId="0" fontId="29" fillId="3" borderId="8" xfId="1540" applyFont="1" applyFill="1" applyBorder="1" applyAlignment="1">
      <alignment horizontal="center" vertical="center" wrapText="1"/>
    </xf>
    <xf numFmtId="0" fontId="19" fillId="3" borderId="8" xfId="1540" applyFont="1" applyFill="1" applyBorder="1" applyAlignment="1">
      <alignment horizontal="center" vertical="center" wrapText="1"/>
    </xf>
    <xf numFmtId="0" fontId="29" fillId="3" borderId="5" xfId="1540" applyFont="1" applyFill="1" applyBorder="1" applyAlignment="1">
      <alignment horizontal="center" vertical="center" wrapText="1"/>
    </xf>
    <xf numFmtId="0" fontId="19" fillId="3" borderId="5" xfId="1540" applyFont="1" applyFill="1" applyBorder="1" applyAlignment="1">
      <alignment horizontal="center" vertical="center" wrapText="1"/>
    </xf>
    <xf numFmtId="0" fontId="23" fillId="0" borderId="1" xfId="1540" applyFont="1" applyBorder="1" applyAlignment="1">
      <alignment horizontal="center" vertical="center" wrapText="1"/>
    </xf>
    <xf numFmtId="0" fontId="33" fillId="3" borderId="1" xfId="1540" applyFont="1" applyFill="1" applyBorder="1" applyAlignment="1">
      <alignment horizontal="center" vertical="center" wrapText="1"/>
    </xf>
    <xf numFmtId="0" fontId="33" fillId="0" borderId="1" xfId="1540" applyFont="1" applyBorder="1" applyAlignment="1">
      <alignment horizontal="center" vertical="center" wrapText="1"/>
    </xf>
    <xf numFmtId="0" fontId="21" fillId="0" borderId="1" xfId="1540" applyFont="1" applyBorder="1" applyAlignment="1">
      <alignment horizontal="center" vertical="center" wrapText="1"/>
    </xf>
    <xf numFmtId="0" fontId="33" fillId="0" borderId="1" xfId="1540" applyFont="1" applyBorder="1" applyAlignment="1">
      <alignment vertical="center" wrapText="1"/>
    </xf>
    <xf numFmtId="3" fontId="33" fillId="0" borderId="1" xfId="1540" applyNumberFormat="1" applyFont="1" applyBorder="1" applyAlignment="1">
      <alignment horizontal="center" vertical="center" wrapText="1"/>
    </xf>
    <xf numFmtId="3" fontId="21" fillId="0" borderId="1" xfId="1540" applyNumberFormat="1" applyFont="1" applyBorder="1" applyAlignment="1">
      <alignment horizontal="center" vertical="center" wrapText="1"/>
    </xf>
    <xf numFmtId="0" fontId="0" fillId="42" borderId="1" xfId="1540" applyFont="1" applyFill="1" applyBorder="1"/>
    <xf numFmtId="0" fontId="0" fillId="45" borderId="1" xfId="1540" applyFont="1" applyFill="1" applyBorder="1"/>
    <xf numFmtId="0" fontId="0" fillId="0" borderId="1" xfId="1540" applyFont="1" applyBorder="1" applyAlignment="1">
      <alignment horizontal="right"/>
    </xf>
    <xf numFmtId="169" fontId="0" fillId="0" borderId="1" xfId="1540" applyNumberFormat="1" applyFont="1" applyBorder="1" applyAlignment="1">
      <alignment horizontal="right"/>
    </xf>
    <xf numFmtId="0" fontId="0" fillId="0" borderId="0" xfId="1540" applyFont="1" applyBorder="1" applyAlignment="1"/>
    <xf numFmtId="169" fontId="0" fillId="0" borderId="1" xfId="1540" applyNumberFormat="1" applyFont="1" applyBorder="1"/>
    <xf numFmtId="168" fontId="0" fillId="44"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2" borderId="1" xfId="1540" applyNumberFormat="1" applyFont="1" applyFill="1" applyBorder="1"/>
    <xf numFmtId="168" fontId="43" fillId="0" borderId="1" xfId="2" applyBorder="1" applyProtection="1"/>
    <xf numFmtId="168" fontId="0" fillId="0" borderId="0" xfId="1540" applyNumberFormat="1" applyFont="1"/>
    <xf numFmtId="169" fontId="0" fillId="42" borderId="1" xfId="1540" applyNumberFormat="1" applyFont="1" applyFill="1" applyBorder="1"/>
    <xf numFmtId="0" fontId="0" fillId="42" borderId="1" xfId="1540" applyFont="1" applyFill="1" applyBorder="1" applyAlignment="1">
      <alignment horizontal="right"/>
    </xf>
    <xf numFmtId="0" fontId="0" fillId="40" borderId="1" xfId="1540" applyFont="1" applyFill="1" applyBorder="1"/>
    <xf numFmtId="0" fontId="35" fillId="0" borderId="0" xfId="1540" applyFont="1"/>
    <xf numFmtId="0" fontId="35" fillId="0" borderId="0" xfId="1540" applyFont="1" applyAlignment="1">
      <alignment wrapText="1"/>
    </xf>
    <xf numFmtId="0" fontId="3" fillId="47" borderId="1" xfId="1540" applyFont="1" applyFill="1" applyBorder="1" applyAlignment="1">
      <alignment horizontal="center"/>
    </xf>
    <xf numFmtId="0" fontId="3" fillId="47" borderId="1" xfId="1540" applyFont="1" applyFill="1" applyBorder="1" applyAlignment="1">
      <alignment horizontal="center"/>
    </xf>
    <xf numFmtId="0" fontId="3" fillId="47"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36"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35" fillId="0" borderId="1" xfId="1540" applyFont="1" applyBorder="1" applyAlignment="1">
      <alignment horizontal="center"/>
    </xf>
    <xf numFmtId="0" fontId="35" fillId="0" borderId="1" xfId="1540" applyFont="1" applyBorder="1"/>
    <xf numFmtId="0" fontId="37" fillId="47" borderId="1" xfId="1540" applyFont="1" applyFill="1" applyBorder="1" applyAlignment="1">
      <alignment horizontal="center"/>
    </xf>
    <xf numFmtId="0" fontId="38" fillId="47" borderId="1" xfId="1540" applyFont="1" applyFill="1" applyBorder="1" applyAlignment="1">
      <alignment horizontal="center"/>
    </xf>
    <xf numFmtId="0" fontId="35" fillId="0" borderId="0" xfId="1540" applyFont="1" applyAlignment="1">
      <alignment wrapText="1"/>
    </xf>
    <xf numFmtId="0" fontId="3" fillId="47" borderId="1" xfId="1540" applyFont="1" applyFill="1" applyBorder="1" applyAlignment="1">
      <alignment horizontal="left"/>
    </xf>
    <xf numFmtId="0" fontId="39" fillId="0" borderId="1" xfId="1540" applyFont="1" applyBorder="1" applyAlignment="1">
      <alignment horizontal="center"/>
    </xf>
    <xf numFmtId="3" fontId="35" fillId="0" borderId="1" xfId="1540" applyNumberFormat="1" applyFont="1" applyBorder="1" applyAlignment="1">
      <alignment horizontal="center"/>
    </xf>
    <xf numFmtId="3" fontId="35" fillId="45" borderId="1" xfId="1540" applyNumberFormat="1" applyFont="1" applyFill="1" applyBorder="1" applyAlignment="1">
      <alignment horizontal="center"/>
    </xf>
    <xf numFmtId="4" fontId="35" fillId="0" borderId="1" xfId="1540" applyNumberFormat="1" applyFont="1" applyBorder="1" applyAlignment="1">
      <alignment horizontal="center"/>
    </xf>
    <xf numFmtId="172" fontId="35" fillId="45" borderId="1" xfId="1540" applyNumberFormat="1" applyFont="1" applyFill="1" applyBorder="1" applyAlignment="1">
      <alignment horizontal="center"/>
    </xf>
    <xf numFmtId="168" fontId="35" fillId="0" borderId="0" xfId="2" applyFont="1" applyBorder="1" applyProtection="1"/>
    <xf numFmtId="4" fontId="35" fillId="45" borderId="1" xfId="1540" applyNumberFormat="1" applyFont="1" applyFill="1" applyBorder="1" applyAlignment="1">
      <alignment horizontal="center"/>
    </xf>
    <xf numFmtId="0" fontId="35" fillId="0" borderId="1" xfId="1540" applyFont="1" applyBorder="1" applyAlignment="1">
      <alignment horizontal="center"/>
    </xf>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2"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2" fillId="0" borderId="1" xfId="2" applyFont="1" applyBorder="1" applyAlignment="1" applyProtection="1">
      <alignment horizontal="right"/>
    </xf>
    <xf numFmtId="0" fontId="25" fillId="0" borderId="1" xfId="1540" applyFont="1" applyBorder="1" applyAlignment="1">
      <alignment wrapText="1"/>
    </xf>
    <xf numFmtId="171" fontId="25" fillId="0" borderId="1" xfId="1" applyNumberFormat="1" applyFont="1" applyBorder="1" applyAlignment="1" applyProtection="1">
      <alignment horizontal="right"/>
    </xf>
    <xf numFmtId="0" fontId="40" fillId="0" borderId="0" xfId="1540" applyFont="1"/>
    <xf numFmtId="168" fontId="0" fillId="0" borderId="1" xfId="1540" applyNumberFormat="1" applyFont="1" applyBorder="1" applyAlignment="1">
      <alignment horizontal="right"/>
    </xf>
    <xf numFmtId="0" fontId="0" fillId="48" borderId="1" xfId="1540" applyFont="1" applyFill="1" applyBorder="1" applyAlignment="1">
      <alignment wrapText="1"/>
    </xf>
    <xf numFmtId="171" fontId="0" fillId="48"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2" fillId="0" borderId="1" xfId="2" applyFont="1" applyBorder="1" applyAlignment="1" applyProtection="1">
      <alignment horizontal="right"/>
    </xf>
    <xf numFmtId="169" fontId="43" fillId="0" borderId="1" xfId="2" applyNumberFormat="1" applyBorder="1" applyProtection="1"/>
    <xf numFmtId="169" fontId="25" fillId="0" borderId="1" xfId="2" applyNumberFormat="1" applyFont="1" applyBorder="1" applyProtection="1"/>
    <xf numFmtId="2" fontId="25"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25" fillId="0" borderId="1" xfId="1540" applyNumberFormat="1" applyFont="1" applyBorder="1"/>
    <xf numFmtId="2" fontId="0" fillId="0" borderId="1" xfId="1540" applyNumberFormat="1" applyFont="1" applyBorder="1"/>
    <xf numFmtId="0" fontId="0" fillId="49" borderId="0" xfId="1540" applyFont="1" applyFill="1"/>
    <xf numFmtId="0" fontId="0" fillId="49" borderId="1" xfId="1540" applyFont="1" applyFill="1" applyBorder="1"/>
    <xf numFmtId="166" fontId="0" fillId="0" borderId="1" xfId="1540" applyNumberFormat="1" applyFont="1" applyBorder="1"/>
    <xf numFmtId="169" fontId="25" fillId="0" borderId="1" xfId="1540" applyNumberFormat="1" applyFont="1" applyBorder="1"/>
    <xf numFmtId="169" fontId="0" fillId="0" borderId="1" xfId="1540" applyNumberFormat="1" applyFont="1" applyBorder="1"/>
    <xf numFmtId="166" fontId="0" fillId="0" borderId="1" xfId="1540" applyNumberFormat="1" applyFont="1" applyBorder="1"/>
    <xf numFmtId="0" fontId="0" fillId="50" borderId="1" xfId="1540" applyFont="1" applyFill="1" applyBorder="1"/>
    <xf numFmtId="169" fontId="0" fillId="0" borderId="1" xfId="1540" applyNumberFormat="1" applyFont="1" applyBorder="1"/>
    <xf numFmtId="174" fontId="0" fillId="0" borderId="1" xfId="1540" applyNumberFormat="1" applyFont="1" applyBorder="1"/>
    <xf numFmtId="0" fontId="0" fillId="51" borderId="1" xfId="1540" applyFont="1" applyFill="1" applyBorder="1"/>
    <xf numFmtId="169" fontId="0" fillId="51" borderId="1" xfId="1540" applyNumberFormat="1" applyFont="1" applyFill="1" applyBorder="1"/>
    <xf numFmtId="0" fontId="0" fillId="0" borderId="0" xfId="1540" applyFont="1" applyBorder="1"/>
    <xf numFmtId="169" fontId="0" fillId="0" borderId="0" xfId="1540" applyNumberFormat="1" applyFont="1" applyBorder="1"/>
    <xf numFmtId="2" fontId="0" fillId="0" borderId="1" xfId="1540" applyNumberFormat="1" applyFont="1" applyBorder="1"/>
    <xf numFmtId="169" fontId="0" fillId="0" borderId="1" xfId="1540" applyNumberFormat="1" applyFont="1" applyBorder="1" applyAlignment="1">
      <alignment vertical="center"/>
    </xf>
    <xf numFmtId="0" fontId="0" fillId="0" borderId="0" xfId="1540" applyFont="1" applyBorder="1" applyAlignment="1">
      <alignment horizontal="center"/>
    </xf>
    <xf numFmtId="1" fontId="0" fillId="0" borderId="1" xfId="1540" applyNumberFormat="1" applyFont="1" applyBorder="1"/>
    <xf numFmtId="1" fontId="25" fillId="0" borderId="1" xfId="1540" applyNumberFormat="1" applyFont="1" applyBorder="1"/>
    <xf numFmtId="2" fontId="41" fillId="0" borderId="0" xfId="1540" applyNumberFormat="1" applyFont="1"/>
    <xf numFmtId="4" fontId="0" fillId="0" borderId="1" xfId="1540" applyNumberFormat="1" applyFont="1" applyBorder="1"/>
    <xf numFmtId="0" fontId="0" fillId="0" borderId="0" xfId="1540" applyFont="1" applyBorder="1"/>
    <xf numFmtId="0" fontId="2" fillId="0" borderId="1" xfId="1540" applyFont="1" applyBorder="1"/>
    <xf numFmtId="0" fontId="8" fillId="0" borderId="1" xfId="1540" applyFont="1" applyBorder="1"/>
    <xf numFmtId="0" fontId="25" fillId="0" borderId="0" xfId="1540" applyFont="1" applyBorder="1"/>
    <xf numFmtId="0" fontId="25"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2" fillId="0" borderId="20" xfId="1540" applyFont="1" applyBorder="1"/>
    <xf numFmtId="0" fontId="35"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2" fillId="0" borderId="0" xfId="1540" applyFont="1" applyBorder="1" applyAlignment="1">
      <alignment horizontal="center"/>
    </xf>
    <xf numFmtId="0" fontId="2" fillId="34" borderId="0" xfId="1540" applyFont="1" applyFill="1" applyAlignment="1">
      <alignment horizontal="center" vertical="top" wrapText="1"/>
    </xf>
    <xf numFmtId="0" fontId="0" fillId="0" borderId="1" xfId="1540" applyFont="1" applyBorder="1" applyAlignment="1">
      <alignment horizontal="center"/>
    </xf>
    <xf numFmtId="0" fontId="0" fillId="0" borderId="3" xfId="1540" applyFont="1" applyBorder="1" applyAlignment="1">
      <alignment horizontal="center"/>
    </xf>
    <xf numFmtId="0" fontId="0" fillId="0" borderId="6" xfId="1540" applyFont="1" applyBorder="1" applyAlignment="1">
      <alignment horizontal="right"/>
    </xf>
    <xf numFmtId="0" fontId="0" fillId="52" borderId="0" xfId="0" applyFont="1" applyFill="1" applyBorder="1" applyAlignment="1">
      <alignment horizontal="center" vertical="top" wrapText="1"/>
    </xf>
    <xf numFmtId="1" fontId="46" fillId="0" borderId="0" xfId="0" applyNumberFormat="1" applyFont="1"/>
    <xf numFmtId="1" fontId="46" fillId="53" borderId="0" xfId="0" applyNumberFormat="1" applyFont="1" applyFill="1"/>
    <xf numFmtId="0" fontId="47" fillId="34" borderId="0" xfId="1540" applyFont="1" applyFill="1" applyAlignment="1">
      <alignment horizontal="center" vertical="top" wrapText="1"/>
    </xf>
    <xf numFmtId="1" fontId="48" fillId="0" borderId="0" xfId="1540" applyNumberFormat="1" applyFont="1"/>
    <xf numFmtId="1" fontId="48" fillId="34" borderId="0" xfId="1540" applyNumberFormat="1" applyFont="1" applyFill="1"/>
    <xf numFmtId="1" fontId="48"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5" fillId="0" borderId="0" xfId="0" applyFont="1"/>
    <xf numFmtId="0" fontId="0" fillId="0" borderId="0" xfId="0" applyBorder="1"/>
    <xf numFmtId="0" fontId="49" fillId="0" borderId="1" xfId="0" applyFont="1" applyBorder="1" applyAlignment="1">
      <alignment horizontal="center" vertical="center"/>
    </xf>
    <xf numFmtId="0" fontId="49" fillId="0" borderId="1" xfId="0" applyFont="1" applyBorder="1" applyAlignment="1">
      <alignment horizontal="center" vertical="center" wrapText="1"/>
    </xf>
    <xf numFmtId="0" fontId="0" fillId="0" borderId="0" xfId="0" applyBorder="1" applyAlignment="1"/>
    <xf numFmtId="0" fontId="49" fillId="0" borderId="1" xfId="0" applyFont="1" applyBorder="1" applyAlignment="1"/>
    <xf numFmtId="175" fontId="0" fillId="0" borderId="1" xfId="0" applyNumberFormat="1" applyBorder="1"/>
    <xf numFmtId="0" fontId="49" fillId="0" borderId="1" xfId="0" applyFont="1" applyBorder="1"/>
    <xf numFmtId="0" fontId="0" fillId="0" borderId="1" xfId="0" applyBorder="1"/>
    <xf numFmtId="0" fontId="49" fillId="0" borderId="0" xfId="0" applyFont="1" applyBorder="1" applyAlignment="1"/>
    <xf numFmtId="175" fontId="0" fillId="0" borderId="0" xfId="0" applyNumberFormat="1" applyBorder="1"/>
    <xf numFmtId="4" fontId="53" fillId="0" borderId="1" xfId="0" applyNumberFormat="1" applyFont="1" applyBorder="1" applyAlignment="1">
      <alignment horizontal="center" vertical="center" wrapText="1"/>
    </xf>
    <xf numFmtId="0" fontId="53" fillId="0" borderId="1" xfId="0" applyFont="1" applyBorder="1" applyAlignment="1">
      <alignment horizontal="center" vertical="center" wrapText="1"/>
    </xf>
    <xf numFmtId="0" fontId="54" fillId="0" borderId="1" xfId="0" applyFont="1" applyBorder="1" applyAlignment="1">
      <alignment horizontal="left" vertical="center"/>
    </xf>
    <xf numFmtId="166" fontId="55" fillId="0" borderId="1" xfId="0" applyNumberFormat="1" applyFont="1" applyBorder="1" applyAlignment="1">
      <alignment horizontal="right"/>
    </xf>
    <xf numFmtId="166" fontId="54" fillId="54" borderId="1" xfId="0" applyNumberFormat="1" applyFont="1" applyFill="1" applyBorder="1" applyAlignment="1">
      <alignment horizontal="right"/>
    </xf>
    <xf numFmtId="175" fontId="54" fillId="54" borderId="1" xfId="0" applyNumberFormat="1" applyFont="1" applyFill="1" applyBorder="1" applyAlignment="1">
      <alignment horizontal="right"/>
    </xf>
    <xf numFmtId="166" fontId="52" fillId="54" borderId="1" xfId="0" applyNumberFormat="1" applyFont="1" applyFill="1" applyBorder="1" applyAlignment="1">
      <alignment horizontal="right"/>
    </xf>
    <xf numFmtId="0" fontId="52" fillId="55" borderId="1" xfId="0" applyFont="1" applyFill="1" applyBorder="1" applyAlignment="1">
      <alignment horizontal="left" vertical="center"/>
    </xf>
    <xf numFmtId="166" fontId="52" fillId="55" borderId="1" xfId="0" applyNumberFormat="1" applyFont="1" applyFill="1" applyBorder="1" applyAlignment="1">
      <alignment horizontal="right"/>
    </xf>
    <xf numFmtId="0" fontId="52" fillId="0" borderId="12" xfId="0" applyFont="1" applyBorder="1" applyAlignment="1">
      <alignment horizontal="left" vertical="center"/>
    </xf>
    <xf numFmtId="166" fontId="52" fillId="0" borderId="12" xfId="0" applyNumberFormat="1" applyFont="1" applyBorder="1" applyAlignment="1">
      <alignment horizontal="right"/>
    </xf>
    <xf numFmtId="1" fontId="46" fillId="0" borderId="0" xfId="0" applyNumberFormat="1" applyFont="1" applyFill="1"/>
    <xf numFmtId="0" fontId="55" fillId="0" borderId="1" xfId="0" applyFont="1" applyBorder="1" applyAlignment="1">
      <alignment horizontal="left" vertical="center"/>
    </xf>
    <xf numFmtId="1" fontId="55" fillId="0" borderId="1" xfId="0" applyNumberFormat="1" applyFont="1" applyBorder="1" applyAlignment="1">
      <alignment horizontal="right"/>
    </xf>
    <xf numFmtId="166" fontId="51" fillId="0" borderId="1" xfId="0" applyNumberFormat="1" applyFont="1" applyBorder="1" applyAlignment="1">
      <alignment horizontal="right"/>
    </xf>
    <xf numFmtId="166" fontId="55" fillId="0" borderId="1" xfId="0" quotePrefix="1" applyNumberFormat="1" applyFont="1" applyBorder="1" applyAlignment="1">
      <alignment horizontal="right"/>
    </xf>
    <xf numFmtId="176" fontId="55" fillId="0" borderId="1" xfId="0" applyNumberFormat="1" applyFont="1" applyBorder="1" applyAlignment="1">
      <alignment horizontal="right"/>
    </xf>
    <xf numFmtId="176" fontId="52" fillId="0" borderId="12" xfId="0" applyNumberFormat="1" applyFont="1" applyBorder="1" applyAlignment="1">
      <alignment horizontal="right"/>
    </xf>
    <xf numFmtId="175" fontId="52"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10" fontId="0" fillId="42" borderId="1" xfId="1540" applyNumberFormat="1" applyFont="1" applyFill="1" applyBorder="1"/>
    <xf numFmtId="0" fontId="0" fillId="38" borderId="0" xfId="1540" applyFont="1" applyFill="1" applyBorder="1" applyAlignment="1">
      <alignment horizontal="center"/>
    </xf>
    <xf numFmtId="0" fontId="56"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58" fillId="0" borderId="12" xfId="1540" applyFont="1" applyBorder="1" applyAlignment="1">
      <alignment horizontal="center"/>
    </xf>
    <xf numFmtId="171" fontId="35" fillId="0" borderId="1" xfId="1" applyNumberFormat="1" applyFont="1" applyBorder="1" applyAlignment="1" applyProtection="1"/>
    <xf numFmtId="168" fontId="35" fillId="0" borderId="1" xfId="2" applyFont="1" applyBorder="1" applyProtection="1"/>
    <xf numFmtId="171" fontId="35" fillId="0" borderId="1" xfId="1540" applyNumberFormat="1" applyFont="1" applyBorder="1"/>
    <xf numFmtId="0" fontId="35" fillId="56" borderId="1" xfId="1540" applyFont="1" applyFill="1" applyBorder="1" applyAlignment="1">
      <alignment horizontal="center"/>
    </xf>
    <xf numFmtId="0" fontId="35" fillId="57" borderId="1" xfId="1540" applyFont="1" applyFill="1" applyBorder="1" applyAlignment="1">
      <alignment horizontal="center"/>
    </xf>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59" fillId="56" borderId="1" xfId="1540" applyFont="1" applyFill="1" applyBorder="1" applyAlignment="1">
      <alignment wrapText="1"/>
    </xf>
    <xf numFmtId="0" fontId="59" fillId="0" borderId="1" xfId="0" applyFont="1" applyBorder="1" applyAlignment="1">
      <alignment wrapText="1"/>
    </xf>
    <xf numFmtId="0" fontId="57" fillId="0" borderId="1" xfId="1540" applyFont="1" applyBorder="1"/>
    <xf numFmtId="0" fontId="59"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3" fillId="0" borderId="11" xfId="2" applyBorder="1" applyProtection="1"/>
    <xf numFmtId="0" fontId="60" fillId="0" borderId="1" xfId="0" applyFont="1" applyBorder="1"/>
    <xf numFmtId="0" fontId="60" fillId="0" borderId="0" xfId="0" applyFont="1" applyBorder="1"/>
    <xf numFmtId="0" fontId="0" fillId="56" borderId="1" xfId="1540" applyFont="1" applyFill="1" applyBorder="1" applyAlignment="1">
      <alignment wrapText="1"/>
    </xf>
    <xf numFmtId="166" fontId="0" fillId="0" borderId="11" xfId="1540" applyNumberFormat="1" applyFont="1" applyBorder="1"/>
    <xf numFmtId="0" fontId="61" fillId="0" borderId="1" xfId="0" applyFont="1" applyBorder="1"/>
    <xf numFmtId="0" fontId="61" fillId="0" borderId="0" xfId="0" applyFont="1" applyBorder="1"/>
    <xf numFmtId="0" fontId="0" fillId="57" borderId="1" xfId="1540" applyFont="1" applyFill="1" applyBorder="1"/>
    <xf numFmtId="0" fontId="0" fillId="57" borderId="0" xfId="0" applyFill="1"/>
    <xf numFmtId="0" fontId="61" fillId="57" borderId="1" xfId="0" applyFont="1" applyFill="1" applyBorder="1"/>
    <xf numFmtId="0" fontId="63" fillId="0" borderId="1" xfId="0" applyFont="1" applyBorder="1" applyAlignment="1">
      <alignment horizontal="right"/>
    </xf>
    <xf numFmtId="2" fontId="0" fillId="57" borderId="1" xfId="1540" applyNumberFormat="1" applyFont="1" applyFill="1" applyBorder="1"/>
    <xf numFmtId="0" fontId="61" fillId="0" borderId="1" xfId="1540" applyFont="1" applyBorder="1"/>
    <xf numFmtId="0" fontId="61" fillId="56" borderId="1" xfId="1540" applyFont="1" applyFill="1" applyBorder="1"/>
    <xf numFmtId="0" fontId="56" fillId="0" borderId="0" xfId="1540" applyFont="1" applyBorder="1" applyAlignment="1">
      <alignment horizontal="center"/>
    </xf>
    <xf numFmtId="0" fontId="0" fillId="0" borderId="1" xfId="1540" applyFont="1" applyFill="1" applyBorder="1"/>
    <xf numFmtId="2" fontId="0" fillId="0" borderId="1" xfId="0" applyNumberFormat="1" applyBorder="1"/>
    <xf numFmtId="2" fontId="57" fillId="0" borderId="1" xfId="1540" applyNumberFormat="1" applyFont="1" applyBorder="1"/>
    <xf numFmtId="1" fontId="57" fillId="0" borderId="1" xfId="1540" applyNumberFormat="1" applyFont="1" applyBorder="1"/>
    <xf numFmtId="0" fontId="0" fillId="0" borderId="0" xfId="0" applyBorder="1" applyAlignment="1">
      <alignment horizontal="center"/>
    </xf>
    <xf numFmtId="0" fontId="64" fillId="0" borderId="1" xfId="1540" applyFont="1" applyBorder="1"/>
    <xf numFmtId="168" fontId="57" fillId="0" borderId="1" xfId="2" applyFont="1" applyBorder="1" applyProtection="1"/>
    <xf numFmtId="168" fontId="57" fillId="0" borderId="11" xfId="2" applyFont="1" applyBorder="1" applyProtection="1"/>
    <xf numFmtId="0" fontId="57" fillId="0" borderId="11" xfId="1540" applyFont="1" applyBorder="1"/>
    <xf numFmtId="169" fontId="57" fillId="0" borderId="1" xfId="1540" applyNumberFormat="1" applyFont="1" applyBorder="1"/>
    <xf numFmtId="169" fontId="57" fillId="0" borderId="11" xfId="1540" applyNumberFormat="1" applyFont="1" applyBorder="1"/>
    <xf numFmtId="171" fontId="25" fillId="56" borderId="1" xfId="1" applyNumberFormat="1" applyFont="1" applyFill="1" applyBorder="1" applyAlignment="1" applyProtection="1">
      <alignment horizontal="right"/>
    </xf>
    <xf numFmtId="171" fontId="0" fillId="56" borderId="1" xfId="1" applyNumberFormat="1" applyFont="1" applyFill="1" applyBorder="1" applyAlignment="1" applyProtection="1">
      <alignment horizontal="right"/>
    </xf>
    <xf numFmtId="0" fontId="7" fillId="0" borderId="0" xfId="3"/>
    <xf numFmtId="0" fontId="57" fillId="3" borderId="1" xfId="1540" applyFont="1" applyFill="1" applyBorder="1"/>
    <xf numFmtId="0" fontId="66" fillId="3" borderId="1" xfId="3" applyFont="1" applyFill="1" applyBorder="1" applyAlignment="1" applyProtection="1"/>
    <xf numFmtId="0" fontId="0" fillId="59"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57" fillId="0" borderId="1" xfId="1540" applyNumberFormat="1" applyFont="1" applyBorder="1"/>
    <xf numFmtId="0" fontId="0" fillId="60" borderId="0" xfId="0" applyFill="1"/>
    <xf numFmtId="0" fontId="0" fillId="61" borderId="0" xfId="0" applyFill="1"/>
    <xf numFmtId="0" fontId="0" fillId="62" borderId="0" xfId="0" applyFill="1"/>
    <xf numFmtId="0" fontId="0" fillId="0" borderId="0" xfId="1540" applyFont="1" applyFill="1" applyBorder="1" applyAlignment="1">
      <alignment horizontal="center"/>
    </xf>
    <xf numFmtId="0" fontId="0" fillId="0" borderId="0" xfId="1540" applyFont="1" applyFill="1" applyBorder="1"/>
    <xf numFmtId="10" fontId="0" fillId="0" borderId="0" xfId="1540" applyNumberFormat="1" applyFont="1" applyFill="1" applyBorder="1"/>
    <xf numFmtId="9" fontId="0" fillId="0" borderId="0" xfId="1540" applyNumberFormat="1" applyFont="1" applyFill="1" applyBorder="1"/>
    <xf numFmtId="0" fontId="56" fillId="0" borderId="0" xfId="0" applyFont="1" applyFill="1" applyBorder="1" applyAlignment="1">
      <alignment horizontal="center"/>
    </xf>
    <xf numFmtId="0" fontId="0" fillId="0" borderId="0" xfId="0" applyFill="1"/>
    <xf numFmtId="0" fontId="0" fillId="0" borderId="0" xfId="1540" applyFont="1" applyFill="1"/>
    <xf numFmtId="0" fontId="0" fillId="58" borderId="0" xfId="0" applyFill="1"/>
    <xf numFmtId="0" fontId="56" fillId="58" borderId="0" xfId="0" applyFont="1" applyFill="1" applyAlignment="1">
      <alignment horizontal="center"/>
    </xf>
    <xf numFmtId="0" fontId="0" fillId="58" borderId="0" xfId="1540" applyFont="1" applyFill="1" applyBorder="1"/>
    <xf numFmtId="0" fontId="0" fillId="58" borderId="0" xfId="1540" applyFont="1" applyFill="1" applyBorder="1" applyAlignment="1">
      <alignment horizontal="center"/>
    </xf>
    <xf numFmtId="10" fontId="0" fillId="58" borderId="0" xfId="1540" applyNumberFormat="1" applyFont="1" applyFill="1" applyBorder="1"/>
    <xf numFmtId="9" fontId="0" fillId="58" borderId="0" xfId="1540" applyNumberFormat="1" applyFont="1" applyFill="1" applyBorder="1"/>
    <xf numFmtId="0" fontId="56" fillId="58" borderId="0" xfId="0" applyFont="1" applyFill="1" applyBorder="1" applyAlignment="1">
      <alignment horizontal="center"/>
    </xf>
    <xf numFmtId="0" fontId="0" fillId="58" borderId="0" xfId="1540" applyFont="1" applyFill="1" applyBorder="1" applyAlignment="1"/>
    <xf numFmtId="0" fontId="0" fillId="58" borderId="0" xfId="1540" applyFont="1" applyFill="1"/>
    <xf numFmtId="168" fontId="0" fillId="58" borderId="0" xfId="1540" applyNumberFormat="1" applyFont="1" applyFill="1"/>
    <xf numFmtId="0" fontId="0" fillId="63" borderId="0" xfId="0" applyFill="1"/>
    <xf numFmtId="168" fontId="43" fillId="0" borderId="1" xfId="2" applyBorder="1"/>
    <xf numFmtId="9" fontId="0" fillId="0" borderId="1" xfId="0" applyNumberFormat="1" applyBorder="1"/>
    <xf numFmtId="168" fontId="0" fillId="0" borderId="0" xfId="0" applyNumberFormat="1"/>
    <xf numFmtId="0" fontId="0" fillId="64" borderId="1" xfId="0" applyFill="1" applyBorder="1"/>
    <xf numFmtId="1" fontId="0" fillId="64" borderId="1" xfId="0" applyNumberFormat="1" applyFill="1" applyBorder="1"/>
    <xf numFmtId="0" fontId="0" fillId="0" borderId="0" xfId="0"/>
    <xf numFmtId="0" fontId="0" fillId="0" borderId="0" xfId="0"/>
    <xf numFmtId="0" fontId="0" fillId="65" borderId="1" xfId="1540" applyFont="1" applyFill="1" applyBorder="1"/>
    <xf numFmtId="0" fontId="0" fillId="66" borderId="1" xfId="1540" applyFont="1" applyFill="1" applyBorder="1"/>
    <xf numFmtId="166" fontId="0" fillId="66" borderId="1" xfId="1540" applyNumberFormat="1" applyFont="1" applyFill="1" applyBorder="1"/>
    <xf numFmtId="2" fontId="0" fillId="66" borderId="1" xfId="1540" applyNumberFormat="1" applyFont="1" applyFill="1" applyBorder="1"/>
    <xf numFmtId="0" fontId="0" fillId="67" borderId="1" xfId="1540" applyFont="1" applyFill="1" applyBorder="1"/>
    <xf numFmtId="1" fontId="0" fillId="67" borderId="1" xfId="1540" applyNumberFormat="1" applyFont="1" applyFill="1" applyBorder="1" applyAlignment="1">
      <alignment horizontal="right"/>
    </xf>
    <xf numFmtId="166" fontId="0" fillId="67" borderId="1" xfId="1540" applyNumberFormat="1" applyFont="1" applyFill="1" applyBorder="1"/>
    <xf numFmtId="2" fontId="0" fillId="67" borderId="1" xfId="1540" applyNumberFormat="1" applyFont="1" applyFill="1" applyBorder="1"/>
    <xf numFmtId="166" fontId="57" fillId="0" borderId="1" xfId="1540" applyNumberFormat="1" applyFont="1" applyBorder="1"/>
    <xf numFmtId="0" fontId="0" fillId="0" borderId="0" xfId="0"/>
    <xf numFmtId="0" fontId="0" fillId="0" borderId="0" xfId="0"/>
    <xf numFmtId="166" fontId="52" fillId="68" borderId="1" xfId="0" applyNumberFormat="1" applyFont="1" applyFill="1" applyBorder="1" applyAlignment="1">
      <alignment horizontal="right"/>
    </xf>
    <xf numFmtId="166" fontId="71" fillId="0" borderId="1" xfId="0" applyNumberFormat="1" applyFont="1" applyBorder="1"/>
    <xf numFmtId="0" fontId="72" fillId="57" borderId="0" xfId="0" applyFont="1" applyFill="1"/>
    <xf numFmtId="0" fontId="72" fillId="69" borderId="1" xfId="0" applyFont="1" applyFill="1" applyBorder="1"/>
    <xf numFmtId="168" fontId="73" fillId="57" borderId="1" xfId="2" applyFont="1" applyFill="1" applyBorder="1" applyAlignment="1">
      <alignment horizontal="center"/>
    </xf>
    <xf numFmtId="0" fontId="74" fillId="52" borderId="1" xfId="0" applyFont="1" applyFill="1" applyBorder="1"/>
    <xf numFmtId="0" fontId="72" fillId="70" borderId="1" xfId="0" applyFont="1" applyFill="1" applyBorder="1"/>
    <xf numFmtId="0" fontId="72" fillId="71" borderId="1" xfId="0" applyFont="1" applyFill="1" applyBorder="1"/>
    <xf numFmtId="0" fontId="72" fillId="72" borderId="1" xfId="0" applyFont="1" applyFill="1" applyBorder="1"/>
    <xf numFmtId="0" fontId="74" fillId="73" borderId="1" xfId="0" applyFont="1" applyFill="1" applyBorder="1"/>
    <xf numFmtId="166" fontId="75" fillId="0" borderId="1" xfId="0" applyNumberFormat="1" applyFont="1" applyBorder="1"/>
    <xf numFmtId="0" fontId="76" fillId="57" borderId="0" xfId="0" applyFont="1" applyFill="1"/>
    <xf numFmtId="0" fontId="76" fillId="58" borderId="1" xfId="0" applyFont="1" applyFill="1" applyBorder="1"/>
    <xf numFmtId="168" fontId="77" fillId="57" borderId="1" xfId="2" applyFont="1" applyFill="1" applyBorder="1" applyAlignment="1">
      <alignment horizontal="center"/>
    </xf>
    <xf numFmtId="3" fontId="78" fillId="74" borderId="1" xfId="0" applyNumberFormat="1" applyFont="1" applyFill="1" applyBorder="1"/>
    <xf numFmtId="0" fontId="74" fillId="75" borderId="1" xfId="0" applyFont="1" applyFill="1" applyBorder="1"/>
    <xf numFmtId="168" fontId="79" fillId="58" borderId="1" xfId="2" applyFont="1" applyFill="1" applyBorder="1" applyAlignment="1">
      <alignment horizontal="center"/>
    </xf>
    <xf numFmtId="0" fontId="72" fillId="76" borderId="1" xfId="0" applyFont="1" applyFill="1" applyBorder="1"/>
    <xf numFmtId="0" fontId="80" fillId="57" borderId="0" xfId="0" applyFont="1" applyFill="1"/>
    <xf numFmtId="0" fontId="81" fillId="75" borderId="1" xfId="0" applyFont="1" applyFill="1" applyBorder="1"/>
    <xf numFmtId="0" fontId="82" fillId="77" borderId="0" xfId="7784" applyFont="1" applyFill="1"/>
    <xf numFmtId="0" fontId="83" fillId="77" borderId="0" xfId="7784" applyFont="1" applyFill="1" applyAlignment="1">
      <alignment horizontal="center"/>
    </xf>
    <xf numFmtId="0" fontId="85" fillId="77" borderId="0" xfId="7784" applyFont="1" applyFill="1"/>
    <xf numFmtId="0" fontId="86" fillId="57" borderId="0" xfId="7784" applyFont="1" applyFill="1"/>
    <xf numFmtId="0" fontId="87" fillId="57" borderId="0" xfId="7784" applyFont="1" applyFill="1"/>
    <xf numFmtId="0" fontId="89" fillId="57" borderId="0" xfId="7784" applyFont="1" applyFill="1" applyAlignment="1">
      <alignment horizontal="left"/>
    </xf>
    <xf numFmtId="0" fontId="90" fillId="57" borderId="0" xfId="7784" applyFont="1" applyFill="1" applyAlignment="1">
      <alignment horizontal="left"/>
    </xf>
    <xf numFmtId="0" fontId="91" fillId="57" borderId="0" xfId="7784" applyFont="1" applyFill="1"/>
    <xf numFmtId="0" fontId="89" fillId="57" borderId="0" xfId="7784" applyFont="1" applyFill="1"/>
    <xf numFmtId="0" fontId="92" fillId="78" borderId="0" xfId="7784" applyFont="1" applyFill="1"/>
    <xf numFmtId="0" fontId="93" fillId="78" borderId="0" xfId="7784" applyFont="1" applyFill="1"/>
    <xf numFmtId="0" fontId="79" fillId="57" borderId="0" xfId="7784" applyFont="1" applyFill="1"/>
    <xf numFmtId="0" fontId="94" fillId="0" borderId="0" xfId="7784" applyFont="1" applyAlignment="1">
      <alignment horizontal="center" vertical="center" wrapText="1"/>
    </xf>
    <xf numFmtId="0" fontId="96" fillId="0" borderId="1" xfId="7784" applyFont="1" applyBorder="1" applyAlignment="1">
      <alignment horizontal="center"/>
    </xf>
    <xf numFmtId="0" fontId="73" fillId="57" borderId="0" xfId="7784" applyFont="1" applyFill="1" applyAlignment="1">
      <alignment horizontal="center" vertical="center"/>
    </xf>
    <xf numFmtId="0" fontId="80" fillId="57" borderId="1" xfId="7784" applyFont="1" applyFill="1" applyBorder="1" applyAlignment="1">
      <alignment horizontal="center" vertical="center" wrapText="1"/>
    </xf>
    <xf numFmtId="0" fontId="72" fillId="69" borderId="1" xfId="7784" applyFont="1" applyFill="1" applyBorder="1"/>
    <xf numFmtId="0" fontId="78" fillId="0" borderId="1" xfId="7784" applyFont="1" applyBorder="1"/>
    <xf numFmtId="166" fontId="71" fillId="0" borderId="1" xfId="7784" applyNumberFormat="1" applyFont="1" applyBorder="1"/>
    <xf numFmtId="0" fontId="72" fillId="57" borderId="0" xfId="7784" applyFont="1" applyFill="1"/>
    <xf numFmtId="9" fontId="73" fillId="57" borderId="1" xfId="7785" applyFont="1" applyFill="1" applyBorder="1" applyAlignment="1">
      <alignment horizontal="center"/>
    </xf>
    <xf numFmtId="0" fontId="72" fillId="52" borderId="1" xfId="7784" applyFont="1" applyFill="1" applyBorder="1"/>
    <xf numFmtId="0" fontId="74" fillId="52" borderId="1" xfId="7784" applyFont="1" applyFill="1" applyBorder="1"/>
    <xf numFmtId="0" fontId="72" fillId="70" borderId="1" xfId="7784" applyFont="1" applyFill="1" applyBorder="1"/>
    <xf numFmtId="3" fontId="71" fillId="0" borderId="1" xfId="7784" applyNumberFormat="1" applyFont="1" applyBorder="1"/>
    <xf numFmtId="0" fontId="72" fillId="71" borderId="1" xfId="7784" applyFont="1" applyFill="1" applyBorder="1"/>
    <xf numFmtId="0" fontId="72" fillId="72" borderId="1" xfId="7784" applyFont="1" applyFill="1" applyBorder="1"/>
    <xf numFmtId="0" fontId="72" fillId="73" borderId="1" xfId="7784" applyFont="1" applyFill="1" applyBorder="1"/>
    <xf numFmtId="0" fontId="74" fillId="73" borderId="1" xfId="7784" applyFont="1" applyFill="1" applyBorder="1"/>
    <xf numFmtId="0" fontId="76" fillId="58" borderId="1" xfId="7784" applyFont="1" applyFill="1" applyBorder="1"/>
    <xf numFmtId="0" fontId="98" fillId="0" borderId="1" xfId="7784" applyFont="1" applyBorder="1"/>
    <xf numFmtId="166" fontId="75" fillId="0" borderId="1" xfId="7784" applyNumberFormat="1" applyFont="1" applyBorder="1"/>
    <xf numFmtId="0" fontId="76" fillId="57" borderId="0" xfId="7784" applyFont="1" applyFill="1"/>
    <xf numFmtId="9" fontId="77" fillId="57" borderId="1" xfId="7785" applyFont="1" applyFill="1" applyBorder="1" applyAlignment="1">
      <alignment horizontal="center"/>
    </xf>
    <xf numFmtId="0" fontId="72" fillId="75" borderId="1" xfId="7784" applyFont="1" applyFill="1" applyBorder="1"/>
    <xf numFmtId="0" fontId="78" fillId="74" borderId="1" xfId="7784" applyFont="1" applyFill="1" applyBorder="1"/>
    <xf numFmtId="3" fontId="78" fillId="74" borderId="1" xfId="7784" applyNumberFormat="1" applyFont="1" applyFill="1" applyBorder="1"/>
    <xf numFmtId="0" fontId="74" fillId="75" borderId="1" xfId="7784" applyFont="1" applyFill="1" applyBorder="1"/>
    <xf numFmtId="9" fontId="79" fillId="58" borderId="1" xfId="7785" applyFont="1" applyFill="1" applyBorder="1" applyAlignment="1">
      <alignment horizontal="center"/>
    </xf>
    <xf numFmtId="0" fontId="72" fillId="76" borderId="1" xfId="7784" applyFont="1" applyFill="1" applyBorder="1"/>
    <xf numFmtId="1" fontId="71" fillId="0" borderId="1" xfId="7784" applyNumberFormat="1" applyFont="1" applyBorder="1"/>
    <xf numFmtId="0" fontId="80" fillId="75" borderId="1" xfId="7784" applyFont="1" applyFill="1" applyBorder="1"/>
    <xf numFmtId="0" fontId="80" fillId="57" borderId="0" xfId="7784" applyFont="1" applyFill="1"/>
    <xf numFmtId="0" fontId="81" fillId="75" borderId="1" xfId="7784" applyFont="1" applyFill="1" applyBorder="1"/>
    <xf numFmtId="0" fontId="92" fillId="57" borderId="0" xfId="7784" applyFont="1" applyFill="1"/>
    <xf numFmtId="0" fontId="99" fillId="0" borderId="0" xfId="7784" applyFont="1" applyAlignment="1">
      <alignment horizontal="center"/>
    </xf>
    <xf numFmtId="0" fontId="93" fillId="57" borderId="0" xfId="7784" applyFont="1" applyFill="1"/>
    <xf numFmtId="0" fontId="101" fillId="0" borderId="0" xfId="7784" applyFont="1" applyAlignment="1">
      <alignment horizontal="right"/>
    </xf>
    <xf numFmtId="165" fontId="71" fillId="0" borderId="1" xfId="7784" applyNumberFormat="1" applyFont="1" applyBorder="1"/>
    <xf numFmtId="0" fontId="102" fillId="0" borderId="0" xfId="0" applyFont="1"/>
    <xf numFmtId="0" fontId="101" fillId="0" borderId="0" xfId="7784" applyFont="1" applyAlignment="1">
      <alignment horizontal="center"/>
    </xf>
    <xf numFmtId="2" fontId="0" fillId="0" borderId="0" xfId="0" applyNumberFormat="1"/>
    <xf numFmtId="9" fontId="0" fillId="0" borderId="0" xfId="0" applyNumberFormat="1"/>
    <xf numFmtId="175" fontId="0" fillId="0" borderId="0" xfId="0" applyNumberFormat="1"/>
    <xf numFmtId="10" fontId="0" fillId="57" borderId="0" xfId="0" applyNumberFormat="1" applyFill="1"/>
    <xf numFmtId="0" fontId="103" fillId="0" borderId="0" xfId="0" applyFont="1"/>
    <xf numFmtId="0" fontId="0" fillId="0" borderId="8" xfId="0" applyBorder="1"/>
    <xf numFmtId="0" fontId="0" fillId="0" borderId="1" xfId="0" applyFill="1" applyBorder="1"/>
    <xf numFmtId="4" fontId="0" fillId="0" borderId="1" xfId="0" applyNumberFormat="1" applyBorder="1"/>
    <xf numFmtId="0" fontId="49" fillId="0" borderId="0" xfId="0" applyFont="1"/>
    <xf numFmtId="0" fontId="105" fillId="79" borderId="23" xfId="7786" applyFont="1" applyFill="1" applyBorder="1" applyAlignment="1">
      <alignment horizontal="left" vertical="center"/>
    </xf>
    <xf numFmtId="0" fontId="105" fillId="79" borderId="23" xfId="7786" applyFont="1" applyFill="1" applyBorder="1" applyAlignment="1">
      <alignment horizontal="center" vertical="center"/>
    </xf>
    <xf numFmtId="0" fontId="105" fillId="79" borderId="23" xfId="7786" applyFont="1" applyFill="1" applyBorder="1" applyAlignment="1">
      <alignment horizontal="center" vertical="center" wrapText="1"/>
    </xf>
    <xf numFmtId="0" fontId="106" fillId="0" borderId="1" xfId="0" applyFont="1" applyFill="1" applyBorder="1"/>
    <xf numFmtId="0" fontId="106" fillId="0" borderId="1" xfId="0" applyFont="1" applyFill="1" applyBorder="1" applyAlignment="1">
      <alignment horizontal="left"/>
    </xf>
    <xf numFmtId="178" fontId="106" fillId="0" borderId="1" xfId="1" applyNumberFormat="1" applyFont="1" applyFill="1" applyBorder="1" applyAlignment="1">
      <alignment horizontal="center"/>
    </xf>
    <xf numFmtId="2" fontId="106" fillId="0" borderId="1" xfId="0" applyNumberFormat="1" applyFont="1" applyFill="1" applyBorder="1" applyAlignment="1">
      <alignment horizontal="center"/>
    </xf>
    <xf numFmtId="0" fontId="46" fillId="80" borderId="1" xfId="7787" applyFont="1" applyFill="1" applyBorder="1"/>
    <xf numFmtId="168" fontId="106" fillId="0" borderId="1" xfId="2" applyFont="1" applyFill="1" applyBorder="1" applyAlignment="1">
      <alignment horizontal="center"/>
    </xf>
    <xf numFmtId="168" fontId="46" fillId="80" borderId="1" xfId="2" applyFont="1" applyFill="1" applyBorder="1" applyAlignment="1">
      <alignment horizontal="center"/>
    </xf>
    <xf numFmtId="167" fontId="43" fillId="0" borderId="1" xfId="1" applyBorder="1"/>
    <xf numFmtId="0" fontId="106" fillId="0" borderId="1" xfId="0" applyFont="1" applyFill="1" applyBorder="1" applyAlignment="1">
      <alignment horizontal="center"/>
    </xf>
    <xf numFmtId="0" fontId="106" fillId="81" borderId="1" xfId="0" applyFont="1" applyFill="1" applyBorder="1" applyAlignment="1">
      <alignment vertical="top"/>
    </xf>
    <xf numFmtId="9" fontId="106" fillId="81" borderId="1" xfId="0" applyNumberFormat="1" applyFont="1" applyFill="1" applyBorder="1" applyAlignment="1">
      <alignment horizontal="center" vertical="top"/>
    </xf>
    <xf numFmtId="0" fontId="108" fillId="0" borderId="1" xfId="0" applyFont="1" applyBorder="1" applyAlignment="1">
      <alignment horizontal="right" vertical="top"/>
    </xf>
    <xf numFmtId="9" fontId="108" fillId="0" borderId="1" xfId="0" applyNumberFormat="1" applyFont="1" applyBorder="1" applyAlignment="1">
      <alignment horizontal="center" vertical="top"/>
    </xf>
    <xf numFmtId="9" fontId="108" fillId="0" borderId="1" xfId="0" applyNumberFormat="1" applyFont="1" applyFill="1" applyBorder="1" applyAlignment="1">
      <alignment horizontal="center" vertical="top"/>
    </xf>
    <xf numFmtId="0" fontId="106" fillId="81" borderId="1" xfId="0" applyFont="1" applyFill="1" applyBorder="1"/>
    <xf numFmtId="9" fontId="106" fillId="81" borderId="1" xfId="0" applyNumberFormat="1" applyFont="1" applyFill="1" applyBorder="1" applyAlignment="1">
      <alignment horizontal="center"/>
    </xf>
    <xf numFmtId="0" fontId="108" fillId="0" borderId="1" xfId="0" applyFont="1" applyFill="1" applyBorder="1" applyAlignment="1">
      <alignment horizontal="right"/>
    </xf>
    <xf numFmtId="9" fontId="108" fillId="0" borderId="1" xfId="0" applyNumberFormat="1" applyFont="1" applyFill="1" applyBorder="1" applyAlignment="1">
      <alignment horizontal="center"/>
    </xf>
    <xf numFmtId="0" fontId="109" fillId="0" borderId="0" xfId="0" applyFont="1" applyFill="1"/>
    <xf numFmtId="0" fontId="109" fillId="0" borderId="0" xfId="0" applyFont="1" applyFill="1" applyAlignment="1">
      <alignment vertical="top"/>
    </xf>
    <xf numFmtId="0" fontId="106" fillId="0" borderId="0" xfId="0" applyFont="1" applyFill="1" applyAlignment="1">
      <alignment horizontal="center" vertical="top"/>
    </xf>
    <xf numFmtId="2" fontId="106" fillId="0" borderId="1" xfId="1" applyNumberFormat="1" applyFont="1" applyBorder="1" applyAlignment="1">
      <alignment horizontal="center" vertical="top"/>
    </xf>
    <xf numFmtId="0" fontId="46" fillId="82" borderId="24" xfId="0" applyFont="1" applyFill="1" applyBorder="1" applyAlignment="1">
      <alignment horizontal="left" vertical="center"/>
    </xf>
    <xf numFmtId="0" fontId="110" fillId="82" borderId="24" xfId="0" applyFont="1" applyFill="1" applyBorder="1" applyAlignment="1">
      <alignment horizontal="center" vertical="center" wrapText="1"/>
    </xf>
    <xf numFmtId="0" fontId="111" fillId="0" borderId="1" xfId="0" applyFont="1" applyBorder="1"/>
    <xf numFmtId="167" fontId="46" fillId="0" borderId="24" xfId="1" applyFont="1" applyFill="1" applyBorder="1" applyAlignment="1">
      <alignment vertical="center"/>
    </xf>
    <xf numFmtId="0" fontId="111" fillId="0" borderId="0" xfId="0" applyFont="1" applyBorder="1"/>
    <xf numFmtId="175" fontId="46" fillId="0" borderId="1" xfId="0" applyNumberFormat="1" applyFont="1" applyFill="1" applyBorder="1" applyAlignment="1">
      <alignment vertical="center"/>
    </xf>
    <xf numFmtId="0" fontId="46" fillId="0" borderId="23" xfId="0" applyFont="1" applyFill="1" applyBorder="1" applyAlignment="1">
      <alignment vertical="center"/>
    </xf>
    <xf numFmtId="3" fontId="46" fillId="0" borderId="23" xfId="0" applyNumberFormat="1" applyFont="1" applyFill="1" applyBorder="1" applyAlignment="1">
      <alignment vertical="center"/>
    </xf>
    <xf numFmtId="0" fontId="0" fillId="0" borderId="1" xfId="0" applyBorder="1" applyAlignment="1"/>
    <xf numFmtId="2" fontId="0" fillId="0" borderId="1" xfId="0" applyNumberFormat="1" applyBorder="1" applyAlignment="1"/>
    <xf numFmtId="167" fontId="46" fillId="0" borderId="24" xfId="1" applyFont="1" applyFill="1" applyBorder="1" applyAlignment="1">
      <alignment horizontal="center" vertical="center"/>
    </xf>
    <xf numFmtId="3" fontId="46" fillId="0" borderId="24" xfId="0" applyNumberFormat="1" applyFont="1" applyFill="1" applyBorder="1" applyAlignment="1">
      <alignment horizontal="center" vertical="center"/>
    </xf>
    <xf numFmtId="179" fontId="0" fillId="0" borderId="0" xfId="0" applyNumberFormat="1"/>
    <xf numFmtId="180" fontId="0" fillId="0" borderId="1" xfId="1" applyNumberFormat="1" applyFont="1" applyBorder="1"/>
    <xf numFmtId="0" fontId="102" fillId="0" borderId="1" xfId="0" applyFont="1" applyBorder="1"/>
    <xf numFmtId="0" fontId="102" fillId="0" borderId="0" xfId="0" applyFont="1" applyFill="1" applyBorder="1"/>
    <xf numFmtId="0" fontId="0" fillId="57" borderId="1" xfId="0" applyFill="1" applyBorder="1"/>
    <xf numFmtId="0" fontId="0" fillId="0" borderId="0" xfId="0"/>
    <xf numFmtId="168" fontId="0" fillId="83" borderId="1" xfId="1540" applyNumberFormat="1" applyFont="1" applyFill="1" applyBorder="1"/>
    <xf numFmtId="0" fontId="0" fillId="0" borderId="1" xfId="0" applyBorder="1" applyAlignment="1">
      <alignment horizontal="center" vertical="center" wrapText="1"/>
    </xf>
    <xf numFmtId="0" fontId="0" fillId="84" borderId="1" xfId="1540" applyFont="1" applyFill="1" applyBorder="1"/>
    <xf numFmtId="0" fontId="0" fillId="85" borderId="1" xfId="1540" applyFont="1" applyFill="1" applyBorder="1"/>
    <xf numFmtId="166" fontId="0" fillId="85" borderId="1" xfId="1540" applyNumberFormat="1" applyFont="1" applyFill="1" applyBorder="1"/>
    <xf numFmtId="2" fontId="0" fillId="85" borderId="1" xfId="1540" applyNumberFormat="1" applyFont="1" applyFill="1" applyBorder="1"/>
    <xf numFmtId="0" fontId="0" fillId="86" borderId="1" xfId="1540" applyFont="1" applyFill="1" applyBorder="1"/>
    <xf numFmtId="1" fontId="0" fillId="86" borderId="1" xfId="1540" applyNumberFormat="1" applyFont="1" applyFill="1" applyBorder="1" applyAlignment="1">
      <alignment horizontal="right"/>
    </xf>
    <xf numFmtId="166" fontId="0" fillId="86" borderId="1" xfId="1540" applyNumberFormat="1" applyFont="1" applyFill="1" applyBorder="1"/>
    <xf numFmtId="0" fontId="0" fillId="0" borderId="0" xfId="0"/>
    <xf numFmtId="0" fontId="106" fillId="0" borderId="1" xfId="0" applyFont="1" applyFill="1" applyBorder="1" applyAlignment="1">
      <alignment horizontal="center"/>
    </xf>
    <xf numFmtId="0" fontId="0" fillId="87" borderId="1" xfId="1540" applyFont="1" applyFill="1" applyBorder="1"/>
    <xf numFmtId="0" fontId="0" fillId="88" borderId="1" xfId="1540" applyFont="1" applyFill="1" applyBorder="1"/>
    <xf numFmtId="166" fontId="0" fillId="88" borderId="1" xfId="1540" applyNumberFormat="1" applyFont="1" applyFill="1" applyBorder="1"/>
    <xf numFmtId="2" fontId="0" fillId="88" borderId="1" xfId="1540" applyNumberFormat="1" applyFont="1" applyFill="1" applyBorder="1"/>
    <xf numFmtId="0" fontId="0" fillId="89" borderId="1" xfId="1540" applyFont="1" applyFill="1" applyBorder="1"/>
    <xf numFmtId="1" fontId="0" fillId="89" borderId="1" xfId="1540" applyNumberFormat="1" applyFont="1" applyFill="1" applyBorder="1"/>
    <xf numFmtId="2" fontId="0" fillId="89" borderId="1" xfId="1540" applyNumberFormat="1" applyFont="1" applyFill="1" applyBorder="1"/>
    <xf numFmtId="0" fontId="0" fillId="0" borderId="25" xfId="1540" applyFont="1" applyBorder="1"/>
    <xf numFmtId="2" fontId="0" fillId="0" borderId="13" xfId="1540" applyNumberFormat="1" applyFont="1" applyBorder="1"/>
    <xf numFmtId="0" fontId="0" fillId="0" borderId="26" xfId="1540" applyFont="1" applyBorder="1"/>
    <xf numFmtId="0" fontId="10" fillId="33" borderId="0" xfId="1540" applyFont="1" applyFill="1" applyBorder="1" applyAlignment="1">
      <alignment horizontal="center" vertical="center"/>
    </xf>
    <xf numFmtId="0" fontId="0" fillId="0" borderId="0" xfId="0"/>
    <xf numFmtId="0" fontId="68" fillId="0" borderId="0" xfId="0" applyFont="1"/>
    <xf numFmtId="0" fontId="67" fillId="0" borderId="0" xfId="0" applyFont="1" applyAlignment="1">
      <alignment horizontal="center"/>
    </xf>
    <xf numFmtId="0" fontId="10" fillId="33" borderId="0" xfId="0" applyFont="1" applyFill="1" applyAlignment="1">
      <alignment horizontal="center" vertical="center"/>
    </xf>
    <xf numFmtId="0" fontId="42" fillId="33" borderId="0" xfId="0" applyFont="1" applyFill="1" applyAlignment="1">
      <alignment horizontal="center"/>
    </xf>
    <xf numFmtId="0" fontId="50" fillId="0" borderId="0" xfId="0" applyFont="1" applyAlignment="1">
      <alignment horizontal="center" vertical="center"/>
    </xf>
    <xf numFmtId="0" fontId="51" fillId="0" borderId="1" xfId="0" applyFont="1" applyBorder="1" applyAlignment="1">
      <alignment horizontal="center" vertical="center" wrapText="1"/>
    </xf>
    <xf numFmtId="0" fontId="52" fillId="0" borderId="1" xfId="0" applyFont="1" applyBorder="1" applyAlignment="1">
      <alignment horizontal="center" vertical="center" wrapText="1"/>
    </xf>
    <xf numFmtId="0" fontId="52" fillId="0" borderId="8" xfId="0" applyFont="1" applyBorder="1" applyAlignment="1">
      <alignment horizontal="center" vertical="center" wrapText="1"/>
    </xf>
    <xf numFmtId="0" fontId="0" fillId="0" borderId="0" xfId="0" applyAlignment="1">
      <alignment horizontal="center" wrapText="1"/>
    </xf>
    <xf numFmtId="0" fontId="52" fillId="0" borderId="5" xfId="0" applyFont="1" applyBorder="1" applyAlignment="1">
      <alignment horizontal="center" vertical="center" wrapText="1"/>
    </xf>
    <xf numFmtId="0" fontId="52" fillId="0" borderId="11" xfId="0" applyFont="1" applyBorder="1" applyAlignment="1">
      <alignment horizontal="center" vertical="center" wrapText="1"/>
    </xf>
    <xf numFmtId="0" fontId="52" fillId="0" borderId="12" xfId="0" applyFont="1" applyBorder="1" applyAlignment="1">
      <alignment horizontal="center" vertical="center" wrapText="1"/>
    </xf>
    <xf numFmtId="0" fontId="52" fillId="0" borderId="3" xfId="0" applyFont="1" applyBorder="1" applyAlignment="1">
      <alignment horizontal="center" vertical="center" wrapText="1"/>
    </xf>
    <xf numFmtId="0" fontId="51" fillId="0" borderId="8" xfId="0" applyFont="1" applyBorder="1" applyAlignment="1">
      <alignment horizontal="center" vertical="center" wrapText="1"/>
    </xf>
    <xf numFmtId="0" fontId="51" fillId="0" borderId="5" xfId="0" applyFont="1" applyBorder="1" applyAlignment="1">
      <alignment horizontal="center" vertic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56" fillId="0" borderId="11" xfId="1540" applyFont="1" applyBorder="1" applyAlignment="1">
      <alignment horizontal="center"/>
    </xf>
    <xf numFmtId="0" fontId="56" fillId="0" borderId="12" xfId="1540" applyFont="1" applyBorder="1" applyAlignment="1">
      <alignment horizontal="center"/>
    </xf>
    <xf numFmtId="0" fontId="56" fillId="0" borderId="3" xfId="1540" applyFont="1" applyBorder="1" applyAlignment="1">
      <alignment horizontal="center"/>
    </xf>
    <xf numFmtId="0" fontId="0" fillId="0" borderId="0" xfId="0" applyAlignment="1">
      <alignment horizontal="center"/>
    </xf>
    <xf numFmtId="0" fontId="67" fillId="40" borderId="0" xfId="1540" applyFont="1" applyFill="1" applyBorder="1" applyAlignment="1">
      <alignment horizontal="center"/>
    </xf>
    <xf numFmtId="0" fontId="56" fillId="57" borderId="1" xfId="0" applyFont="1" applyFill="1" applyBorder="1" applyAlignment="1">
      <alignment horizontal="center" wrapText="1"/>
    </xf>
    <xf numFmtId="0" fontId="0" fillId="40" borderId="1" xfId="1540" applyFont="1" applyFill="1" applyBorder="1" applyAlignment="1">
      <alignment horizontal="center"/>
    </xf>
    <xf numFmtId="0" fontId="56" fillId="0" borderId="0" xfId="0" applyFont="1" applyAlignment="1">
      <alignment horizontal="center"/>
    </xf>
    <xf numFmtId="0" fontId="56" fillId="0" borderId="22" xfId="0" applyFont="1" applyBorder="1" applyAlignment="1">
      <alignment horizontal="center"/>
    </xf>
    <xf numFmtId="0" fontId="0" fillId="39" borderId="1" xfId="1540" applyFont="1" applyFill="1" applyBorder="1" applyAlignment="1">
      <alignment horizontal="center"/>
    </xf>
    <xf numFmtId="0" fontId="56" fillId="0" borderId="1" xfId="0" applyFont="1" applyFill="1" applyBorder="1" applyAlignment="1">
      <alignment horizontal="center" wrapText="1"/>
    </xf>
    <xf numFmtId="0" fontId="0" fillId="38" borderId="0" xfId="1540" applyFont="1" applyFill="1" applyAlignment="1">
      <alignment horizontal="center" vertical="top"/>
    </xf>
    <xf numFmtId="0" fontId="0" fillId="0" borderId="1" xfId="0" applyBorder="1" applyAlignment="1">
      <alignment horizontal="center"/>
    </xf>
    <xf numFmtId="0" fontId="56" fillId="0" borderId="11" xfId="0" applyFont="1" applyBorder="1" applyAlignment="1">
      <alignment horizontal="center"/>
    </xf>
    <xf numFmtId="0" fontId="56" fillId="0" borderId="12" xfId="0" applyFont="1" applyBorder="1" applyAlignment="1">
      <alignment horizontal="center"/>
    </xf>
    <xf numFmtId="0" fontId="56" fillId="0" borderId="3" xfId="0" applyFont="1" applyBorder="1" applyAlignment="1">
      <alignment horizontal="center"/>
    </xf>
    <xf numFmtId="0" fontId="106" fillId="0" borderId="1" xfId="0" applyFont="1" applyFill="1" applyBorder="1" applyAlignment="1">
      <alignment horizontal="center"/>
    </xf>
    <xf numFmtId="0" fontId="0" fillId="0" borderId="22" xfId="0" applyBorder="1" applyAlignment="1">
      <alignment horizontal="center"/>
    </xf>
    <xf numFmtId="0" fontId="58" fillId="0" borderId="1" xfId="1540" applyFont="1" applyBorder="1" applyAlignment="1">
      <alignment horizontal="center"/>
    </xf>
    <xf numFmtId="0" fontId="0" fillId="38" borderId="12" xfId="1540" applyFont="1" applyFill="1" applyBorder="1" applyAlignment="1">
      <alignment horizontal="center" vertical="top"/>
    </xf>
    <xf numFmtId="0" fontId="56" fillId="0" borderId="1" xfId="0" applyFont="1" applyBorder="1" applyAlignment="1">
      <alignment horizontal="center"/>
    </xf>
    <xf numFmtId="0" fontId="62" fillId="0" borderId="0" xfId="0" applyFont="1" applyAlignment="1">
      <alignment horizontal="center" vertical="center"/>
    </xf>
    <xf numFmtId="0" fontId="0" fillId="46" borderId="0" xfId="1540" applyFont="1" applyFill="1" applyBorder="1" applyAlignment="1">
      <alignment horizontal="center"/>
    </xf>
    <xf numFmtId="0" fontId="0" fillId="50" borderId="0" xfId="1540" applyFont="1" applyFill="1" applyBorder="1" applyAlignment="1">
      <alignment horizontal="center"/>
    </xf>
    <xf numFmtId="0" fontId="56" fillId="85" borderId="1" xfId="0" applyFont="1" applyFill="1" applyBorder="1" applyAlignment="1">
      <alignment horizontal="center" wrapText="1"/>
    </xf>
    <xf numFmtId="0" fontId="56" fillId="66" borderId="1" xfId="0" applyFont="1" applyFill="1" applyBorder="1" applyAlignment="1">
      <alignment horizontal="center" wrapText="1"/>
    </xf>
    <xf numFmtId="0" fontId="56" fillId="88" borderId="1" xfId="0" applyFont="1" applyFill="1" applyBorder="1" applyAlignment="1">
      <alignment horizontal="center" wrapText="1"/>
    </xf>
    <xf numFmtId="0" fontId="56" fillId="0" borderId="1" xfId="0" applyFont="1" applyBorder="1" applyAlignment="1">
      <alignment horizontal="center" wrapText="1"/>
    </xf>
    <xf numFmtId="0" fontId="0" fillId="40" borderId="0" xfId="1540" applyFont="1" applyFill="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0" borderId="6" xfId="1540" applyFont="1" applyBorder="1" applyAlignment="1">
      <alignment horizontal="center"/>
    </xf>
    <xf numFmtId="0" fontId="0" fillId="45" borderId="4" xfId="1540" applyFont="1" applyFill="1" applyBorder="1" applyAlignment="1">
      <alignment horizontal="center"/>
    </xf>
    <xf numFmtId="0" fontId="0" fillId="0" borderId="4" xfId="1540" applyFont="1" applyBorder="1" applyAlignment="1">
      <alignment horizontal="center"/>
    </xf>
    <xf numFmtId="0" fontId="0" fillId="40" borderId="21" xfId="1540" applyFont="1" applyFill="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56" fillId="0" borderId="1" xfId="1540" applyFont="1" applyBorder="1" applyAlignment="1">
      <alignment horizontal="center"/>
    </xf>
    <xf numFmtId="0" fontId="56" fillId="0" borderId="1" xfId="1540" applyFont="1" applyBorder="1" applyAlignment="1">
      <alignment horizontal="center" wrapText="1"/>
    </xf>
    <xf numFmtId="0" fontId="26" fillId="44" borderId="0" xfId="1540" applyFont="1" applyFill="1" applyBorder="1" applyAlignment="1">
      <alignment horizontal="center" vertical="center"/>
    </xf>
    <xf numFmtId="0" fontId="18" fillId="3" borderId="7" xfId="1540" applyFont="1" applyFill="1" applyBorder="1" applyAlignment="1">
      <alignment horizontal="center" vertical="center" wrapText="1"/>
    </xf>
    <xf numFmtId="0" fontId="19" fillId="0" borderId="1" xfId="1540" applyFont="1" applyBorder="1" applyAlignment="1">
      <alignment horizontal="center" vertical="center" wrapText="1"/>
    </xf>
    <xf numFmtId="0" fontId="34" fillId="0" borderId="1" xfId="1540" applyFont="1" applyBorder="1" applyAlignment="1">
      <alignment horizontal="center" vertical="center" wrapText="1"/>
    </xf>
    <xf numFmtId="0" fontId="88" fillId="57" borderId="0" xfId="7784" applyFont="1" applyFill="1" applyAlignment="1">
      <alignment horizontal="left"/>
    </xf>
    <xf numFmtId="0" fontId="89" fillId="57" borderId="0" xfId="7784" applyFont="1" applyFill="1" applyAlignment="1">
      <alignment horizontal="left"/>
    </xf>
    <xf numFmtId="167" fontId="43" fillId="0" borderId="1" xfId="1" applyBorder="1" applyAlignment="1">
      <alignment horizontal="center" vertical="center"/>
    </xf>
    <xf numFmtId="2" fontId="106" fillId="0" borderId="1" xfId="0" applyNumberFormat="1" applyFont="1" applyFill="1" applyBorder="1" applyAlignment="1">
      <alignment horizontal="center" vertical="center"/>
    </xf>
    <xf numFmtId="0" fontId="0" fillId="90" borderId="27" xfId="0" applyFill="1" applyBorder="1" applyAlignment="1">
      <alignment horizontal="center"/>
    </xf>
  </cellXfs>
  <cellStyles count="7788">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Excel Built-in Explanatory Text" xfId="7786"/>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5" xfId="7784"/>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al_Annexes C_exII_2_v0" xfId="7787"/>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18" xfId="7785"/>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818">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3048-4153-A6D1-9A35FE67E46D}"/>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3048-4153-A6D1-9A35FE67E46D}"/>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3048-4153-A6D1-9A35FE67E46D}"/>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3048-4153-A6D1-9A35FE67E46D}"/>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3048-4153-A6D1-9A35FE67E46D}"/>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3048-4153-A6D1-9A35FE67E46D}"/>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3048-4153-A6D1-9A35FE67E46D}"/>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3048-4153-A6D1-9A35FE67E46D}"/>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3048-4153-A6D1-9A35FE67E46D}"/>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3048-4153-A6D1-9A35FE67E46D}"/>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Energie'!$A$31:$A$41</c15:sqref>
                  </c15:fullRef>
                </c:ext>
              </c:extLst>
              <c:f>'Prod Energie'!$A$32:$A$41</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Energie'!$C$31:$C$41</c15:sqref>
                  </c15:fullRef>
                </c:ext>
              </c:extLst>
              <c:f>'Prod Energie'!$C$32:$C$41</c:f>
              <c:numCache>
                <c:formatCode>0\ %</c:formatCode>
                <c:ptCount val="10"/>
                <c:pt idx="0">
                  <c:v>0</c:v>
                </c:pt>
                <c:pt idx="1">
                  <c:v>0.71199999999999997</c:v>
                </c:pt>
                <c:pt idx="2">
                  <c:v>5.8000000000000003E-2</c:v>
                </c:pt>
                <c:pt idx="3">
                  <c:v>0</c:v>
                </c:pt>
                <c:pt idx="4">
                  <c:v>0</c:v>
                </c:pt>
                <c:pt idx="5">
                  <c:v>0</c:v>
                </c:pt>
                <c:pt idx="6">
                  <c:v>0</c:v>
                </c:pt>
                <c:pt idx="7">
                  <c:v>0</c:v>
                </c:pt>
                <c:pt idx="8">
                  <c:v>0.23</c:v>
                </c:pt>
                <c:pt idx="9">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3048-4153-A6D1-9A35FE67E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1990</a:t>
            </a:r>
          </a:p>
        </c:rich>
      </c:tx>
      <c:layout>
        <c:manualLayout>
          <c:xMode val="edge"/>
          <c:yMode val="edge"/>
          <c:x val="0.41214352752647893"/>
          <c:y val="0.48298437127177285"/>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N2O!$C$6</c:f>
              <c:strCache>
                <c:ptCount val="1"/>
                <c:pt idx="0">
                  <c:v>1990</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517A-4D80-95A1-94CBB87A1FA5}"/>
              </c:ext>
            </c:extLst>
          </c:dPt>
          <c:dPt>
            <c:idx val="1"/>
            <c:bubble3D val="0"/>
            <c:spPr>
              <a:solidFill>
                <a:srgbClr val="0070C0"/>
              </a:solidFill>
              <a:ln>
                <a:solidFill>
                  <a:schemeClr val="bg1"/>
                </a:solidFill>
              </a:ln>
            </c:spPr>
            <c:extLst>
              <c:ext xmlns:c16="http://schemas.microsoft.com/office/drawing/2014/chart" uri="{C3380CC4-5D6E-409C-BE32-E72D297353CC}">
                <c16:uniqueId val="{00000003-517A-4D80-95A1-94CBB87A1FA5}"/>
              </c:ext>
            </c:extLst>
          </c:dPt>
          <c:dPt>
            <c:idx val="2"/>
            <c:bubble3D val="0"/>
            <c:spPr>
              <a:solidFill>
                <a:srgbClr val="B3A2C7"/>
              </a:solidFill>
              <a:ln>
                <a:solidFill>
                  <a:schemeClr val="bg1"/>
                </a:solidFill>
              </a:ln>
            </c:spPr>
            <c:extLst>
              <c:ext xmlns:c16="http://schemas.microsoft.com/office/drawing/2014/chart" uri="{C3380CC4-5D6E-409C-BE32-E72D297353CC}">
                <c16:uniqueId val="{00000005-517A-4D80-95A1-94CBB87A1FA5}"/>
              </c:ext>
            </c:extLst>
          </c:dPt>
          <c:dPt>
            <c:idx val="3"/>
            <c:bubble3D val="0"/>
            <c:spPr>
              <a:solidFill>
                <a:srgbClr val="E0E5B3"/>
              </a:solidFill>
              <a:ln>
                <a:solidFill>
                  <a:schemeClr val="bg1"/>
                </a:solidFill>
              </a:ln>
            </c:spPr>
            <c:extLst>
              <c:ext xmlns:c16="http://schemas.microsoft.com/office/drawing/2014/chart" uri="{C3380CC4-5D6E-409C-BE32-E72D297353CC}">
                <c16:uniqueId val="{00000007-517A-4D80-95A1-94CBB87A1FA5}"/>
              </c:ext>
            </c:extLst>
          </c:dPt>
          <c:dPt>
            <c:idx val="4"/>
            <c:bubble3D val="0"/>
            <c:spPr>
              <a:solidFill>
                <a:srgbClr val="92D050"/>
              </a:solidFill>
              <a:ln>
                <a:solidFill>
                  <a:schemeClr val="bg1"/>
                </a:solidFill>
              </a:ln>
            </c:spPr>
            <c:extLst>
              <c:ext xmlns:c16="http://schemas.microsoft.com/office/drawing/2014/chart" uri="{C3380CC4-5D6E-409C-BE32-E72D297353CC}">
                <c16:uniqueId val="{00000009-517A-4D80-95A1-94CBB87A1FA5}"/>
              </c:ext>
            </c:extLst>
          </c:dPt>
          <c:dPt>
            <c:idx val="5"/>
            <c:bubble3D val="0"/>
            <c:spPr>
              <a:solidFill>
                <a:srgbClr val="7030A0"/>
              </a:solidFill>
              <a:ln>
                <a:solidFill>
                  <a:schemeClr val="bg1"/>
                </a:solidFill>
              </a:ln>
            </c:spPr>
            <c:extLst>
              <c:ext xmlns:c16="http://schemas.microsoft.com/office/drawing/2014/chart" uri="{C3380CC4-5D6E-409C-BE32-E72D297353CC}">
                <c16:uniqueId val="{0000000B-517A-4D80-95A1-94CBB87A1FA5}"/>
              </c:ext>
            </c:extLst>
          </c:dPt>
          <c:dPt>
            <c:idx val="6"/>
            <c:bubble3D val="0"/>
            <c:spPr>
              <a:solidFill>
                <a:srgbClr val="00B050"/>
              </a:solidFill>
              <a:ln>
                <a:solidFill>
                  <a:schemeClr val="bg1"/>
                </a:solidFill>
              </a:ln>
            </c:spPr>
            <c:extLst>
              <c:ext xmlns:c16="http://schemas.microsoft.com/office/drawing/2014/chart" uri="{C3380CC4-5D6E-409C-BE32-E72D297353CC}">
                <c16:uniqueId val="{0000000D-517A-4D80-95A1-94CBB87A1FA5}"/>
              </c:ext>
            </c:extLst>
          </c:dPt>
          <c:dLbls>
            <c:dLbl>
              <c:idx val="0"/>
              <c:delete val="1"/>
              <c:extLst>
                <c:ext xmlns:c15="http://schemas.microsoft.com/office/drawing/2012/chart" uri="{CE6537A1-D6FC-4f65-9D91-7224C49458BB}"/>
                <c:ext xmlns:c16="http://schemas.microsoft.com/office/drawing/2014/chart" uri="{C3380CC4-5D6E-409C-BE32-E72D297353CC}">
                  <c16:uniqueId val="{00000001-517A-4D80-95A1-94CBB87A1FA5}"/>
                </c:ext>
              </c:extLst>
            </c:dLbl>
            <c:dLbl>
              <c:idx val="1"/>
              <c:layout>
                <c:manualLayout>
                  <c:x val="-1.535007158735548E-2"/>
                  <c:y val="0.1099656357388316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7A-4D80-95A1-94CBB87A1FA5}"/>
                </c:ext>
              </c:extLst>
            </c:dLbl>
            <c:dLbl>
              <c:idx val="2"/>
              <c:layout>
                <c:manualLayout>
                  <c:x val="1.4953279831204551E-2"/>
                  <c:y val="9.52496144167546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7A-4D80-95A1-94CBB87A1FA5}"/>
                </c:ext>
              </c:extLst>
            </c:dLbl>
            <c:dLbl>
              <c:idx val="3"/>
              <c:delete val="1"/>
              <c:extLst>
                <c:ext xmlns:c15="http://schemas.microsoft.com/office/drawing/2012/chart" uri="{CE6537A1-D6FC-4f65-9D91-7224C49458BB}"/>
                <c:ext xmlns:c16="http://schemas.microsoft.com/office/drawing/2014/chart" uri="{C3380CC4-5D6E-409C-BE32-E72D297353CC}">
                  <c16:uniqueId val="{00000007-517A-4D80-95A1-94CBB87A1FA5}"/>
                </c:ext>
              </c:extLst>
            </c:dLbl>
            <c:dLbl>
              <c:idx val="5"/>
              <c:layout>
                <c:manualLayout>
                  <c:x val="4.552272898534343E-2"/>
                  <c:y val="6.8425467435127313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17A-4D80-95A1-94CBB87A1FA5}"/>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N2O!$B$7:$B$11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(N2O!$C$7:$C$11,N2O!$C$12,N2O!$C$15)</c:f>
              <c:numCache>
                <c:formatCode>0.0</c:formatCode>
                <c:ptCount val="7"/>
                <c:pt idx="0">
                  <c:v>3.1442277900000004</c:v>
                </c:pt>
                <c:pt idx="1">
                  <c:v>2.4378902280039982</c:v>
                </c:pt>
                <c:pt idx="2" formatCode="#\ ##0.0">
                  <c:v>9.751560912015993</c:v>
                </c:pt>
                <c:pt idx="3" formatCode="#\ ##0.0">
                  <c:v>1.4362846939177665</c:v>
                </c:pt>
                <c:pt idx="4" formatCode="#,##0">
                  <c:v>113.84452172801869</c:v>
                </c:pt>
                <c:pt idx="5">
                  <c:v>13.539395513509264</c:v>
                </c:pt>
                <c:pt idx="6">
                  <c:v>0</c:v>
                </c:pt>
              </c:numCache>
            </c:numRef>
          </c:val>
          <c:extLst>
            <c:ext xmlns:c16="http://schemas.microsoft.com/office/drawing/2014/chart" uri="{C3380CC4-5D6E-409C-BE32-E72D297353CC}">
              <c16:uniqueId val="{0000000E-517A-4D80-95A1-94CBB87A1FA5}"/>
            </c:ext>
          </c:extLst>
        </c:ser>
        <c:ser>
          <c:idx val="1"/>
          <c:order val="1"/>
          <c:tx>
            <c:strRef>
              <c:f>N2O!$AF$6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517A-4D80-95A1-94CBB87A1FA5}"/>
              </c:ext>
            </c:extLst>
          </c:dPt>
          <c:dPt>
            <c:idx val="1"/>
            <c:bubble3D val="0"/>
            <c:spPr>
              <a:solidFill>
                <a:srgbClr val="0070C0"/>
              </a:solidFill>
              <a:ln>
                <a:solidFill>
                  <a:schemeClr val="bg1"/>
                </a:solidFill>
              </a:ln>
            </c:spPr>
            <c:extLst>
              <c:ext xmlns:c16="http://schemas.microsoft.com/office/drawing/2014/chart" uri="{C3380CC4-5D6E-409C-BE32-E72D297353CC}">
                <c16:uniqueId val="{00000012-517A-4D80-95A1-94CBB87A1FA5}"/>
              </c:ext>
            </c:extLst>
          </c:dPt>
          <c:dPt>
            <c:idx val="2"/>
            <c:bubble3D val="0"/>
            <c:spPr>
              <a:solidFill>
                <a:srgbClr val="B3A2C7"/>
              </a:solidFill>
              <a:ln>
                <a:solidFill>
                  <a:schemeClr val="bg1"/>
                </a:solidFill>
              </a:ln>
            </c:spPr>
            <c:extLst>
              <c:ext xmlns:c16="http://schemas.microsoft.com/office/drawing/2014/chart" uri="{C3380CC4-5D6E-409C-BE32-E72D297353CC}">
                <c16:uniqueId val="{00000014-517A-4D80-95A1-94CBB87A1FA5}"/>
              </c:ext>
            </c:extLst>
          </c:dPt>
          <c:dPt>
            <c:idx val="3"/>
            <c:bubble3D val="0"/>
            <c:spPr>
              <a:solidFill>
                <a:srgbClr val="E0E5B3"/>
              </a:solidFill>
              <a:ln>
                <a:solidFill>
                  <a:schemeClr val="bg1"/>
                </a:solidFill>
              </a:ln>
            </c:spPr>
            <c:extLst>
              <c:ext xmlns:c16="http://schemas.microsoft.com/office/drawing/2014/chart" uri="{C3380CC4-5D6E-409C-BE32-E72D297353CC}">
                <c16:uniqueId val="{00000016-517A-4D80-95A1-94CBB87A1FA5}"/>
              </c:ext>
            </c:extLst>
          </c:dPt>
          <c:dPt>
            <c:idx val="4"/>
            <c:bubble3D val="0"/>
            <c:spPr>
              <a:solidFill>
                <a:srgbClr val="92D050"/>
              </a:solidFill>
              <a:ln>
                <a:solidFill>
                  <a:schemeClr val="bg1"/>
                </a:solidFill>
              </a:ln>
            </c:spPr>
            <c:extLst>
              <c:ext xmlns:c16="http://schemas.microsoft.com/office/drawing/2014/chart" uri="{C3380CC4-5D6E-409C-BE32-E72D297353CC}">
                <c16:uniqueId val="{00000018-517A-4D80-95A1-94CBB87A1FA5}"/>
              </c:ext>
            </c:extLst>
          </c:dPt>
          <c:dPt>
            <c:idx val="5"/>
            <c:bubble3D val="0"/>
            <c:spPr>
              <a:solidFill>
                <a:srgbClr val="7030A0"/>
              </a:solidFill>
              <a:ln>
                <a:solidFill>
                  <a:schemeClr val="bg1"/>
                </a:solidFill>
              </a:ln>
            </c:spPr>
            <c:extLst>
              <c:ext xmlns:c16="http://schemas.microsoft.com/office/drawing/2014/chart" uri="{C3380CC4-5D6E-409C-BE32-E72D297353CC}">
                <c16:uniqueId val="{0000001A-517A-4D80-95A1-94CBB87A1FA5}"/>
              </c:ext>
            </c:extLst>
          </c:dPt>
          <c:dPt>
            <c:idx val="6"/>
            <c:bubble3D val="0"/>
            <c:spPr>
              <a:solidFill>
                <a:srgbClr val="00B050"/>
              </a:solidFill>
              <a:ln>
                <a:solidFill>
                  <a:schemeClr val="bg1"/>
                </a:solidFill>
              </a:ln>
            </c:spPr>
            <c:extLst>
              <c:ext xmlns:c16="http://schemas.microsoft.com/office/drawing/2014/chart" uri="{C3380CC4-5D6E-409C-BE32-E72D297353CC}">
                <c16:uniqueId val="{0000001C-517A-4D80-95A1-94CBB87A1FA5}"/>
              </c:ext>
            </c:extLst>
          </c:dPt>
          <c:dLbls>
            <c:dLbl>
              <c:idx val="0"/>
              <c:layout>
                <c:manualLayout>
                  <c:x val="-7.9417222410616852E-4"/>
                  <c:y val="-8.247422680412373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517A-4D80-95A1-94CBB87A1FA5}"/>
                </c:ext>
              </c:extLst>
            </c:dLbl>
            <c:dLbl>
              <c:idx val="1"/>
              <c:layout>
                <c:manualLayout>
                  <c:x val="7.0796499642672784E-3"/>
                  <c:y val="0"/>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517A-4D80-95A1-94CBB87A1FA5}"/>
                </c:ext>
              </c:extLst>
            </c:dLbl>
            <c:dLbl>
              <c:idx val="3"/>
              <c:layout>
                <c:manualLayout>
                  <c:x val="0.1076600825138465"/>
                  <c:y val="-2.02889844954947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17A-4D80-95A1-94CBB87A1FA5}"/>
                </c:ext>
              </c:extLst>
            </c:dLbl>
            <c:dLbl>
              <c:idx val="5"/>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A-517A-4D80-95A1-94CBB87A1FA5}"/>
                </c:ext>
              </c:extLst>
            </c:dLbl>
            <c:dLbl>
              <c:idx val="6"/>
              <c:layout>
                <c:manualLayout>
                  <c:x val="1.4159299928534557E-2"/>
                  <c:y val="-7.843137254901978E-3"/>
                </c:manualLayout>
              </c:layout>
              <c:spPr>
                <a:noFill/>
                <a:ln>
                  <a:noFill/>
                </a:ln>
                <a:effectLst/>
              </c:spPr>
              <c:txPr>
                <a:bodyPr wrap="square" lIns="38100" tIns="19050" rIns="38100" bIns="19050" anchor="ctr">
                  <a:spAutoFit/>
                </a:bodyPr>
                <a:lstStyle/>
                <a:p>
                  <a:pPr>
                    <a:defRPr>
                      <a:solidFill>
                        <a:sysClr val="windowText" lastClr="000000"/>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517A-4D80-95A1-94CBB87A1FA5}"/>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N2O!$B$7:$B$11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(N2O!$AF$7:$AF$12,N2O!$AF$15)</c:f>
              <c:numCache>
                <c:formatCode>0.0</c:formatCode>
                <c:ptCount val="7"/>
                <c:pt idx="0">
                  <c:v>6.9422056463174151</c:v>
                </c:pt>
                <c:pt idx="1">
                  <c:v>3.4255363295999985</c:v>
                </c:pt>
                <c:pt idx="2" formatCode="#\ ##0.0">
                  <c:v>15.221835572718387</c:v>
                </c:pt>
                <c:pt idx="3" formatCode="#\ ##0.0">
                  <c:v>1.9065134815223574</c:v>
                </c:pt>
                <c:pt idx="4" formatCode="#,##0">
                  <c:v>86.546946324751261</c:v>
                </c:pt>
                <c:pt idx="5">
                  <c:v>16.536992401555544</c:v>
                </c:pt>
                <c:pt idx="6">
                  <c:v>0</c:v>
                </c:pt>
              </c:numCache>
            </c:numRef>
          </c:val>
          <c:extLst>
            <c:ext xmlns:c16="http://schemas.microsoft.com/office/drawing/2014/chart" uri="{C3380CC4-5D6E-409C-BE32-E72D297353CC}">
              <c16:uniqueId val="{0000001D-517A-4D80-95A1-94CBB87A1FA5}"/>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912888452520136E-2"/>
          <c:y val="6.7130443646000557E-2"/>
          <c:w val="0.9045126701246019"/>
          <c:h val="0.76366740565196345"/>
        </c:manualLayout>
      </c:layout>
      <c:areaChart>
        <c:grouping val="stacked"/>
        <c:varyColors val="0"/>
        <c:ser>
          <c:idx val="0"/>
          <c:order val="0"/>
          <c:tx>
            <c:strRef>
              <c:f>HFC!$B$7</c:f>
              <c:strCache>
                <c:ptCount val="1"/>
                <c:pt idx="0">
                  <c:v>Industrie de l'énergie</c:v>
                </c:pt>
              </c:strCache>
            </c:strRef>
          </c:tx>
          <c:spPr>
            <a:solidFill>
              <a:schemeClr val="tx2">
                <a:lumMod val="20000"/>
                <a:lumOff val="80000"/>
              </a:schemeClr>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HFC!$C$7:$AF$7</c:f>
              <c:numCache>
                <c:formatCode>0.0</c:formatCode>
                <c:ptCount val="30"/>
                <c:pt idx="0">
                  <c:v>0</c:v>
                </c:pt>
                <c:pt idx="1">
                  <c:v>0</c:v>
                </c:pt>
                <c:pt idx="2">
                  <c:v>0</c:v>
                </c:pt>
                <c:pt idx="3">
                  <c:v>0</c:v>
                </c:pt>
                <c:pt idx="4">
                  <c:v>0</c:v>
                </c:pt>
                <c:pt idx="5">
                  <c:v>0.83934736996981751</c:v>
                </c:pt>
                <c:pt idx="6">
                  <c:v>3.7890538415780344</c:v>
                </c:pt>
                <c:pt idx="7">
                  <c:v>6.7387603131862521</c:v>
                </c:pt>
                <c:pt idx="8">
                  <c:v>9.6884667847944659</c:v>
                </c:pt>
                <c:pt idx="9">
                  <c:v>12.638173256402686</c:v>
                </c:pt>
                <c:pt idx="10">
                  <c:v>15.5878797280109</c:v>
                </c:pt>
                <c:pt idx="11">
                  <c:v>20.029226382822621</c:v>
                </c:pt>
                <c:pt idx="12">
                  <c:v>24.048501217306661</c:v>
                </c:pt>
                <c:pt idx="13">
                  <c:v>27.645704231463021</c:v>
                </c:pt>
                <c:pt idx="14">
                  <c:v>30.340997320827373</c:v>
                </c:pt>
                <c:pt idx="15">
                  <c:v>33.400097948187401</c:v>
                </c:pt>
                <c:pt idx="16">
                  <c:v>40.209133002492152</c:v>
                </c:pt>
                <c:pt idx="17">
                  <c:v>38.939058395827587</c:v>
                </c:pt>
                <c:pt idx="18">
                  <c:v>37.330668149916903</c:v>
                </c:pt>
                <c:pt idx="19">
                  <c:v>36.150002782466267</c:v>
                </c:pt>
                <c:pt idx="20">
                  <c:v>35.170217130779008</c:v>
                </c:pt>
                <c:pt idx="21">
                  <c:v>39.250313297642684</c:v>
                </c:pt>
                <c:pt idx="22">
                  <c:v>37.415454858267083</c:v>
                </c:pt>
                <c:pt idx="23">
                  <c:v>35.796080818939181</c:v>
                </c:pt>
                <c:pt idx="24">
                  <c:v>30.429509910980343</c:v>
                </c:pt>
                <c:pt idx="25">
                  <c:v>26.621897714832876</c:v>
                </c:pt>
                <c:pt idx="26">
                  <c:v>24.618835382308788</c:v>
                </c:pt>
                <c:pt idx="27">
                  <c:v>22.288619064042422</c:v>
                </c:pt>
                <c:pt idx="28">
                  <c:v>17.207561693740772</c:v>
                </c:pt>
                <c:pt idx="29">
                  <c:v>13.591589401888243</c:v>
                </c:pt>
              </c:numCache>
            </c:numRef>
          </c:val>
          <c:extLst>
            <c:ext xmlns:c16="http://schemas.microsoft.com/office/drawing/2014/chart" uri="{C3380CC4-5D6E-409C-BE32-E72D297353CC}">
              <c16:uniqueId val="{00000000-20E1-446A-95FE-142FBAD6C0A1}"/>
            </c:ext>
          </c:extLst>
        </c:ser>
        <c:ser>
          <c:idx val="1"/>
          <c:order val="1"/>
          <c:tx>
            <c:strRef>
              <c:f>HFC!$B$8</c:f>
              <c:strCache>
                <c:ptCount val="1"/>
                <c:pt idx="0">
                  <c:v>Industrie manufacturière et construction</c:v>
                </c:pt>
              </c:strCache>
            </c:strRef>
          </c:tx>
          <c:spPr>
            <a:solidFill>
              <a:srgbClr val="0070C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HFC!$C$8:$AF$8</c:f>
              <c:numCache>
                <c:formatCode>0.0</c:formatCode>
                <c:ptCount val="30"/>
                <c:pt idx="0">
                  <c:v>0</c:v>
                </c:pt>
                <c:pt idx="1">
                  <c:v>0</c:v>
                </c:pt>
                <c:pt idx="2">
                  <c:v>0</c:v>
                </c:pt>
                <c:pt idx="3">
                  <c:v>0</c:v>
                </c:pt>
                <c:pt idx="4">
                  <c:v>115.76715499311763</c:v>
                </c:pt>
                <c:pt idx="5">
                  <c:v>551.46167927928695</c:v>
                </c:pt>
                <c:pt idx="6">
                  <c:v>1036.2307937320911</c:v>
                </c:pt>
                <c:pt idx="7">
                  <c:v>1113.160247645721</c:v>
                </c:pt>
                <c:pt idx="8">
                  <c:v>1202.0015146520032</c:v>
                </c:pt>
                <c:pt idx="9">
                  <c:v>1284.1946830459351</c:v>
                </c:pt>
                <c:pt idx="10">
                  <c:v>1306.6658372844217</c:v>
                </c:pt>
                <c:pt idx="11">
                  <c:v>1400.6227603684388</c:v>
                </c:pt>
                <c:pt idx="12">
                  <c:v>1529.6852909337083</c:v>
                </c:pt>
                <c:pt idx="13">
                  <c:v>1864.9697972318381</c:v>
                </c:pt>
                <c:pt idx="14">
                  <c:v>2059.0573301201266</c:v>
                </c:pt>
                <c:pt idx="15">
                  <c:v>2229.1753753810767</c:v>
                </c:pt>
                <c:pt idx="16">
                  <c:v>2403.3662811148743</c:v>
                </c:pt>
                <c:pt idx="17">
                  <c:v>2517.7603255726426</c:v>
                </c:pt>
                <c:pt idx="18">
                  <c:v>2416.9051698857184</c:v>
                </c:pt>
                <c:pt idx="19">
                  <c:v>2303.4893466501112</c:v>
                </c:pt>
                <c:pt idx="20">
                  <c:v>2436.4805368322864</c:v>
                </c:pt>
                <c:pt idx="21">
                  <c:v>2426.2178970932696</c:v>
                </c:pt>
                <c:pt idx="22">
                  <c:v>2229.3584585226918</c:v>
                </c:pt>
                <c:pt idx="23">
                  <c:v>2197.781191759495</c:v>
                </c:pt>
                <c:pt idx="24">
                  <c:v>2114.9730137795896</c:v>
                </c:pt>
                <c:pt idx="25">
                  <c:v>2033.8139412551413</c:v>
                </c:pt>
                <c:pt idx="26">
                  <c:v>2017.6260186185455</c:v>
                </c:pt>
                <c:pt idx="27">
                  <c:v>2007.8540661275165</c:v>
                </c:pt>
                <c:pt idx="28">
                  <c:v>1293.6164027233212</c:v>
                </c:pt>
                <c:pt idx="29">
                  <c:v>1210.3534901879896</c:v>
                </c:pt>
              </c:numCache>
            </c:numRef>
          </c:val>
          <c:extLst>
            <c:ext xmlns:c16="http://schemas.microsoft.com/office/drawing/2014/chart" uri="{C3380CC4-5D6E-409C-BE32-E72D297353CC}">
              <c16:uniqueId val="{00000001-20E1-446A-95FE-142FBAD6C0A1}"/>
            </c:ext>
          </c:extLst>
        </c:ser>
        <c:ser>
          <c:idx val="2"/>
          <c:order val="2"/>
          <c:tx>
            <c:strRef>
              <c:f>HFC!$B$9</c:f>
              <c:strCache>
                <c:ptCount val="1"/>
                <c:pt idx="0">
                  <c:v>Traitement centralisé des déchets</c:v>
                </c:pt>
              </c:strCache>
            </c:strRef>
          </c:tx>
          <c:spPr>
            <a:solidFill>
              <a:schemeClr val="accent4">
                <a:lumMod val="60000"/>
                <a:lumOff val="40000"/>
              </a:schemeClr>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HFC!$C$9:$AF$9</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20E1-446A-95FE-142FBAD6C0A1}"/>
            </c:ext>
          </c:extLst>
        </c:ser>
        <c:ser>
          <c:idx val="3"/>
          <c:order val="3"/>
          <c:tx>
            <c:strRef>
              <c:f>HFC!$B$10</c:f>
              <c:strCache>
                <c:ptCount val="1"/>
                <c:pt idx="0">
                  <c:v>Usage des bâtiments et activités résidentiels/tertiaires</c:v>
                </c:pt>
              </c:strCache>
            </c:strRef>
          </c:tx>
          <c:spPr>
            <a:solidFill>
              <a:srgbClr val="E0E5B3"/>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HFC!$C$10:$AF$10</c:f>
              <c:numCache>
                <c:formatCode>0.0</c:formatCode>
                <c:ptCount val="30"/>
                <c:pt idx="0">
                  <c:v>0</c:v>
                </c:pt>
                <c:pt idx="1">
                  <c:v>0</c:v>
                </c:pt>
                <c:pt idx="2">
                  <c:v>0</c:v>
                </c:pt>
                <c:pt idx="3">
                  <c:v>0</c:v>
                </c:pt>
                <c:pt idx="4" formatCode="0">
                  <c:v>450.26163542099749</c:v>
                </c:pt>
                <c:pt idx="5" formatCode="0">
                  <c:v>2969.9572543640488</c:v>
                </c:pt>
                <c:pt idx="6" formatCode="0">
                  <c:v>5559.1327918610241</c:v>
                </c:pt>
                <c:pt idx="7" formatCode="0">
                  <c:v>5674.8663936353605</c:v>
                </c:pt>
                <c:pt idx="8" formatCode="0">
                  <c:v>5823.9558973634012</c:v>
                </c:pt>
                <c:pt idx="9" formatCode="0">
                  <c:v>5960.092204784145</c:v>
                </c:pt>
                <c:pt idx="10" formatCode="0">
                  <c:v>5632.2919369674637</c:v>
                </c:pt>
                <c:pt idx="11" formatCode="0">
                  <c:v>5837.8980184688207</c:v>
                </c:pt>
                <c:pt idx="12" formatCode="0">
                  <c:v>5861.3567447315818</c:v>
                </c:pt>
                <c:pt idx="13" formatCode="0">
                  <c:v>7456.7681425842129</c:v>
                </c:pt>
                <c:pt idx="14" formatCode="0">
                  <c:v>8158.6639030121778</c:v>
                </c:pt>
                <c:pt idx="15" formatCode="0">
                  <c:v>8460.4361362368654</c:v>
                </c:pt>
                <c:pt idx="16" formatCode="0">
                  <c:v>8789.2389034007865</c:v>
                </c:pt>
                <c:pt idx="17" formatCode="0">
                  <c:v>9553.1705157115903</c:v>
                </c:pt>
                <c:pt idx="18" formatCode="0">
                  <c:v>10341.982835420498</c:v>
                </c:pt>
                <c:pt idx="19" formatCode="0">
                  <c:v>10336.287174095529</c:v>
                </c:pt>
                <c:pt idx="20" formatCode="0">
                  <c:v>11999.332837104623</c:v>
                </c:pt>
                <c:pt idx="21" formatCode="0">
                  <c:v>12752.253675791295</c:v>
                </c:pt>
                <c:pt idx="22" formatCode="0">
                  <c:v>12839.94359070163</c:v>
                </c:pt>
                <c:pt idx="23" formatCode="0">
                  <c:v>13412.85917525948</c:v>
                </c:pt>
                <c:pt idx="24" formatCode="0">
                  <c:v>13994.346815088138</c:v>
                </c:pt>
                <c:pt idx="25" formatCode="0">
                  <c:v>14719.510247096816</c:v>
                </c:pt>
                <c:pt idx="26" formatCode="0">
                  <c:v>15593.127756277543</c:v>
                </c:pt>
                <c:pt idx="27" formatCode="0">
                  <c:v>16831.351234310656</c:v>
                </c:pt>
                <c:pt idx="28" formatCode="0">
                  <c:v>12628.509517561397</c:v>
                </c:pt>
                <c:pt idx="29" formatCode="0">
                  <c:v>12377.71012680039</c:v>
                </c:pt>
              </c:numCache>
            </c:numRef>
          </c:val>
          <c:extLst>
            <c:ext xmlns:c16="http://schemas.microsoft.com/office/drawing/2014/chart" uri="{C3380CC4-5D6E-409C-BE32-E72D297353CC}">
              <c16:uniqueId val="{00000003-20E1-446A-95FE-142FBAD6C0A1}"/>
            </c:ext>
          </c:extLst>
        </c:ser>
        <c:ser>
          <c:idx val="4"/>
          <c:order val="4"/>
          <c:tx>
            <c:strRef>
              <c:f>HFC!$B$11</c:f>
              <c:strCache>
                <c:ptCount val="1"/>
                <c:pt idx="0">
                  <c:v>Agriculture</c:v>
                </c:pt>
              </c:strCache>
            </c:strRef>
          </c:tx>
          <c:spPr>
            <a:solidFill>
              <a:srgbClr val="92D05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HFC!$C$11:$AF$11</c:f>
              <c:numCache>
                <c:formatCode>0.0</c:formatCode>
                <c:ptCount val="30"/>
                <c:pt idx="0">
                  <c:v>0</c:v>
                </c:pt>
                <c:pt idx="1">
                  <c:v>0</c:v>
                </c:pt>
                <c:pt idx="2">
                  <c:v>0</c:v>
                </c:pt>
                <c:pt idx="3">
                  <c:v>0</c:v>
                </c:pt>
                <c:pt idx="4">
                  <c:v>0</c:v>
                </c:pt>
                <c:pt idx="5">
                  <c:v>0</c:v>
                </c:pt>
                <c:pt idx="6">
                  <c:v>0</c:v>
                </c:pt>
                <c:pt idx="7">
                  <c:v>0</c:v>
                </c:pt>
                <c:pt idx="8">
                  <c:v>1.0748480935113087</c:v>
                </c:pt>
                <c:pt idx="9">
                  <c:v>6.3499768104231968</c:v>
                </c:pt>
                <c:pt idx="10">
                  <c:v>10.164559056161483</c:v>
                </c:pt>
                <c:pt idx="11">
                  <c:v>15.457186066537851</c:v>
                </c:pt>
                <c:pt idx="12">
                  <c:v>19.925124840735691</c:v>
                </c:pt>
                <c:pt idx="13">
                  <c:v>26.604795063517912</c:v>
                </c:pt>
                <c:pt idx="14">
                  <c:v>35.202777693599309</c:v>
                </c:pt>
                <c:pt idx="15">
                  <c:v>46.891985351812643</c:v>
                </c:pt>
                <c:pt idx="16">
                  <c:v>55.039587290701689</c:v>
                </c:pt>
                <c:pt idx="17">
                  <c:v>62.381037522690526</c:v>
                </c:pt>
                <c:pt idx="18">
                  <c:v>58.501959282735683</c:v>
                </c:pt>
                <c:pt idx="19">
                  <c:v>66.289056286809185</c:v>
                </c:pt>
                <c:pt idx="20">
                  <c:v>66.632013797855166</c:v>
                </c:pt>
                <c:pt idx="21">
                  <c:v>61.348063911507936</c:v>
                </c:pt>
                <c:pt idx="22">
                  <c:v>61.744377249636152</c:v>
                </c:pt>
                <c:pt idx="23">
                  <c:v>62.442780540201269</c:v>
                </c:pt>
                <c:pt idx="24">
                  <c:v>60.600403497232548</c:v>
                </c:pt>
                <c:pt idx="25">
                  <c:v>56.22347358466638</c:v>
                </c:pt>
                <c:pt idx="26">
                  <c:v>55.026544235673207</c:v>
                </c:pt>
                <c:pt idx="27">
                  <c:v>60.108876781592031</c:v>
                </c:pt>
                <c:pt idx="28">
                  <c:v>60.108876781592031</c:v>
                </c:pt>
                <c:pt idx="29">
                  <c:v>60.108876781592031</c:v>
                </c:pt>
              </c:numCache>
            </c:numRef>
          </c:val>
          <c:extLst>
            <c:ext xmlns:c16="http://schemas.microsoft.com/office/drawing/2014/chart" uri="{C3380CC4-5D6E-409C-BE32-E72D297353CC}">
              <c16:uniqueId val="{00000004-20E1-446A-95FE-142FBAD6C0A1}"/>
            </c:ext>
          </c:extLst>
        </c:ser>
        <c:ser>
          <c:idx val="5"/>
          <c:order val="5"/>
          <c:tx>
            <c:strRef>
              <c:f>HFC!$B$12</c:f>
              <c:strCache>
                <c:ptCount val="1"/>
                <c:pt idx="0">
                  <c:v>Transports</c:v>
                </c:pt>
              </c:strCache>
            </c:strRef>
          </c:tx>
          <c:spPr>
            <a:solidFill>
              <a:srgbClr val="7030A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HFC!$C$12:$AF$12</c:f>
              <c:numCache>
                <c:formatCode>0.0</c:formatCode>
                <c:ptCount val="30"/>
                <c:pt idx="0">
                  <c:v>0</c:v>
                </c:pt>
                <c:pt idx="1">
                  <c:v>0</c:v>
                </c:pt>
                <c:pt idx="2">
                  <c:v>0</c:v>
                </c:pt>
                <c:pt idx="3">
                  <c:v>0</c:v>
                </c:pt>
                <c:pt idx="4">
                  <c:v>6.5935348417715867</c:v>
                </c:pt>
                <c:pt idx="5">
                  <c:v>43.460592816469067</c:v>
                </c:pt>
                <c:pt idx="6">
                  <c:v>98.150507061852494</c:v>
                </c:pt>
                <c:pt idx="7">
                  <c:v>155.75739760432344</c:v>
                </c:pt>
                <c:pt idx="8">
                  <c:v>410.29431773276184</c:v>
                </c:pt>
                <c:pt idx="9">
                  <c:v>904.36282287115216</c:v>
                </c:pt>
                <c:pt idx="10">
                  <c:v>1791.9854098186104</c:v>
                </c:pt>
                <c:pt idx="11">
                  <c:v>2913.3585570658597</c:v>
                </c:pt>
                <c:pt idx="12">
                  <c:v>4203.2844390785676</c:v>
                </c:pt>
                <c:pt idx="13">
                  <c:v>6113.7886203298813</c:v>
                </c:pt>
                <c:pt idx="14">
                  <c:v>7648.9298155855595</c:v>
                </c:pt>
                <c:pt idx="15">
                  <c:v>9712.1525086220063</c:v>
                </c:pt>
                <c:pt idx="16">
                  <c:v>10220.781760215086</c:v>
                </c:pt>
                <c:pt idx="17">
                  <c:v>13348.627402170236</c:v>
                </c:pt>
                <c:pt idx="18">
                  <c:v>13375.902197372947</c:v>
                </c:pt>
                <c:pt idx="19">
                  <c:v>11207.853627798126</c:v>
                </c:pt>
                <c:pt idx="20">
                  <c:v>11083.285578331082</c:v>
                </c:pt>
                <c:pt idx="21">
                  <c:v>11267.940278261256</c:v>
                </c:pt>
                <c:pt idx="22">
                  <c:v>10602.677868697307</c:v>
                </c:pt>
                <c:pt idx="23">
                  <c:v>10495.861105432121</c:v>
                </c:pt>
                <c:pt idx="24">
                  <c:v>10451.621947634176</c:v>
                </c:pt>
                <c:pt idx="25">
                  <c:v>10540.242558472793</c:v>
                </c:pt>
                <c:pt idx="26">
                  <c:v>11195.395525804173</c:v>
                </c:pt>
                <c:pt idx="27">
                  <c:v>11916.151813347786</c:v>
                </c:pt>
                <c:pt idx="28">
                  <c:v>11854.409752122472</c:v>
                </c:pt>
                <c:pt idx="29">
                  <c:v>11850.30437950827</c:v>
                </c:pt>
              </c:numCache>
            </c:numRef>
          </c:val>
          <c:extLst>
            <c:ext xmlns:c16="http://schemas.microsoft.com/office/drawing/2014/chart" uri="{C3380CC4-5D6E-409C-BE32-E72D297353CC}">
              <c16:uniqueId val="{00000005-20E1-446A-95FE-142FBAD6C0A1}"/>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 équivalent CO</a:t>
                </a:r>
                <a:r>
                  <a:rPr lang="fr-FR" sz="800" baseline="-25000">
                    <a:latin typeface="Trebuchet MS" panose="020B0603020202020204" pitchFamily="34" charset="0"/>
                  </a:rPr>
                  <a:t>2</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1994</a:t>
            </a:r>
          </a:p>
        </c:rich>
      </c:tx>
      <c:layout>
        <c:manualLayout>
          <c:xMode val="edge"/>
          <c:yMode val="edge"/>
          <c:x val="0.38996223963336468"/>
          <c:y val="0.48298454961171083"/>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HFC!$G$6</c:f>
              <c:strCache>
                <c:ptCount val="1"/>
                <c:pt idx="0">
                  <c:v>1994</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7F4D-4106-835F-EADEAAE61ADF}"/>
              </c:ext>
            </c:extLst>
          </c:dPt>
          <c:dPt>
            <c:idx val="1"/>
            <c:bubble3D val="0"/>
            <c:spPr>
              <a:solidFill>
                <a:srgbClr val="0070C0"/>
              </a:solidFill>
              <a:ln>
                <a:solidFill>
                  <a:schemeClr val="bg1"/>
                </a:solidFill>
              </a:ln>
            </c:spPr>
            <c:extLst>
              <c:ext xmlns:c16="http://schemas.microsoft.com/office/drawing/2014/chart" uri="{C3380CC4-5D6E-409C-BE32-E72D297353CC}">
                <c16:uniqueId val="{00000003-7F4D-4106-835F-EADEAAE61ADF}"/>
              </c:ext>
            </c:extLst>
          </c:dPt>
          <c:dPt>
            <c:idx val="2"/>
            <c:bubble3D val="0"/>
            <c:spPr>
              <a:solidFill>
                <a:srgbClr val="B3A2C7"/>
              </a:solidFill>
              <a:ln>
                <a:solidFill>
                  <a:schemeClr val="bg1"/>
                </a:solidFill>
              </a:ln>
            </c:spPr>
            <c:extLst>
              <c:ext xmlns:c16="http://schemas.microsoft.com/office/drawing/2014/chart" uri="{C3380CC4-5D6E-409C-BE32-E72D297353CC}">
                <c16:uniqueId val="{00000005-7F4D-4106-835F-EADEAAE61ADF}"/>
              </c:ext>
            </c:extLst>
          </c:dPt>
          <c:dPt>
            <c:idx val="3"/>
            <c:bubble3D val="0"/>
            <c:spPr>
              <a:solidFill>
                <a:srgbClr val="E0E5B3"/>
              </a:solidFill>
              <a:ln>
                <a:solidFill>
                  <a:schemeClr val="bg1"/>
                </a:solidFill>
              </a:ln>
            </c:spPr>
            <c:extLst>
              <c:ext xmlns:c16="http://schemas.microsoft.com/office/drawing/2014/chart" uri="{C3380CC4-5D6E-409C-BE32-E72D297353CC}">
                <c16:uniqueId val="{00000007-7F4D-4106-835F-EADEAAE61ADF}"/>
              </c:ext>
            </c:extLst>
          </c:dPt>
          <c:dPt>
            <c:idx val="4"/>
            <c:bubble3D val="0"/>
            <c:spPr>
              <a:solidFill>
                <a:srgbClr val="92D050"/>
              </a:solidFill>
              <a:ln>
                <a:solidFill>
                  <a:schemeClr val="bg1"/>
                </a:solidFill>
              </a:ln>
            </c:spPr>
            <c:extLst>
              <c:ext xmlns:c16="http://schemas.microsoft.com/office/drawing/2014/chart" uri="{C3380CC4-5D6E-409C-BE32-E72D297353CC}">
                <c16:uniqueId val="{00000009-7F4D-4106-835F-EADEAAE61ADF}"/>
              </c:ext>
            </c:extLst>
          </c:dPt>
          <c:dPt>
            <c:idx val="5"/>
            <c:bubble3D val="0"/>
            <c:spPr>
              <a:solidFill>
                <a:srgbClr val="7030A0"/>
              </a:solidFill>
              <a:ln>
                <a:solidFill>
                  <a:schemeClr val="bg1"/>
                </a:solidFill>
              </a:ln>
            </c:spPr>
            <c:extLst>
              <c:ext xmlns:c16="http://schemas.microsoft.com/office/drawing/2014/chart" uri="{C3380CC4-5D6E-409C-BE32-E72D297353CC}">
                <c16:uniqueId val="{0000000B-7F4D-4106-835F-EADEAAE61ADF}"/>
              </c:ext>
            </c:extLst>
          </c:dPt>
          <c:dPt>
            <c:idx val="6"/>
            <c:bubble3D val="0"/>
            <c:spPr>
              <a:solidFill>
                <a:srgbClr val="00B050"/>
              </a:solidFill>
              <a:ln>
                <a:solidFill>
                  <a:schemeClr val="bg1"/>
                </a:solidFill>
              </a:ln>
            </c:spPr>
            <c:extLst>
              <c:ext xmlns:c16="http://schemas.microsoft.com/office/drawing/2014/chart" uri="{C3380CC4-5D6E-409C-BE32-E72D297353CC}">
                <c16:uniqueId val="{0000000D-7F4D-4106-835F-EADEAAE61ADF}"/>
              </c:ext>
            </c:extLst>
          </c:dPt>
          <c:dLbls>
            <c:dLbl>
              <c:idx val="0"/>
              <c:delete val="1"/>
              <c:extLst>
                <c:ext xmlns:c15="http://schemas.microsoft.com/office/drawing/2012/chart" uri="{CE6537A1-D6FC-4f65-9D91-7224C49458BB}"/>
                <c:ext xmlns:c16="http://schemas.microsoft.com/office/drawing/2014/chart" uri="{C3380CC4-5D6E-409C-BE32-E72D297353CC}">
                  <c16:uniqueId val="{00000001-7F4D-4106-835F-EADEAAE61ADF}"/>
                </c:ext>
              </c:extLst>
            </c:dLbl>
            <c:dLbl>
              <c:idx val="1"/>
              <c:spPr>
                <a:noFill/>
                <a:ln w="25400">
                  <a:noFill/>
                </a:ln>
              </c:spPr>
              <c:txPr>
                <a:bodyPr wrap="square" lIns="38100" tIns="19050" rIns="38100" bIns="19050" anchor="ctr">
                  <a:spAutoFit/>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6="http://schemas.microsoft.com/office/drawing/2014/chart" uri="{C3380CC4-5D6E-409C-BE32-E72D297353CC}">
                  <c16:uniqueId val="{00000003-7F4D-4106-835F-EADEAAE61ADF}"/>
                </c:ext>
              </c:extLst>
            </c:dLbl>
            <c:dLbl>
              <c:idx val="2"/>
              <c:delete val="1"/>
              <c:extLst>
                <c:ext xmlns:c15="http://schemas.microsoft.com/office/drawing/2012/chart" uri="{CE6537A1-D6FC-4f65-9D91-7224C49458BB}"/>
                <c:ext xmlns:c16="http://schemas.microsoft.com/office/drawing/2014/chart" uri="{C3380CC4-5D6E-409C-BE32-E72D297353CC}">
                  <c16:uniqueId val="{00000005-7F4D-4106-835F-EADEAAE61ADF}"/>
                </c:ext>
              </c:extLst>
            </c:dLbl>
            <c:dLbl>
              <c:idx val="3"/>
              <c:layout>
                <c:manualLayout>
                  <c:x val="1.2185917182589189E-3"/>
                  <c:y val="2.96186506098502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F4D-4106-835F-EADEAAE61ADF}"/>
                </c:ext>
              </c:extLst>
            </c:dLbl>
            <c:dLbl>
              <c:idx val="4"/>
              <c:delete val="1"/>
              <c:extLst>
                <c:ext xmlns:c15="http://schemas.microsoft.com/office/drawing/2012/chart" uri="{CE6537A1-D6FC-4f65-9D91-7224C49458BB}"/>
                <c:ext xmlns:c16="http://schemas.microsoft.com/office/drawing/2014/chart" uri="{C3380CC4-5D6E-409C-BE32-E72D297353CC}">
                  <c16:uniqueId val="{00000009-7F4D-4106-835F-EADEAAE61ADF}"/>
                </c:ext>
              </c:extLst>
            </c:dLbl>
            <c:dLbl>
              <c:idx val="5"/>
              <c:layout>
                <c:manualLayout>
                  <c:x val="-1.7265208648439691E-2"/>
                  <c:y val="9.6887193224558271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F4D-4106-835F-EADEAAE61ADF}"/>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HFC!$B$7:$B$11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HFC!$G$7:$G$12</c:f>
              <c:numCache>
                <c:formatCode>0.0</c:formatCode>
                <c:ptCount val="6"/>
                <c:pt idx="0">
                  <c:v>0</c:v>
                </c:pt>
                <c:pt idx="1">
                  <c:v>115.76715499311763</c:v>
                </c:pt>
                <c:pt idx="2">
                  <c:v>0</c:v>
                </c:pt>
                <c:pt idx="3" formatCode="0">
                  <c:v>450.26163542099749</c:v>
                </c:pt>
                <c:pt idx="4">
                  <c:v>0</c:v>
                </c:pt>
                <c:pt idx="5">
                  <c:v>6.5935348417715867</c:v>
                </c:pt>
              </c:numCache>
            </c:numRef>
          </c:val>
          <c:extLst>
            <c:ext xmlns:c16="http://schemas.microsoft.com/office/drawing/2014/chart" uri="{C3380CC4-5D6E-409C-BE32-E72D297353CC}">
              <c16:uniqueId val="{0000000E-7F4D-4106-835F-EADEAAE61ADF}"/>
            </c:ext>
          </c:extLst>
        </c:ser>
        <c:ser>
          <c:idx val="1"/>
          <c:order val="1"/>
          <c:tx>
            <c:strRef>
              <c:f>HFC!$AF$6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7F4D-4106-835F-EADEAAE61ADF}"/>
              </c:ext>
            </c:extLst>
          </c:dPt>
          <c:dPt>
            <c:idx val="1"/>
            <c:bubble3D val="0"/>
            <c:spPr>
              <a:solidFill>
                <a:srgbClr val="0070C0"/>
              </a:solidFill>
              <a:ln>
                <a:solidFill>
                  <a:schemeClr val="bg1"/>
                </a:solidFill>
              </a:ln>
            </c:spPr>
            <c:extLst>
              <c:ext xmlns:c16="http://schemas.microsoft.com/office/drawing/2014/chart" uri="{C3380CC4-5D6E-409C-BE32-E72D297353CC}">
                <c16:uniqueId val="{00000012-7F4D-4106-835F-EADEAAE61ADF}"/>
              </c:ext>
            </c:extLst>
          </c:dPt>
          <c:dPt>
            <c:idx val="2"/>
            <c:bubble3D val="0"/>
            <c:spPr>
              <a:solidFill>
                <a:srgbClr val="B3A2C7"/>
              </a:solidFill>
              <a:ln>
                <a:solidFill>
                  <a:schemeClr val="bg1"/>
                </a:solidFill>
              </a:ln>
            </c:spPr>
            <c:extLst>
              <c:ext xmlns:c16="http://schemas.microsoft.com/office/drawing/2014/chart" uri="{C3380CC4-5D6E-409C-BE32-E72D297353CC}">
                <c16:uniqueId val="{00000014-7F4D-4106-835F-EADEAAE61ADF}"/>
              </c:ext>
            </c:extLst>
          </c:dPt>
          <c:dPt>
            <c:idx val="3"/>
            <c:bubble3D val="0"/>
            <c:spPr>
              <a:solidFill>
                <a:srgbClr val="E0E5B3"/>
              </a:solidFill>
              <a:ln>
                <a:solidFill>
                  <a:schemeClr val="bg1"/>
                </a:solidFill>
              </a:ln>
            </c:spPr>
            <c:extLst>
              <c:ext xmlns:c16="http://schemas.microsoft.com/office/drawing/2014/chart" uri="{C3380CC4-5D6E-409C-BE32-E72D297353CC}">
                <c16:uniqueId val="{00000016-7F4D-4106-835F-EADEAAE61ADF}"/>
              </c:ext>
            </c:extLst>
          </c:dPt>
          <c:dPt>
            <c:idx val="4"/>
            <c:bubble3D val="0"/>
            <c:spPr>
              <a:solidFill>
                <a:srgbClr val="92D050"/>
              </a:solidFill>
              <a:ln>
                <a:solidFill>
                  <a:schemeClr val="bg1"/>
                </a:solidFill>
              </a:ln>
            </c:spPr>
            <c:extLst>
              <c:ext xmlns:c16="http://schemas.microsoft.com/office/drawing/2014/chart" uri="{C3380CC4-5D6E-409C-BE32-E72D297353CC}">
                <c16:uniqueId val="{00000018-7F4D-4106-835F-EADEAAE61ADF}"/>
              </c:ext>
            </c:extLst>
          </c:dPt>
          <c:dPt>
            <c:idx val="5"/>
            <c:bubble3D val="0"/>
            <c:spPr>
              <a:solidFill>
                <a:srgbClr val="7030A0"/>
              </a:solidFill>
              <a:ln>
                <a:solidFill>
                  <a:schemeClr val="bg1"/>
                </a:solidFill>
              </a:ln>
            </c:spPr>
            <c:extLst>
              <c:ext xmlns:c16="http://schemas.microsoft.com/office/drawing/2014/chart" uri="{C3380CC4-5D6E-409C-BE32-E72D297353CC}">
                <c16:uniqueId val="{0000001A-7F4D-4106-835F-EADEAAE61ADF}"/>
              </c:ext>
            </c:extLst>
          </c:dPt>
          <c:dPt>
            <c:idx val="6"/>
            <c:bubble3D val="0"/>
            <c:spPr>
              <a:solidFill>
                <a:srgbClr val="00B050"/>
              </a:solidFill>
              <a:ln>
                <a:solidFill>
                  <a:schemeClr val="bg1"/>
                </a:solidFill>
              </a:ln>
            </c:spPr>
            <c:extLst>
              <c:ext xmlns:c16="http://schemas.microsoft.com/office/drawing/2014/chart" uri="{C3380CC4-5D6E-409C-BE32-E72D297353CC}">
                <c16:uniqueId val="{0000001C-7F4D-4106-835F-EADEAAE61ADF}"/>
              </c:ext>
            </c:extLst>
          </c:dPt>
          <c:dLbls>
            <c:dLbl>
              <c:idx val="0"/>
              <c:delete val="1"/>
              <c:extLst>
                <c:ext xmlns:c15="http://schemas.microsoft.com/office/drawing/2012/chart" uri="{CE6537A1-D6FC-4f65-9D91-7224C49458BB}"/>
                <c:ext xmlns:c16="http://schemas.microsoft.com/office/drawing/2014/chart" uri="{C3380CC4-5D6E-409C-BE32-E72D297353CC}">
                  <c16:uniqueId val="{00000010-7F4D-4106-835F-EADEAAE61ADF}"/>
                </c:ext>
              </c:extLst>
            </c:dLbl>
            <c:dLbl>
              <c:idx val="1"/>
              <c:layout>
                <c:manualLayout>
                  <c:x val="-7.0796499642673434E-3"/>
                  <c:y val="-7.8431372549019607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7F4D-4106-835F-EADEAAE61ADF}"/>
                </c:ext>
              </c:extLst>
            </c:dLbl>
            <c:dLbl>
              <c:idx val="2"/>
              <c:delete val="1"/>
              <c:extLst>
                <c:ext xmlns:c15="http://schemas.microsoft.com/office/drawing/2012/chart" uri="{CE6537A1-D6FC-4f65-9D91-7224C49458BB}"/>
                <c:ext xmlns:c16="http://schemas.microsoft.com/office/drawing/2014/chart" uri="{C3380CC4-5D6E-409C-BE32-E72D297353CC}">
                  <c16:uniqueId val="{00000014-7F4D-4106-835F-EADEAAE61ADF}"/>
                </c:ext>
              </c:extLst>
            </c:dLbl>
            <c:dLbl>
              <c:idx val="3"/>
              <c:layout>
                <c:manualLayout>
                  <c:x val="-3.6953543002462988E-3"/>
                  <c:y val="1.69862590705573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7F4D-4106-835F-EADEAAE61ADF}"/>
                </c:ext>
              </c:extLst>
            </c:dLbl>
            <c:dLbl>
              <c:idx val="4"/>
              <c:delete val="1"/>
              <c:extLst>
                <c:ext xmlns:c15="http://schemas.microsoft.com/office/drawing/2012/chart" uri="{CE6537A1-D6FC-4f65-9D91-7224C49458BB}"/>
                <c:ext xmlns:c16="http://schemas.microsoft.com/office/drawing/2014/chart" uri="{C3380CC4-5D6E-409C-BE32-E72D297353CC}">
                  <c16:uniqueId val="{00000018-7F4D-4106-835F-EADEAAE61ADF}"/>
                </c:ext>
              </c:extLst>
            </c:dLbl>
            <c:dLbl>
              <c:idx val="5"/>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A-7F4D-4106-835F-EADEAAE61ADF}"/>
                </c:ext>
              </c:extLst>
            </c:dLbl>
            <c:dLbl>
              <c:idx val="6"/>
              <c:delete val="1"/>
              <c:extLst>
                <c:ext xmlns:c15="http://schemas.microsoft.com/office/drawing/2012/chart" uri="{CE6537A1-D6FC-4f65-9D91-7224C49458BB}"/>
                <c:ext xmlns:c16="http://schemas.microsoft.com/office/drawing/2014/chart" uri="{C3380CC4-5D6E-409C-BE32-E72D297353CC}">
                  <c16:uniqueId val="{0000001C-7F4D-4106-835F-EADEAAE61ADF}"/>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HFC!$B$7:$B$11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HFC!$AF$7:$AF$12</c:f>
              <c:numCache>
                <c:formatCode>0.0</c:formatCode>
                <c:ptCount val="6"/>
                <c:pt idx="0">
                  <c:v>13.591589401888243</c:v>
                </c:pt>
                <c:pt idx="1">
                  <c:v>1210.3534901879896</c:v>
                </c:pt>
                <c:pt idx="2">
                  <c:v>0</c:v>
                </c:pt>
                <c:pt idx="3" formatCode="0">
                  <c:v>12377.71012680039</c:v>
                </c:pt>
                <c:pt idx="4">
                  <c:v>60.108876781592031</c:v>
                </c:pt>
                <c:pt idx="5">
                  <c:v>11850.30437950827</c:v>
                </c:pt>
              </c:numCache>
            </c:numRef>
          </c:val>
          <c:extLst>
            <c:ext xmlns:c16="http://schemas.microsoft.com/office/drawing/2014/chart" uri="{C3380CC4-5D6E-409C-BE32-E72D297353CC}">
              <c16:uniqueId val="{0000001D-7F4D-4106-835F-EADEAAE61ADF}"/>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05997558344589E-2"/>
          <c:y val="6.7130443646000557E-2"/>
          <c:w val="0.92091956101877748"/>
          <c:h val="0.76366740565196345"/>
        </c:manualLayout>
      </c:layout>
      <c:areaChart>
        <c:grouping val="stacked"/>
        <c:varyColors val="0"/>
        <c:ser>
          <c:idx val="0"/>
          <c:order val="0"/>
          <c:tx>
            <c:strRef>
              <c:f>'CO2'!$B$7</c:f>
              <c:strCache>
                <c:ptCount val="1"/>
                <c:pt idx="0">
                  <c:v>Industrie de l'énergie</c:v>
                </c:pt>
              </c:strCache>
            </c:strRef>
          </c:tx>
          <c:spPr>
            <a:solidFill>
              <a:schemeClr val="tx2">
                <a:lumMod val="20000"/>
                <a:lumOff val="80000"/>
              </a:schemeClr>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'CO2'!$C$7:$AF$7</c:f>
              <c:numCache>
                <c:formatCode>#,##0</c:formatCode>
                <c:ptCount val="30"/>
                <c:pt idx="0">
                  <c:v>160.74702619783605</c:v>
                </c:pt>
                <c:pt idx="1">
                  <c:v>163.89567048461905</c:v>
                </c:pt>
                <c:pt idx="2">
                  <c:v>183.17077596552525</c:v>
                </c:pt>
                <c:pt idx="3">
                  <c:v>194.13113364872441</c:v>
                </c:pt>
                <c:pt idx="4">
                  <c:v>203.84074315804583</c:v>
                </c:pt>
                <c:pt idx="5">
                  <c:v>194.61833447872885</c:v>
                </c:pt>
                <c:pt idx="6">
                  <c:v>190.6359390286845</c:v>
                </c:pt>
                <c:pt idx="7">
                  <c:v>181.89518515002283</c:v>
                </c:pt>
                <c:pt idx="8">
                  <c:v>194.49647635929708</c:v>
                </c:pt>
                <c:pt idx="9">
                  <c:v>255.11550558240771</c:v>
                </c:pt>
                <c:pt idx="10">
                  <c:v>282.04256582087623</c:v>
                </c:pt>
                <c:pt idx="11">
                  <c:v>311.85196378470607</c:v>
                </c:pt>
                <c:pt idx="12">
                  <c:v>364.2835532899536</c:v>
                </c:pt>
                <c:pt idx="13">
                  <c:v>370.56770486463193</c:v>
                </c:pt>
                <c:pt idx="14">
                  <c:v>363.5080710526189</c:v>
                </c:pt>
                <c:pt idx="15">
                  <c:v>378.17591715489726</c:v>
                </c:pt>
                <c:pt idx="16">
                  <c:v>382.27521882948417</c:v>
                </c:pt>
                <c:pt idx="17">
                  <c:v>396.36184501865898</c:v>
                </c:pt>
                <c:pt idx="18">
                  <c:v>402.85994465366161</c:v>
                </c:pt>
                <c:pt idx="19">
                  <c:v>420.21643837026932</c:v>
                </c:pt>
                <c:pt idx="20">
                  <c:v>367.17820319585104</c:v>
                </c:pt>
                <c:pt idx="21">
                  <c:v>361.76843951451553</c:v>
                </c:pt>
                <c:pt idx="22">
                  <c:v>366.00519193032471</c:v>
                </c:pt>
                <c:pt idx="23">
                  <c:v>367.11833840659824</c:v>
                </c:pt>
                <c:pt idx="24">
                  <c:v>342.75226750325857</c:v>
                </c:pt>
                <c:pt idx="25">
                  <c:v>353.99284928869986</c:v>
                </c:pt>
                <c:pt idx="26">
                  <c:v>343.15896936640462</c:v>
                </c:pt>
                <c:pt idx="27">
                  <c:v>349.67105099616333</c:v>
                </c:pt>
                <c:pt idx="28">
                  <c:v>350.28737756694528</c:v>
                </c:pt>
                <c:pt idx="29">
                  <c:v>352.44825728473165</c:v>
                </c:pt>
              </c:numCache>
            </c:numRef>
          </c:val>
          <c:extLst>
            <c:ext xmlns:c16="http://schemas.microsoft.com/office/drawing/2014/chart" uri="{C3380CC4-5D6E-409C-BE32-E72D297353CC}">
              <c16:uniqueId val="{00000000-823A-4A45-9786-4DBA137EB6C7}"/>
            </c:ext>
          </c:extLst>
        </c:ser>
        <c:ser>
          <c:idx val="1"/>
          <c:order val="1"/>
          <c:tx>
            <c:strRef>
              <c:f>'CO2'!$B$8</c:f>
              <c:strCache>
                <c:ptCount val="1"/>
                <c:pt idx="0">
                  <c:v>Industrie manufacturière et construction</c:v>
                </c:pt>
              </c:strCache>
            </c:strRef>
          </c:tx>
          <c:spPr>
            <a:solidFill>
              <a:srgbClr val="0070C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'CO2'!$C$8:$AF$8</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823A-4A45-9786-4DBA137EB6C7}"/>
            </c:ext>
          </c:extLst>
        </c:ser>
        <c:ser>
          <c:idx val="2"/>
          <c:order val="2"/>
          <c:tx>
            <c:strRef>
              <c:f>'CO2'!$B$9</c:f>
              <c:strCache>
                <c:ptCount val="1"/>
                <c:pt idx="0">
                  <c:v>Traitement centralisé des déchets</c:v>
                </c:pt>
              </c:strCache>
            </c:strRef>
          </c:tx>
          <c:spPr>
            <a:solidFill>
              <a:schemeClr val="accent4">
                <a:lumMod val="60000"/>
                <a:lumOff val="40000"/>
              </a:schemeClr>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'CO2'!$C$9:$AF$9</c:f>
              <c:numCache>
                <c:formatCode>0.0</c:formatCode>
                <c:ptCount val="30"/>
                <c:pt idx="0">
                  <c:v>0</c:v>
                </c:pt>
                <c:pt idx="1">
                  <c:v>2.1691898621044245</c:v>
                </c:pt>
                <c:pt idx="2">
                  <c:v>5.6398936414715033</c:v>
                </c:pt>
                <c:pt idx="3">
                  <c:v>10.845949310522123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823A-4A45-9786-4DBA137EB6C7}"/>
            </c:ext>
          </c:extLst>
        </c:ser>
        <c:ser>
          <c:idx val="3"/>
          <c:order val="3"/>
          <c:tx>
            <c:strRef>
              <c:f>'CO2'!$B$10</c:f>
              <c:strCache>
                <c:ptCount val="1"/>
                <c:pt idx="0">
                  <c:v>Usage des bâtiments et activités résidentiels/tertiaires</c:v>
                </c:pt>
              </c:strCache>
            </c:strRef>
          </c:tx>
          <c:spPr>
            <a:solidFill>
              <a:srgbClr val="E0E5B3"/>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'CO2'!$C$10:$AF$10</c:f>
              <c:numCache>
                <c:formatCode>0.0</c:formatCode>
                <c:ptCount val="30"/>
                <c:pt idx="0">
                  <c:v>28.3854843483156</c:v>
                </c:pt>
                <c:pt idx="1">
                  <c:v>28.016594954712463</c:v>
                </c:pt>
                <c:pt idx="2">
                  <c:v>27.922904335880286</c:v>
                </c:pt>
                <c:pt idx="3">
                  <c:v>26.963254301348716</c:v>
                </c:pt>
                <c:pt idx="4">
                  <c:v>30.248633008592169</c:v>
                </c:pt>
                <c:pt idx="5">
                  <c:v>60.282847842916993</c:v>
                </c:pt>
                <c:pt idx="6">
                  <c:v>21.266559883355683</c:v>
                </c:pt>
                <c:pt idx="7">
                  <c:v>19.949978459435485</c:v>
                </c:pt>
                <c:pt idx="8">
                  <c:v>20.418669346195433</c:v>
                </c:pt>
                <c:pt idx="9">
                  <c:v>22.421874095526512</c:v>
                </c:pt>
                <c:pt idx="10">
                  <c:v>22.801176042695879</c:v>
                </c:pt>
                <c:pt idx="11">
                  <c:v>22.973620911354654</c:v>
                </c:pt>
                <c:pt idx="12">
                  <c:v>21.221229844387171</c:v>
                </c:pt>
                <c:pt idx="13">
                  <c:v>23.422902176730698</c:v>
                </c:pt>
                <c:pt idx="14">
                  <c:v>25.026655410226812</c:v>
                </c:pt>
                <c:pt idx="15">
                  <c:v>24.885922411885794</c:v>
                </c:pt>
                <c:pt idx="16">
                  <c:v>24.883642911131819</c:v>
                </c:pt>
                <c:pt idx="17">
                  <c:v>25.279791042486654</c:v>
                </c:pt>
                <c:pt idx="18">
                  <c:v>26.310144555562903</c:v>
                </c:pt>
                <c:pt idx="19">
                  <c:v>24.581763808522823</c:v>
                </c:pt>
                <c:pt idx="20">
                  <c:v>27.386518500595919</c:v>
                </c:pt>
                <c:pt idx="21">
                  <c:v>31.4711036136252</c:v>
                </c:pt>
                <c:pt idx="22">
                  <c:v>29.812029923200523</c:v>
                </c:pt>
                <c:pt idx="23">
                  <c:v>33.113883684557152</c:v>
                </c:pt>
                <c:pt idx="24">
                  <c:v>29.073912065819364</c:v>
                </c:pt>
                <c:pt idx="25">
                  <c:v>28.603015047116852</c:v>
                </c:pt>
                <c:pt idx="26">
                  <c:v>23.238947290964848</c:v>
                </c:pt>
                <c:pt idx="27">
                  <c:v>23.966827198956878</c:v>
                </c:pt>
                <c:pt idx="28">
                  <c:v>28.421669575291137</c:v>
                </c:pt>
                <c:pt idx="29">
                  <c:v>25.30735523766031</c:v>
                </c:pt>
              </c:numCache>
            </c:numRef>
          </c:val>
          <c:extLst>
            <c:ext xmlns:c16="http://schemas.microsoft.com/office/drawing/2014/chart" uri="{C3380CC4-5D6E-409C-BE32-E72D297353CC}">
              <c16:uniqueId val="{00000003-823A-4A45-9786-4DBA137EB6C7}"/>
            </c:ext>
          </c:extLst>
        </c:ser>
        <c:ser>
          <c:idx val="4"/>
          <c:order val="4"/>
          <c:tx>
            <c:strRef>
              <c:f>'CO2'!$B$11</c:f>
              <c:strCache>
                <c:ptCount val="1"/>
                <c:pt idx="0">
                  <c:v>Agriculture</c:v>
                </c:pt>
              </c:strCache>
            </c:strRef>
          </c:tx>
          <c:spPr>
            <a:solidFill>
              <a:srgbClr val="92D05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'CO2'!$C$11:$AF$11</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823A-4A45-9786-4DBA137EB6C7}"/>
            </c:ext>
          </c:extLst>
        </c:ser>
        <c:ser>
          <c:idx val="5"/>
          <c:order val="5"/>
          <c:tx>
            <c:strRef>
              <c:f>'CO2'!$B$12</c:f>
              <c:strCache>
                <c:ptCount val="1"/>
                <c:pt idx="0">
                  <c:v>Transports</c:v>
                </c:pt>
              </c:strCache>
            </c:strRef>
          </c:tx>
          <c:spPr>
            <a:solidFill>
              <a:srgbClr val="7030A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'CO2'!$C$12:$AF$12</c:f>
              <c:numCache>
                <c:formatCode>#,##0</c:formatCode>
                <c:ptCount val="30"/>
                <c:pt idx="0">
                  <c:v>517.90840932506808</c:v>
                </c:pt>
                <c:pt idx="1">
                  <c:v>469.55631265257341</c:v>
                </c:pt>
                <c:pt idx="2">
                  <c:v>477.22285345393004</c:v>
                </c:pt>
                <c:pt idx="3">
                  <c:v>467.90804211021913</c:v>
                </c:pt>
                <c:pt idx="4">
                  <c:v>493.20431074926273</c:v>
                </c:pt>
                <c:pt idx="5">
                  <c:v>484.87622632732314</c:v>
                </c:pt>
                <c:pt idx="6">
                  <c:v>486.5198764549375</c:v>
                </c:pt>
                <c:pt idx="7">
                  <c:v>512.29552490050253</c:v>
                </c:pt>
                <c:pt idx="8">
                  <c:v>521.73547051950516</c:v>
                </c:pt>
                <c:pt idx="9">
                  <c:v>543.59576325940372</c:v>
                </c:pt>
                <c:pt idx="10">
                  <c:v>548.61563633200035</c:v>
                </c:pt>
                <c:pt idx="11">
                  <c:v>518.0749505825388</c:v>
                </c:pt>
                <c:pt idx="12">
                  <c:v>591.1272406277094</c:v>
                </c:pt>
                <c:pt idx="13">
                  <c:v>594.83690692620269</c:v>
                </c:pt>
                <c:pt idx="14">
                  <c:v>633.55724177663694</c:v>
                </c:pt>
                <c:pt idx="15">
                  <c:v>625.71694313561136</c:v>
                </c:pt>
                <c:pt idx="16">
                  <c:v>598.16824675402813</c:v>
                </c:pt>
                <c:pt idx="17">
                  <c:v>574.50767245772488</c:v>
                </c:pt>
                <c:pt idx="18">
                  <c:v>524.3737853304558</c:v>
                </c:pt>
                <c:pt idx="19">
                  <c:v>498.42119026782291</c:v>
                </c:pt>
                <c:pt idx="20">
                  <c:v>520.62163028909765</c:v>
                </c:pt>
                <c:pt idx="21">
                  <c:v>491.20770684555998</c:v>
                </c:pt>
                <c:pt idx="22">
                  <c:v>481.70283594123697</c:v>
                </c:pt>
                <c:pt idx="23">
                  <c:v>486.32122650466431</c:v>
                </c:pt>
                <c:pt idx="24">
                  <c:v>477.59437083592894</c:v>
                </c:pt>
                <c:pt idx="25">
                  <c:v>495.62124339392312</c:v>
                </c:pt>
                <c:pt idx="26">
                  <c:v>545.19522849975306</c:v>
                </c:pt>
                <c:pt idx="27">
                  <c:v>535.75999219423716</c:v>
                </c:pt>
                <c:pt idx="28">
                  <c:v>542.09554554074259</c:v>
                </c:pt>
                <c:pt idx="29">
                  <c:v>572.9965873286983</c:v>
                </c:pt>
              </c:numCache>
            </c:numRef>
          </c:val>
          <c:extLst>
            <c:ext xmlns:c16="http://schemas.microsoft.com/office/drawing/2014/chart" uri="{C3380CC4-5D6E-409C-BE32-E72D297353CC}">
              <c16:uniqueId val="{00000005-823A-4A45-9786-4DBA137EB6C7}"/>
            </c:ext>
          </c:extLst>
        </c:ser>
        <c:ser>
          <c:idx val="6"/>
          <c:order val="6"/>
          <c:tx>
            <c:strRef>
              <c:f>'CO2'!$B$15</c:f>
              <c:strCache>
                <c:ptCount val="1"/>
                <c:pt idx="0">
                  <c:v>UTCATF</c:v>
                </c:pt>
              </c:strCache>
            </c:strRef>
          </c:tx>
          <c:spPr>
            <a:solidFill>
              <a:srgbClr val="00B050"/>
            </a:solidFill>
            <a:ln>
              <a:solidFill>
                <a:schemeClr val="bg1"/>
              </a:solidFill>
            </a:ln>
          </c:spPr>
          <c:cat>
            <c:numRef>
              <c:f>'CO2'!$C$6:$AF$6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'CO2'!$C$15:$AF$15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823A-4A45-9786-4DBA137EB6C7}"/>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milliers de tonnes</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1990</a:t>
            </a:r>
          </a:p>
        </c:rich>
      </c:tx>
      <c:layout>
        <c:manualLayout>
          <c:xMode val="edge"/>
          <c:yMode val="edge"/>
          <c:x val="0.41214352752647893"/>
          <c:y val="0.48298437127177285"/>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'CO2'!$C$6</c:f>
              <c:strCache>
                <c:ptCount val="1"/>
                <c:pt idx="0">
                  <c:v>1990</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E381-48FC-B066-BF02B687FC86}"/>
              </c:ext>
            </c:extLst>
          </c:dPt>
          <c:dPt>
            <c:idx val="1"/>
            <c:bubble3D val="0"/>
            <c:spPr>
              <a:solidFill>
                <a:srgbClr val="0070C0"/>
              </a:solidFill>
              <a:ln>
                <a:solidFill>
                  <a:schemeClr val="bg1"/>
                </a:solidFill>
              </a:ln>
            </c:spPr>
            <c:extLst>
              <c:ext xmlns:c16="http://schemas.microsoft.com/office/drawing/2014/chart" uri="{C3380CC4-5D6E-409C-BE32-E72D297353CC}">
                <c16:uniqueId val="{00000003-E381-48FC-B066-BF02B687FC86}"/>
              </c:ext>
            </c:extLst>
          </c:dPt>
          <c:dPt>
            <c:idx val="2"/>
            <c:bubble3D val="0"/>
            <c:spPr>
              <a:solidFill>
                <a:srgbClr val="FFFF00"/>
              </a:solidFill>
              <a:ln>
                <a:solidFill>
                  <a:schemeClr val="bg1"/>
                </a:solidFill>
              </a:ln>
            </c:spPr>
            <c:extLst>
              <c:ext xmlns:c16="http://schemas.microsoft.com/office/drawing/2014/chart" uri="{C3380CC4-5D6E-409C-BE32-E72D297353CC}">
                <c16:uniqueId val="{00000005-E381-48FC-B066-BF02B687FC86}"/>
              </c:ext>
            </c:extLst>
          </c:dPt>
          <c:dPt>
            <c:idx val="3"/>
            <c:bubble3D val="0"/>
            <c:spPr>
              <a:solidFill>
                <a:srgbClr val="E0E5B3"/>
              </a:solidFill>
              <a:ln>
                <a:solidFill>
                  <a:schemeClr val="bg1"/>
                </a:solidFill>
              </a:ln>
            </c:spPr>
            <c:extLst>
              <c:ext xmlns:c16="http://schemas.microsoft.com/office/drawing/2014/chart" uri="{C3380CC4-5D6E-409C-BE32-E72D297353CC}">
                <c16:uniqueId val="{00000007-E381-48FC-B066-BF02B687FC86}"/>
              </c:ext>
            </c:extLst>
          </c:dPt>
          <c:dPt>
            <c:idx val="4"/>
            <c:bubble3D val="0"/>
            <c:spPr>
              <a:solidFill>
                <a:srgbClr val="92D050"/>
              </a:solidFill>
              <a:ln>
                <a:solidFill>
                  <a:schemeClr val="bg1"/>
                </a:solidFill>
              </a:ln>
            </c:spPr>
            <c:extLst>
              <c:ext xmlns:c16="http://schemas.microsoft.com/office/drawing/2014/chart" uri="{C3380CC4-5D6E-409C-BE32-E72D297353CC}">
                <c16:uniqueId val="{00000009-E381-48FC-B066-BF02B687FC86}"/>
              </c:ext>
            </c:extLst>
          </c:dPt>
          <c:dPt>
            <c:idx val="5"/>
            <c:bubble3D val="0"/>
            <c:spPr>
              <a:solidFill>
                <a:srgbClr val="7030A0"/>
              </a:solidFill>
              <a:ln>
                <a:solidFill>
                  <a:schemeClr val="bg1"/>
                </a:solidFill>
              </a:ln>
            </c:spPr>
            <c:extLst>
              <c:ext xmlns:c16="http://schemas.microsoft.com/office/drawing/2014/chart" uri="{C3380CC4-5D6E-409C-BE32-E72D297353CC}">
                <c16:uniqueId val="{0000000B-E381-48FC-B066-BF02B687FC86}"/>
              </c:ext>
            </c:extLst>
          </c:dPt>
          <c:dPt>
            <c:idx val="6"/>
            <c:bubble3D val="0"/>
            <c:spPr>
              <a:solidFill>
                <a:srgbClr val="00B050"/>
              </a:solidFill>
              <a:ln>
                <a:solidFill>
                  <a:schemeClr val="bg1"/>
                </a:solidFill>
              </a:ln>
            </c:spPr>
            <c:extLst>
              <c:ext xmlns:c16="http://schemas.microsoft.com/office/drawing/2014/chart" uri="{C3380CC4-5D6E-409C-BE32-E72D297353CC}">
                <c16:uniqueId val="{0000000D-E381-48FC-B066-BF02B687FC86}"/>
              </c:ext>
            </c:extLst>
          </c:dPt>
          <c:dLbls>
            <c:dLbl>
              <c:idx val="0"/>
              <c:layout>
                <c:manualLayout>
                  <c:x val="2.128781884631325E-3"/>
                  <c:y val="7.5634385907947077E-2"/>
                </c:manualLayout>
              </c:layout>
              <c:spPr/>
              <c:txPr>
                <a:bodyPr/>
                <a:lstStyle/>
                <a:p>
                  <a:pPr>
                    <a:defRPr sz="800" b="0" i="0" u="none" strike="noStrike" baseline="0">
                      <a:solidFill>
                        <a:srgbClr val="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81-48FC-B066-BF02B687FC86}"/>
                </c:ext>
              </c:extLst>
            </c:dLbl>
            <c:dLbl>
              <c:idx val="1"/>
              <c:spPr>
                <a:noFill/>
                <a:ln w="25400">
                  <a:noFill/>
                </a:ln>
              </c:spPr>
              <c:txPr>
                <a:bodyPr wrap="square" lIns="38100" tIns="19050" rIns="38100" bIns="19050" anchor="ctr">
                  <a:spAutoFit/>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6="http://schemas.microsoft.com/office/drawing/2014/chart" uri="{C3380CC4-5D6E-409C-BE32-E72D297353CC}">
                  <c16:uniqueId val="{00000003-E381-48FC-B066-BF02B687FC86}"/>
                </c:ext>
              </c:extLst>
            </c:dLbl>
            <c:dLbl>
              <c:idx val="2"/>
              <c:delete val="1"/>
              <c:extLst>
                <c:ext xmlns:c15="http://schemas.microsoft.com/office/drawing/2012/chart" uri="{CE6537A1-D6FC-4f65-9D91-7224C49458BB}"/>
                <c:ext xmlns:c16="http://schemas.microsoft.com/office/drawing/2014/chart" uri="{C3380CC4-5D6E-409C-BE32-E72D297353CC}">
                  <c16:uniqueId val="{00000005-E381-48FC-B066-BF02B687FC86}"/>
                </c:ext>
              </c:extLst>
            </c:dLbl>
            <c:dLbl>
              <c:idx val="3"/>
              <c:layout>
                <c:manualLayout>
                  <c:x val="6.1428544516031802E-2"/>
                  <c:y val="-5.79235327542820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381-48FC-B066-BF02B687FC86}"/>
                </c:ext>
              </c:extLst>
            </c:dLbl>
            <c:dLbl>
              <c:idx val="4"/>
              <c:delete val="1"/>
              <c:extLst>
                <c:ext xmlns:c15="http://schemas.microsoft.com/office/drawing/2012/chart" uri="{CE6537A1-D6FC-4f65-9D91-7224C49458BB}"/>
                <c:ext xmlns:c16="http://schemas.microsoft.com/office/drawing/2014/chart" uri="{C3380CC4-5D6E-409C-BE32-E72D297353CC}">
                  <c16:uniqueId val="{00000009-E381-48FC-B066-BF02B687FC86}"/>
                </c:ext>
              </c:extLst>
            </c:dLbl>
            <c:dLbl>
              <c:idx val="5"/>
              <c:layout>
                <c:manualLayout>
                  <c:x val="9.7272851437398399E-3"/>
                  <c:y val="-1.9790026246719224E-2"/>
                </c:manualLayout>
              </c:layout>
              <c:spPr/>
              <c:txPr>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381-48FC-B066-BF02B687FC86}"/>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'CO2'!$B$7:$B$11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('CO2'!$C$7:$C$11,'CO2'!$C$12,'CO2'!$C$15)</c:f>
              <c:numCache>
                <c:formatCode>0.0</c:formatCode>
                <c:ptCount val="7"/>
                <c:pt idx="0" formatCode="#,##0">
                  <c:v>160.74702619783605</c:v>
                </c:pt>
                <c:pt idx="1">
                  <c:v>0</c:v>
                </c:pt>
                <c:pt idx="2">
                  <c:v>0</c:v>
                </c:pt>
                <c:pt idx="3">
                  <c:v>28.3854843483156</c:v>
                </c:pt>
                <c:pt idx="4">
                  <c:v>0</c:v>
                </c:pt>
                <c:pt idx="5" formatCode="#,##0">
                  <c:v>517.90840932506808</c:v>
                </c:pt>
                <c:pt idx="6">
                  <c:v>0</c:v>
                </c:pt>
              </c:numCache>
            </c:numRef>
          </c:val>
          <c:extLst>
            <c:ext xmlns:c16="http://schemas.microsoft.com/office/drawing/2014/chart" uri="{C3380CC4-5D6E-409C-BE32-E72D297353CC}">
              <c16:uniqueId val="{0000000E-E381-48FC-B066-BF02B687FC86}"/>
            </c:ext>
          </c:extLst>
        </c:ser>
        <c:ser>
          <c:idx val="1"/>
          <c:order val="1"/>
          <c:tx>
            <c:strRef>
              <c:f>'CO2'!$AF$6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E381-48FC-B066-BF02B687FC86}"/>
              </c:ext>
            </c:extLst>
          </c:dPt>
          <c:dPt>
            <c:idx val="1"/>
            <c:bubble3D val="0"/>
            <c:spPr>
              <a:solidFill>
                <a:srgbClr val="0070C0"/>
              </a:solidFill>
              <a:ln>
                <a:solidFill>
                  <a:schemeClr val="bg1"/>
                </a:solidFill>
              </a:ln>
            </c:spPr>
            <c:extLst>
              <c:ext xmlns:c16="http://schemas.microsoft.com/office/drawing/2014/chart" uri="{C3380CC4-5D6E-409C-BE32-E72D297353CC}">
                <c16:uniqueId val="{00000012-E381-48FC-B066-BF02B687FC86}"/>
              </c:ext>
            </c:extLst>
          </c:dPt>
          <c:dPt>
            <c:idx val="3"/>
            <c:bubble3D val="0"/>
            <c:spPr>
              <a:solidFill>
                <a:srgbClr val="E0E5B3"/>
              </a:solidFill>
              <a:ln>
                <a:solidFill>
                  <a:schemeClr val="bg1"/>
                </a:solidFill>
              </a:ln>
            </c:spPr>
            <c:extLst>
              <c:ext xmlns:c16="http://schemas.microsoft.com/office/drawing/2014/chart" uri="{C3380CC4-5D6E-409C-BE32-E72D297353CC}">
                <c16:uniqueId val="{00000014-E381-48FC-B066-BF02B687FC86}"/>
              </c:ext>
            </c:extLst>
          </c:dPt>
          <c:dPt>
            <c:idx val="5"/>
            <c:bubble3D val="0"/>
            <c:spPr>
              <a:solidFill>
                <a:srgbClr val="7030A0"/>
              </a:solidFill>
              <a:ln>
                <a:solidFill>
                  <a:schemeClr val="bg1"/>
                </a:solidFill>
              </a:ln>
            </c:spPr>
            <c:extLst>
              <c:ext xmlns:c16="http://schemas.microsoft.com/office/drawing/2014/chart" uri="{C3380CC4-5D6E-409C-BE32-E72D297353CC}">
                <c16:uniqueId val="{00000016-E381-48FC-B066-BF02B687FC86}"/>
              </c:ext>
            </c:extLst>
          </c:dPt>
          <c:dPt>
            <c:idx val="6"/>
            <c:bubble3D val="0"/>
            <c:spPr>
              <a:solidFill>
                <a:srgbClr val="00B050"/>
              </a:solidFill>
              <a:ln>
                <a:solidFill>
                  <a:schemeClr val="bg1"/>
                </a:solidFill>
              </a:ln>
            </c:spPr>
            <c:extLst>
              <c:ext xmlns:c16="http://schemas.microsoft.com/office/drawing/2014/chart" uri="{C3380CC4-5D6E-409C-BE32-E72D297353CC}">
                <c16:uniqueId val="{00000018-E381-48FC-B066-BF02B687FC86}"/>
              </c:ext>
            </c:extLst>
          </c:dPt>
          <c:dLbls>
            <c:dLbl>
              <c:idx val="1"/>
              <c:layout>
                <c:manualLayout>
                  <c:x val="0"/>
                  <c:y val="-2.9109505641691695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E381-48FC-B066-BF02B687FC86}"/>
                </c:ext>
              </c:extLst>
            </c:dLbl>
            <c:dLbl>
              <c:idx val="2"/>
              <c:delete val="1"/>
              <c:extLst>
                <c:ext xmlns:c15="http://schemas.microsoft.com/office/drawing/2012/chart" uri="{CE6537A1-D6FC-4f65-9D91-7224C49458BB}"/>
                <c:ext xmlns:c16="http://schemas.microsoft.com/office/drawing/2014/chart" uri="{C3380CC4-5D6E-409C-BE32-E72D297353CC}">
                  <c16:uniqueId val="{00000019-E381-48FC-B066-BF02B687FC86}"/>
                </c:ext>
              </c:extLst>
            </c:dLbl>
            <c:dLbl>
              <c:idx val="3"/>
              <c:layout>
                <c:manualLayout>
                  <c:x val="-0.10281027466937945"/>
                  <c:y val="-2.724247097978732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381-48FC-B066-BF02B687FC86}"/>
                </c:ext>
              </c:extLst>
            </c:dLbl>
            <c:dLbl>
              <c:idx val="4"/>
              <c:delete val="1"/>
              <c:extLst>
                <c:ext xmlns:c15="http://schemas.microsoft.com/office/drawing/2012/chart" uri="{CE6537A1-D6FC-4f65-9D91-7224C49458BB}"/>
                <c:ext xmlns:c16="http://schemas.microsoft.com/office/drawing/2014/chart" uri="{C3380CC4-5D6E-409C-BE32-E72D297353CC}">
                  <c16:uniqueId val="{0000001A-E381-48FC-B066-BF02B687FC86}"/>
                </c:ext>
              </c:extLst>
            </c:dLbl>
            <c:dLbl>
              <c:idx val="5"/>
              <c:layout>
                <c:manualLayout>
                  <c:x val="0"/>
                  <c:y val="-1.9406337094460815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E381-48FC-B066-BF02B687FC86}"/>
                </c:ext>
              </c:extLst>
            </c:dLbl>
            <c:dLbl>
              <c:idx val="6"/>
              <c:layout>
                <c:manualLayout>
                  <c:x val="-8.2708121397083757E-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8-E381-48FC-B066-BF02B687FC86}"/>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'CO2'!$B$7:$B$11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('CO2'!$AF$7:$AF$12,'CO2'!$AF$15)</c:f>
              <c:numCache>
                <c:formatCode>0.0</c:formatCode>
                <c:ptCount val="7"/>
                <c:pt idx="0" formatCode="#,##0">
                  <c:v>352.44825728473165</c:v>
                </c:pt>
                <c:pt idx="1">
                  <c:v>0</c:v>
                </c:pt>
                <c:pt idx="2">
                  <c:v>0</c:v>
                </c:pt>
                <c:pt idx="3">
                  <c:v>25.30735523766031</c:v>
                </c:pt>
                <c:pt idx="4">
                  <c:v>0</c:v>
                </c:pt>
                <c:pt idx="5" formatCode="#,##0">
                  <c:v>572.9965873286983</c:v>
                </c:pt>
                <c:pt idx="6">
                  <c:v>0</c:v>
                </c:pt>
              </c:numCache>
            </c:numRef>
          </c:val>
          <c:extLst>
            <c:ext xmlns:c16="http://schemas.microsoft.com/office/drawing/2014/chart" uri="{C3380CC4-5D6E-409C-BE32-E72D297353CC}">
              <c16:uniqueId val="{0000001B-E381-48FC-B066-BF02B687FC86}"/>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604C-41E0-80EE-8C31DD4740EE}"/>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AMS 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074C-4A30-A3D9-991E468A92AC}"/>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074C-4A30-A3D9-991E468A92AC}"/>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074C-4A30-A3D9-991E468A92AC}"/>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074C-4A30-A3D9-991E468A92AC}"/>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074C-4A30-A3D9-991E468A92AC}"/>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074C-4A30-A3D9-991E468A92AC}"/>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074C-4A30-A3D9-991E468A92AC}"/>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074C-4A30-A3D9-991E468A92AC}"/>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074C-4A30-A3D9-991E468A92AC}"/>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074C-4A30-A3D9-991E468A92AC}"/>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Energie'!$A$52:$A$62</c15:sqref>
                  </c15:fullRef>
                </c:ext>
              </c:extLst>
              <c:f>'Prod Energie'!$A$53:$A$62</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Energie'!$I$52:$I$62</c15:sqref>
                  </c15:fullRef>
                </c:ext>
              </c:extLst>
              <c:f>'Prod Energie'!$I$53:$I$62</c:f>
              <c:numCache>
                <c:formatCode>0.00\ %</c:formatCode>
                <c:ptCount val="10"/>
                <c:pt idx="0">
                  <c:v>0</c:v>
                </c:pt>
                <c:pt idx="1">
                  <c:v>0.52752468215756287</c:v>
                </c:pt>
                <c:pt idx="2" formatCode="0%">
                  <c:v>0.17348271276196414</c:v>
                </c:pt>
                <c:pt idx="3" formatCode="0%">
                  <c:v>0</c:v>
                </c:pt>
                <c:pt idx="4" formatCode="0%">
                  <c:v>0</c:v>
                </c:pt>
                <c:pt idx="5" formatCode="0%">
                  <c:v>0</c:v>
                </c:pt>
                <c:pt idx="6" formatCode="0%">
                  <c:v>9.2981883675640489E-2</c:v>
                </c:pt>
                <c:pt idx="7" formatCode="0%">
                  <c:v>0</c:v>
                </c:pt>
                <c:pt idx="8" formatCode="0%">
                  <c:v>0.20601072140483243</c:v>
                </c:pt>
                <c:pt idx="9" formatCode="0%">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074C-4A30-A3D9-991E468A92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AME Mix</a:t>
            </a:r>
            <a:r>
              <a:rPr lang="fr-FR" baseline="0"/>
              <a:t> électrique en 2050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'Prod Energie'!$I$31</c:f>
              <c:strCache>
                <c:ptCount val="1"/>
                <c:pt idx="0">
                  <c:v>0%</c:v>
                </c:pt>
              </c:strCache>
            </c:strRef>
          </c:tx>
          <c:dPt>
            <c:idx val="0"/>
            <c:bubble3D val="0"/>
            <c:spPr>
              <a:solidFill>
                <a:schemeClr val="accent1"/>
              </a:solidFill>
              <a:ln w="9525">
                <a:solidFill>
                  <a:schemeClr val="lt1"/>
                </a:solidFill>
              </a:ln>
              <a:effectLst/>
            </c:spPr>
            <c:extLst>
              <c:ext xmlns:c16="http://schemas.microsoft.com/office/drawing/2014/chart" uri="{C3380CC4-5D6E-409C-BE32-E72D297353CC}">
                <c16:uniqueId val="{00000001-AED4-4588-91F3-8D89EAEBD52B}"/>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AED4-4588-91F3-8D89EAEBD52B}"/>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AED4-4588-91F3-8D89EAEBD52B}"/>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AED4-4588-91F3-8D89EAEBD52B}"/>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AED4-4588-91F3-8D89EAEBD52B}"/>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AED4-4588-91F3-8D89EAEBD52B}"/>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AED4-4588-91F3-8D89EAEBD52B}"/>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AED4-4588-91F3-8D89EAEBD52B}"/>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AED4-4588-91F3-8D89EAEBD52B}"/>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AED4-4588-91F3-8D89EAEBD52B}"/>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f>'Prod Energie'!$A$32:$A$41</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f>'Prod Energie'!$I$32:$I$41</c:f>
              <c:numCache>
                <c:formatCode>0\ %</c:formatCode>
                <c:ptCount val="10"/>
                <c:pt idx="0" formatCode="0.00\ %">
                  <c:v>0</c:v>
                </c:pt>
                <c:pt idx="1">
                  <c:v>0.6067624094112376</c:v>
                </c:pt>
                <c:pt idx="2" formatCode="0%">
                  <c:v>0.15530035280498225</c:v>
                </c:pt>
                <c:pt idx="3" formatCode="0%">
                  <c:v>0</c:v>
                </c:pt>
                <c:pt idx="4" formatCode="0%">
                  <c:v>0</c:v>
                </c:pt>
                <c:pt idx="5" formatCode="0%">
                  <c:v>0</c:v>
                </c:pt>
                <c:pt idx="6" formatCode="0%">
                  <c:v>0</c:v>
                </c:pt>
                <c:pt idx="7" formatCode="0%">
                  <c:v>0</c:v>
                </c:pt>
                <c:pt idx="8" formatCode="0%">
                  <c:v>0.23793723778378015</c:v>
                </c:pt>
                <c:pt idx="9" formatCode="0%">
                  <c:v>0</c:v>
                </c:pt>
              </c:numCache>
            </c:numRef>
          </c:val>
          <c:extLst>
            <c:ext xmlns:c16="http://schemas.microsoft.com/office/drawing/2014/chart" uri="{C3380CC4-5D6E-409C-BE32-E72D297353CC}">
              <c16:uniqueId val="{00000014-AED4-4588-91F3-8D89EAEBD5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1375-4196-AE9E-03222A97C0D8}"/>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05997558344589E-2"/>
          <c:y val="6.7130443646000557E-2"/>
          <c:w val="0.92091956101877748"/>
          <c:h val="0.76366740565196345"/>
        </c:manualLayout>
      </c:layout>
      <c:areaChart>
        <c:grouping val="stacked"/>
        <c:varyColors val="0"/>
        <c:ser>
          <c:idx val="0"/>
          <c:order val="0"/>
          <c:tx>
            <c:strRef>
              <c:f>'CH4'!$B$7</c:f>
              <c:strCache>
                <c:ptCount val="1"/>
                <c:pt idx="0">
                  <c:v>Industrie de l'énergie</c:v>
                </c:pt>
              </c:strCache>
            </c:strRef>
          </c:tx>
          <c:spPr>
            <a:solidFill>
              <a:schemeClr val="tx2">
                <a:lumMod val="20000"/>
                <a:lumOff val="80000"/>
              </a:schemeClr>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'CH4'!$C$7:$AF$7</c:f>
              <c:numCache>
                <c:formatCode>0.0</c:formatCode>
                <c:ptCount val="30"/>
                <c:pt idx="0">
                  <c:v>8.3846074399999999</c:v>
                </c:pt>
                <c:pt idx="1">
                  <c:v>8.5890329200000011</c:v>
                </c:pt>
                <c:pt idx="2">
                  <c:v>9.5780986450800008</c:v>
                </c:pt>
                <c:pt idx="3">
                  <c:v>10.156475920000002</c:v>
                </c:pt>
                <c:pt idx="4">
                  <c:v>10.659122107199998</c:v>
                </c:pt>
                <c:pt idx="5">
                  <c:v>10.182208730399999</c:v>
                </c:pt>
                <c:pt idx="6">
                  <c:v>9.9758933933999998</c:v>
                </c:pt>
                <c:pt idx="7">
                  <c:v>9.5275524182399991</c:v>
                </c:pt>
                <c:pt idx="8">
                  <c:v>10.187984111759999</c:v>
                </c:pt>
                <c:pt idx="9">
                  <c:v>13.351282333199999</c:v>
                </c:pt>
                <c:pt idx="10">
                  <c:v>14.766789316806198</c:v>
                </c:pt>
                <c:pt idx="11">
                  <c:v>16.333924092380794</c:v>
                </c:pt>
                <c:pt idx="12">
                  <c:v>19.062609081726933</c:v>
                </c:pt>
                <c:pt idx="13">
                  <c:v>19.402933817719759</c:v>
                </c:pt>
                <c:pt idx="14">
                  <c:v>19.047279880556111</c:v>
                </c:pt>
                <c:pt idx="15">
                  <c:v>19.824317454094423</c:v>
                </c:pt>
                <c:pt idx="16">
                  <c:v>20.088508008033802</c:v>
                </c:pt>
                <c:pt idx="17">
                  <c:v>20.855426743022555</c:v>
                </c:pt>
                <c:pt idx="18">
                  <c:v>21.163938583568566</c:v>
                </c:pt>
                <c:pt idx="19">
                  <c:v>22.044161270298638</c:v>
                </c:pt>
                <c:pt idx="20">
                  <c:v>19.283609558714435</c:v>
                </c:pt>
                <c:pt idx="21">
                  <c:v>18.986157590865524</c:v>
                </c:pt>
                <c:pt idx="22">
                  <c:v>19.205470414386852</c:v>
                </c:pt>
                <c:pt idx="23">
                  <c:v>19.26723634294364</c:v>
                </c:pt>
                <c:pt idx="24">
                  <c:v>18.000298043941687</c:v>
                </c:pt>
                <c:pt idx="25">
                  <c:v>18.58313404336652</c:v>
                </c:pt>
                <c:pt idx="26">
                  <c:v>18.021054454874875</c:v>
                </c:pt>
                <c:pt idx="27">
                  <c:v>18.378291494141138</c:v>
                </c:pt>
                <c:pt idx="28">
                  <c:v>18.395060235604074</c:v>
                </c:pt>
                <c:pt idx="29">
                  <c:v>18.512548390179777</c:v>
                </c:pt>
              </c:numCache>
            </c:numRef>
          </c:val>
          <c:extLst>
            <c:ext xmlns:c16="http://schemas.microsoft.com/office/drawing/2014/chart" uri="{C3380CC4-5D6E-409C-BE32-E72D297353CC}">
              <c16:uniqueId val="{00000000-12DC-4428-9402-8B51D73DAC49}"/>
            </c:ext>
          </c:extLst>
        </c:ser>
        <c:ser>
          <c:idx val="1"/>
          <c:order val="1"/>
          <c:tx>
            <c:strRef>
              <c:f>'CH4'!$B$8</c:f>
              <c:strCache>
                <c:ptCount val="1"/>
                <c:pt idx="0">
                  <c:v>Industrie manufacturière et construction</c:v>
                </c:pt>
              </c:strCache>
            </c:strRef>
          </c:tx>
          <c:spPr>
            <a:solidFill>
              <a:srgbClr val="0070C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'CH4'!$C$8:$AF$8</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12DC-4428-9402-8B51D73DAC49}"/>
            </c:ext>
          </c:extLst>
        </c:ser>
        <c:ser>
          <c:idx val="2"/>
          <c:order val="2"/>
          <c:tx>
            <c:strRef>
              <c:f>'CH4'!$B$9</c:f>
              <c:strCache>
                <c:ptCount val="1"/>
                <c:pt idx="0">
                  <c:v>Traitement centralisé des déchets</c:v>
                </c:pt>
              </c:strCache>
            </c:strRef>
          </c:tx>
          <c:spPr>
            <a:solidFill>
              <a:schemeClr val="accent4">
                <a:lumMod val="60000"/>
                <a:lumOff val="40000"/>
              </a:schemeClr>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'CH4'!$C$9:$AF$9</c:f>
              <c:numCache>
                <c:formatCode>#,##0</c:formatCode>
                <c:ptCount val="30"/>
                <c:pt idx="0">
                  <c:v>1894.1885443392107</c:v>
                </c:pt>
                <c:pt idx="1">
                  <c:v>1914.8156022471251</c:v>
                </c:pt>
                <c:pt idx="2">
                  <c:v>1982.3458181344315</c:v>
                </c:pt>
                <c:pt idx="3">
                  <c:v>2045.2178507023291</c:v>
                </c:pt>
                <c:pt idx="4">
                  <c:v>1646.4540238571599</c:v>
                </c:pt>
                <c:pt idx="5">
                  <c:v>1773.8040077963115</c:v>
                </c:pt>
                <c:pt idx="6">
                  <c:v>1879.3607981412842</c:v>
                </c:pt>
                <c:pt idx="7">
                  <c:v>1952.7273426993884</c:v>
                </c:pt>
                <c:pt idx="8">
                  <c:v>2019.9529688142291</c:v>
                </c:pt>
                <c:pt idx="9">
                  <c:v>2080.6130578939596</c:v>
                </c:pt>
                <c:pt idx="10">
                  <c:v>2136.769115816659</c:v>
                </c:pt>
                <c:pt idx="11">
                  <c:v>2179.2156103729903</c:v>
                </c:pt>
                <c:pt idx="12">
                  <c:v>2221.3267980935643</c:v>
                </c:pt>
                <c:pt idx="13">
                  <c:v>2251.5458743760096</c:v>
                </c:pt>
                <c:pt idx="14">
                  <c:v>2214.8113557545048</c:v>
                </c:pt>
                <c:pt idx="15">
                  <c:v>2228.7509366584745</c:v>
                </c:pt>
                <c:pt idx="16">
                  <c:v>2236.9173607421885</c:v>
                </c:pt>
                <c:pt idx="17">
                  <c:v>2271.1446694380693</c:v>
                </c:pt>
                <c:pt idx="18">
                  <c:v>2312.1319794027127</c:v>
                </c:pt>
                <c:pt idx="19">
                  <c:v>2434.0643292124114</c:v>
                </c:pt>
                <c:pt idx="20">
                  <c:v>2682.6268109091889</c:v>
                </c:pt>
                <c:pt idx="21">
                  <c:v>2877.112525754786</c:v>
                </c:pt>
                <c:pt idx="22">
                  <c:v>3031.6934495555383</c:v>
                </c:pt>
                <c:pt idx="23">
                  <c:v>3159.0059452072055</c:v>
                </c:pt>
                <c:pt idx="24">
                  <c:v>3215.6002044136453</c:v>
                </c:pt>
                <c:pt idx="25">
                  <c:v>3459.4049622729444</c:v>
                </c:pt>
                <c:pt idx="26">
                  <c:v>3579.7776131679534</c:v>
                </c:pt>
                <c:pt idx="27">
                  <c:v>3659.6053769175796</c:v>
                </c:pt>
                <c:pt idx="28">
                  <c:v>3751.6788770876678</c:v>
                </c:pt>
                <c:pt idx="29">
                  <c:v>3913.0732198008245</c:v>
                </c:pt>
              </c:numCache>
            </c:numRef>
          </c:val>
          <c:extLst>
            <c:ext xmlns:c16="http://schemas.microsoft.com/office/drawing/2014/chart" uri="{C3380CC4-5D6E-409C-BE32-E72D297353CC}">
              <c16:uniqueId val="{00000002-12DC-4428-9402-8B51D73DAC49}"/>
            </c:ext>
          </c:extLst>
        </c:ser>
        <c:ser>
          <c:idx val="3"/>
          <c:order val="3"/>
          <c:tx>
            <c:strRef>
              <c:f>'CH4'!$B$10</c:f>
              <c:strCache>
                <c:ptCount val="1"/>
                <c:pt idx="0">
                  <c:v>Usage des bâtiments et activités résidentiels/tertiaires</c:v>
                </c:pt>
              </c:strCache>
            </c:strRef>
          </c:tx>
          <c:spPr>
            <a:solidFill>
              <a:srgbClr val="E0E5B3"/>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'CH4'!$C$10:$AF$10</c:f>
              <c:numCache>
                <c:formatCode>#,##0</c:formatCode>
                <c:ptCount val="30"/>
                <c:pt idx="0">
                  <c:v>1087.05064756</c:v>
                </c:pt>
                <c:pt idx="1">
                  <c:v>1110.45809444</c:v>
                </c:pt>
                <c:pt idx="2">
                  <c:v>1132.7184488</c:v>
                </c:pt>
                <c:pt idx="3">
                  <c:v>1154.1921012599998</c:v>
                </c:pt>
                <c:pt idx="4">
                  <c:v>1175.8974441600001</c:v>
                </c:pt>
                <c:pt idx="5">
                  <c:v>1200.4251943099998</c:v>
                </c:pt>
                <c:pt idx="6">
                  <c:v>1214.54369978</c:v>
                </c:pt>
                <c:pt idx="7">
                  <c:v>1234.9295352999995</c:v>
                </c:pt>
                <c:pt idx="8">
                  <c:v>1257.4435386</c:v>
                </c:pt>
                <c:pt idx="9">
                  <c:v>1279.2382226000002</c:v>
                </c:pt>
                <c:pt idx="10">
                  <c:v>1302.6606409999999</c:v>
                </c:pt>
                <c:pt idx="11">
                  <c:v>1326.6835732669999</c:v>
                </c:pt>
                <c:pt idx="12">
                  <c:v>1349.4829076751996</c:v>
                </c:pt>
                <c:pt idx="13">
                  <c:v>1371.8094856275998</c:v>
                </c:pt>
                <c:pt idx="14">
                  <c:v>1389.5840318830003</c:v>
                </c:pt>
                <c:pt idx="15">
                  <c:v>1406.778707383</c:v>
                </c:pt>
                <c:pt idx="16">
                  <c:v>1423.5657143830001</c:v>
                </c:pt>
                <c:pt idx="17">
                  <c:v>1451.767439383</c:v>
                </c:pt>
                <c:pt idx="18">
                  <c:v>1457.4855</c:v>
                </c:pt>
                <c:pt idx="19">
                  <c:v>1475.8129684999997</c:v>
                </c:pt>
                <c:pt idx="20">
                  <c:v>1493.32779926592</c:v>
                </c:pt>
                <c:pt idx="21">
                  <c:v>1495.9066316172803</c:v>
                </c:pt>
                <c:pt idx="22">
                  <c:v>1500.2959078118399</c:v>
                </c:pt>
                <c:pt idx="23">
                  <c:v>1505.0220649157602</c:v>
                </c:pt>
                <c:pt idx="24">
                  <c:v>1513.0617763282401</c:v>
                </c:pt>
                <c:pt idx="25">
                  <c:v>1520.2669672331999</c:v>
                </c:pt>
                <c:pt idx="26">
                  <c:v>1525.3665610224796</c:v>
                </c:pt>
                <c:pt idx="27">
                  <c:v>1542.8006718963202</c:v>
                </c:pt>
                <c:pt idx="28">
                  <c:v>1552.9623502643205</c:v>
                </c:pt>
                <c:pt idx="29">
                  <c:v>1556.7318701971196</c:v>
                </c:pt>
              </c:numCache>
            </c:numRef>
          </c:val>
          <c:extLst>
            <c:ext xmlns:c16="http://schemas.microsoft.com/office/drawing/2014/chart" uri="{C3380CC4-5D6E-409C-BE32-E72D297353CC}">
              <c16:uniqueId val="{00000003-12DC-4428-9402-8B51D73DAC49}"/>
            </c:ext>
          </c:extLst>
        </c:ser>
        <c:ser>
          <c:idx val="4"/>
          <c:order val="4"/>
          <c:tx>
            <c:strRef>
              <c:f>'CH4'!$B$11</c:f>
              <c:strCache>
                <c:ptCount val="1"/>
                <c:pt idx="0">
                  <c:v>Agriculture</c:v>
                </c:pt>
              </c:strCache>
            </c:strRef>
          </c:tx>
          <c:spPr>
            <a:solidFill>
              <a:srgbClr val="92D05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'CH4'!$C$11:$AF$11</c:f>
              <c:numCache>
                <c:formatCode>#,##0</c:formatCode>
                <c:ptCount val="30"/>
                <c:pt idx="0">
                  <c:v>1150.1931308574233</c:v>
                </c:pt>
                <c:pt idx="1">
                  <c:v>1200.3615242584931</c:v>
                </c:pt>
                <c:pt idx="2">
                  <c:v>1260.2265830268366</c:v>
                </c:pt>
                <c:pt idx="3">
                  <c:v>1317.8658241615631</c:v>
                </c:pt>
                <c:pt idx="4">
                  <c:v>1376.3119867272392</c:v>
                </c:pt>
                <c:pt idx="5">
                  <c:v>1501.8019267929958</c:v>
                </c:pt>
                <c:pt idx="6">
                  <c:v>1422.3678262971246</c:v>
                </c:pt>
                <c:pt idx="7">
                  <c:v>1387.4128645363899</c:v>
                </c:pt>
                <c:pt idx="8">
                  <c:v>1354.4334211156693</c:v>
                </c:pt>
                <c:pt idx="9">
                  <c:v>1320.5998621904682</c:v>
                </c:pt>
                <c:pt idx="10">
                  <c:v>1271.0753820260934</c:v>
                </c:pt>
                <c:pt idx="11">
                  <c:v>1246.9000474481411</c:v>
                </c:pt>
                <c:pt idx="12">
                  <c:v>1228.0459674650415</c:v>
                </c:pt>
                <c:pt idx="13">
                  <c:v>1205.1836456476719</c:v>
                </c:pt>
                <c:pt idx="14">
                  <c:v>1178.4381642835228</c:v>
                </c:pt>
                <c:pt idx="15">
                  <c:v>1150.8822546933488</c:v>
                </c:pt>
                <c:pt idx="16">
                  <c:v>1126.9798280459192</c:v>
                </c:pt>
                <c:pt idx="17">
                  <c:v>1075.451259294593</c:v>
                </c:pt>
                <c:pt idx="18">
                  <c:v>1023.7503093004436</c:v>
                </c:pt>
                <c:pt idx="19">
                  <c:v>968.5073645862941</c:v>
                </c:pt>
                <c:pt idx="20">
                  <c:v>912.54025614902048</c:v>
                </c:pt>
                <c:pt idx="21">
                  <c:v>870.26717166907179</c:v>
                </c:pt>
                <c:pt idx="22">
                  <c:v>832.29979714187573</c:v>
                </c:pt>
                <c:pt idx="23">
                  <c:v>799.49109815114525</c:v>
                </c:pt>
                <c:pt idx="24">
                  <c:v>737.68366188843356</c:v>
                </c:pt>
                <c:pt idx="25">
                  <c:v>707.97406119069024</c:v>
                </c:pt>
                <c:pt idx="26">
                  <c:v>778.39881352095381</c:v>
                </c:pt>
                <c:pt idx="27">
                  <c:v>753.5582890219755</c:v>
                </c:pt>
                <c:pt idx="28">
                  <c:v>751.38568842071379</c:v>
                </c:pt>
                <c:pt idx="29">
                  <c:v>751.92817495084444</c:v>
                </c:pt>
              </c:numCache>
            </c:numRef>
          </c:val>
          <c:extLst>
            <c:ext xmlns:c16="http://schemas.microsoft.com/office/drawing/2014/chart" uri="{C3380CC4-5D6E-409C-BE32-E72D297353CC}">
              <c16:uniqueId val="{00000004-12DC-4428-9402-8B51D73DAC49}"/>
            </c:ext>
          </c:extLst>
        </c:ser>
        <c:ser>
          <c:idx val="5"/>
          <c:order val="5"/>
          <c:tx>
            <c:strRef>
              <c:f>'CH4'!$B$12</c:f>
              <c:strCache>
                <c:ptCount val="1"/>
                <c:pt idx="0">
                  <c:v>Transports</c:v>
                </c:pt>
              </c:strCache>
            </c:strRef>
          </c:tx>
          <c:spPr>
            <a:solidFill>
              <a:srgbClr val="7030A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'CH4'!$C$12:$AF$12</c:f>
              <c:numCache>
                <c:formatCode>0.0</c:formatCode>
                <c:ptCount val="30"/>
                <c:pt idx="0">
                  <c:v>111.42784071723452</c:v>
                </c:pt>
                <c:pt idx="1">
                  <c:v>107.79059178151709</c:v>
                </c:pt>
                <c:pt idx="2">
                  <c:v>109.68634448238186</c:v>
                </c:pt>
                <c:pt idx="3">
                  <c:v>108.40189094094376</c:v>
                </c:pt>
                <c:pt idx="4">
                  <c:v>105.40903782077307</c:v>
                </c:pt>
                <c:pt idx="5">
                  <c:v>101.09035901947431</c:v>
                </c:pt>
                <c:pt idx="6">
                  <c:v>98.543227102341021</c:v>
                </c:pt>
                <c:pt idx="7">
                  <c:v>97.023063561693036</c:v>
                </c:pt>
                <c:pt idx="8">
                  <c:v>93.832673602120678</c:v>
                </c:pt>
                <c:pt idx="9">
                  <c:v>91.792237379886174</c:v>
                </c:pt>
                <c:pt idx="10">
                  <c:v>87.59071712083437</c:v>
                </c:pt>
                <c:pt idx="11">
                  <c:v>79.905638587785376</c:v>
                </c:pt>
                <c:pt idx="12">
                  <c:v>78.870096591733187</c:v>
                </c:pt>
                <c:pt idx="13">
                  <c:v>73.960051133222194</c:v>
                </c:pt>
                <c:pt idx="14">
                  <c:v>76.043248945963455</c:v>
                </c:pt>
                <c:pt idx="15">
                  <c:v>70.708395472288615</c:v>
                </c:pt>
                <c:pt idx="16">
                  <c:v>63.707790270323741</c:v>
                </c:pt>
                <c:pt idx="17">
                  <c:v>57.782944108960173</c:v>
                </c:pt>
                <c:pt idx="18">
                  <c:v>49.476506372607687</c:v>
                </c:pt>
                <c:pt idx="19">
                  <c:v>44.423595267982989</c:v>
                </c:pt>
                <c:pt idx="20">
                  <c:v>44.066420056981514</c:v>
                </c:pt>
                <c:pt idx="21">
                  <c:v>40.886508305871764</c:v>
                </c:pt>
                <c:pt idx="22">
                  <c:v>38.989930691690155</c:v>
                </c:pt>
                <c:pt idx="23">
                  <c:v>37.737975354648185</c:v>
                </c:pt>
                <c:pt idx="24">
                  <c:v>35.688564011275261</c:v>
                </c:pt>
                <c:pt idx="25">
                  <c:v>36.262872555353262</c:v>
                </c:pt>
                <c:pt idx="26">
                  <c:v>38.454296977825564</c:v>
                </c:pt>
                <c:pt idx="27">
                  <c:v>37.263032759595596</c:v>
                </c:pt>
                <c:pt idx="28">
                  <c:v>37.443162300187453</c:v>
                </c:pt>
                <c:pt idx="29">
                  <c:v>38.15264228525141</c:v>
                </c:pt>
              </c:numCache>
            </c:numRef>
          </c:val>
          <c:extLst>
            <c:ext xmlns:c16="http://schemas.microsoft.com/office/drawing/2014/chart" uri="{C3380CC4-5D6E-409C-BE32-E72D297353CC}">
              <c16:uniqueId val="{00000005-12DC-4428-9402-8B51D73DAC49}"/>
            </c:ext>
          </c:extLst>
        </c:ser>
        <c:ser>
          <c:idx val="6"/>
          <c:order val="6"/>
          <c:tx>
            <c:strRef>
              <c:f>'CH4'!$B$15</c:f>
              <c:strCache>
                <c:ptCount val="1"/>
                <c:pt idx="0">
                  <c:v>UTCATF</c:v>
                </c:pt>
              </c:strCache>
            </c:strRef>
          </c:tx>
          <c:spPr>
            <a:solidFill>
              <a:srgbClr val="00B050"/>
            </a:solidFill>
            <a:ln>
              <a:solidFill>
                <a:schemeClr val="bg1"/>
              </a:solidFill>
            </a:ln>
          </c:spPr>
          <c:cat>
            <c:numRef>
              <c:f>'CH4'!$C$6:$AF$6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'CH4'!$C$15:$AF$15</c:f>
              <c:numCache>
                <c:formatCode>0.0</c:formatCode>
                <c:ptCount val="30"/>
                <c:pt idx="0">
                  <c:v>0</c:v>
                </c:pt>
                <c:pt idx="1">
                  <c:v>0</c:v>
                </c:pt>
                <c:pt idx="2">
                  <c:v>0</c:v>
                </c:pt>
                <c:pt idx="3">
                  <c:v>0</c:v>
                </c:pt>
                <c:pt idx="4">
                  <c:v>0</c:v>
                </c:pt>
                <c:pt idx="5" formatCode="0">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12DC-4428-9402-8B51D73DAC49}"/>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1990</a:t>
            </a:r>
          </a:p>
        </c:rich>
      </c:tx>
      <c:layout>
        <c:manualLayout>
          <c:xMode val="edge"/>
          <c:yMode val="edge"/>
          <c:x val="0.41214352752647893"/>
          <c:y val="0.48298437127177285"/>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'CH4'!$C$6</c:f>
              <c:strCache>
                <c:ptCount val="1"/>
                <c:pt idx="0">
                  <c:v>1990</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3C2F-4CDD-94D8-1A7E6FCB2538}"/>
              </c:ext>
            </c:extLst>
          </c:dPt>
          <c:dPt>
            <c:idx val="1"/>
            <c:bubble3D val="0"/>
            <c:spPr>
              <a:solidFill>
                <a:srgbClr val="0070C0"/>
              </a:solidFill>
              <a:ln>
                <a:solidFill>
                  <a:schemeClr val="bg1"/>
                </a:solidFill>
              </a:ln>
            </c:spPr>
            <c:extLst>
              <c:ext xmlns:c16="http://schemas.microsoft.com/office/drawing/2014/chart" uri="{C3380CC4-5D6E-409C-BE32-E72D297353CC}">
                <c16:uniqueId val="{00000003-3C2F-4CDD-94D8-1A7E6FCB2538}"/>
              </c:ext>
            </c:extLst>
          </c:dPt>
          <c:dPt>
            <c:idx val="2"/>
            <c:bubble3D val="0"/>
            <c:spPr>
              <a:solidFill>
                <a:srgbClr val="B3A2C7"/>
              </a:solidFill>
              <a:ln>
                <a:solidFill>
                  <a:schemeClr val="bg1"/>
                </a:solidFill>
              </a:ln>
            </c:spPr>
            <c:extLst>
              <c:ext xmlns:c16="http://schemas.microsoft.com/office/drawing/2014/chart" uri="{C3380CC4-5D6E-409C-BE32-E72D297353CC}">
                <c16:uniqueId val="{00000005-3C2F-4CDD-94D8-1A7E6FCB2538}"/>
              </c:ext>
            </c:extLst>
          </c:dPt>
          <c:dPt>
            <c:idx val="3"/>
            <c:bubble3D val="0"/>
            <c:spPr>
              <a:solidFill>
                <a:srgbClr val="E0E5B3"/>
              </a:solidFill>
              <a:ln>
                <a:solidFill>
                  <a:schemeClr val="bg1"/>
                </a:solidFill>
              </a:ln>
            </c:spPr>
            <c:extLst>
              <c:ext xmlns:c16="http://schemas.microsoft.com/office/drawing/2014/chart" uri="{C3380CC4-5D6E-409C-BE32-E72D297353CC}">
                <c16:uniqueId val="{00000007-3C2F-4CDD-94D8-1A7E6FCB2538}"/>
              </c:ext>
            </c:extLst>
          </c:dPt>
          <c:dPt>
            <c:idx val="4"/>
            <c:bubble3D val="0"/>
            <c:spPr>
              <a:solidFill>
                <a:srgbClr val="92D050"/>
              </a:solidFill>
              <a:ln>
                <a:solidFill>
                  <a:schemeClr val="bg1"/>
                </a:solidFill>
              </a:ln>
            </c:spPr>
            <c:extLst>
              <c:ext xmlns:c16="http://schemas.microsoft.com/office/drawing/2014/chart" uri="{C3380CC4-5D6E-409C-BE32-E72D297353CC}">
                <c16:uniqueId val="{00000009-3C2F-4CDD-94D8-1A7E6FCB2538}"/>
              </c:ext>
            </c:extLst>
          </c:dPt>
          <c:dPt>
            <c:idx val="5"/>
            <c:bubble3D val="0"/>
            <c:spPr>
              <a:solidFill>
                <a:srgbClr val="7030A0"/>
              </a:solidFill>
              <a:ln>
                <a:solidFill>
                  <a:schemeClr val="bg1"/>
                </a:solidFill>
              </a:ln>
            </c:spPr>
            <c:extLst>
              <c:ext xmlns:c16="http://schemas.microsoft.com/office/drawing/2014/chart" uri="{C3380CC4-5D6E-409C-BE32-E72D297353CC}">
                <c16:uniqueId val="{0000000B-3C2F-4CDD-94D8-1A7E6FCB2538}"/>
              </c:ext>
            </c:extLst>
          </c:dPt>
          <c:dPt>
            <c:idx val="6"/>
            <c:bubble3D val="0"/>
            <c:spPr>
              <a:solidFill>
                <a:srgbClr val="00B050"/>
              </a:solidFill>
              <a:ln>
                <a:solidFill>
                  <a:schemeClr val="bg1"/>
                </a:solidFill>
              </a:ln>
            </c:spPr>
            <c:extLst>
              <c:ext xmlns:c16="http://schemas.microsoft.com/office/drawing/2014/chart" uri="{C3380CC4-5D6E-409C-BE32-E72D297353CC}">
                <c16:uniqueId val="{0000000D-3C2F-4CDD-94D8-1A7E6FCB2538}"/>
              </c:ext>
            </c:extLst>
          </c:dPt>
          <c:dLbls>
            <c:dLbl>
              <c:idx val="0"/>
              <c:delete val="1"/>
              <c:extLst>
                <c:ext xmlns:c15="http://schemas.microsoft.com/office/drawing/2012/chart" uri="{CE6537A1-D6FC-4f65-9D91-7224C49458BB}"/>
                <c:ext xmlns:c16="http://schemas.microsoft.com/office/drawing/2014/chart" uri="{C3380CC4-5D6E-409C-BE32-E72D297353CC}">
                  <c16:uniqueId val="{00000001-3C2F-4CDD-94D8-1A7E6FCB2538}"/>
                </c:ext>
              </c:extLst>
            </c:dLbl>
            <c:dLbl>
              <c:idx val="1"/>
              <c:delete val="1"/>
              <c:extLst>
                <c:ext xmlns:c15="http://schemas.microsoft.com/office/drawing/2012/chart" uri="{CE6537A1-D6FC-4f65-9D91-7224C49458BB}"/>
                <c:ext xmlns:c16="http://schemas.microsoft.com/office/drawing/2014/chart" uri="{C3380CC4-5D6E-409C-BE32-E72D297353CC}">
                  <c16:uniqueId val="{00000003-3C2F-4CDD-94D8-1A7E6FCB2538}"/>
                </c:ext>
              </c:extLst>
            </c:dLbl>
            <c:dLbl>
              <c:idx val="3"/>
              <c:layout>
                <c:manualLayout>
                  <c:x val="1.2185917182589189E-3"/>
                  <c:y val="2.96186506098502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C2F-4CDD-94D8-1A7E6FCB2538}"/>
                </c:ext>
              </c:extLst>
            </c:dLbl>
            <c:dLbl>
              <c:idx val="5"/>
              <c:layout>
                <c:manualLayout>
                  <c:x val="4.5125937229192573E-2"/>
                  <c:y val="6.5514516870958134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C2F-4CDD-94D8-1A7E6FCB2538}"/>
                </c:ext>
              </c:extLst>
            </c:dLbl>
            <c:dLbl>
              <c:idx val="6"/>
              <c:layout>
                <c:manualLayout>
                  <c:x val="-3.109575750725293E-3"/>
                  <c:y val="-2.183077630760072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C2F-4CDD-94D8-1A7E6FCB2538}"/>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'CH4'!$B$7:$B$11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('CH4'!$C$7:$C$11,'CH4'!$C$12,'CH4'!$C$15)</c:f>
              <c:numCache>
                <c:formatCode>0.0</c:formatCode>
                <c:ptCount val="7"/>
                <c:pt idx="0">
                  <c:v>8.3846074399999999</c:v>
                </c:pt>
                <c:pt idx="1">
                  <c:v>0</c:v>
                </c:pt>
                <c:pt idx="2" formatCode="#,##0">
                  <c:v>1894.1885443392107</c:v>
                </c:pt>
                <c:pt idx="3" formatCode="#,##0">
                  <c:v>1087.05064756</c:v>
                </c:pt>
                <c:pt idx="4" formatCode="#,##0">
                  <c:v>1150.1931308574233</c:v>
                </c:pt>
                <c:pt idx="5">
                  <c:v>111.42784071723452</c:v>
                </c:pt>
                <c:pt idx="6">
                  <c:v>0</c:v>
                </c:pt>
              </c:numCache>
            </c:numRef>
          </c:val>
          <c:extLst>
            <c:ext xmlns:c16="http://schemas.microsoft.com/office/drawing/2014/chart" uri="{C3380CC4-5D6E-409C-BE32-E72D297353CC}">
              <c16:uniqueId val="{0000000E-3C2F-4CDD-94D8-1A7E6FCB2538}"/>
            </c:ext>
          </c:extLst>
        </c:ser>
        <c:ser>
          <c:idx val="1"/>
          <c:order val="1"/>
          <c:tx>
            <c:strRef>
              <c:f>'CH4'!$AF$6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3C2F-4CDD-94D8-1A7E6FCB2538}"/>
              </c:ext>
            </c:extLst>
          </c:dPt>
          <c:dPt>
            <c:idx val="1"/>
            <c:bubble3D val="0"/>
            <c:spPr>
              <a:solidFill>
                <a:srgbClr val="0070C0"/>
              </a:solidFill>
              <a:ln>
                <a:solidFill>
                  <a:schemeClr val="bg1"/>
                </a:solidFill>
              </a:ln>
            </c:spPr>
            <c:extLst>
              <c:ext xmlns:c16="http://schemas.microsoft.com/office/drawing/2014/chart" uri="{C3380CC4-5D6E-409C-BE32-E72D297353CC}">
                <c16:uniqueId val="{00000012-3C2F-4CDD-94D8-1A7E6FCB2538}"/>
              </c:ext>
            </c:extLst>
          </c:dPt>
          <c:dPt>
            <c:idx val="2"/>
            <c:bubble3D val="0"/>
            <c:spPr>
              <a:solidFill>
                <a:srgbClr val="B3A2C7"/>
              </a:solidFill>
              <a:ln>
                <a:solidFill>
                  <a:schemeClr val="bg1"/>
                </a:solidFill>
              </a:ln>
            </c:spPr>
            <c:extLst>
              <c:ext xmlns:c16="http://schemas.microsoft.com/office/drawing/2014/chart" uri="{C3380CC4-5D6E-409C-BE32-E72D297353CC}">
                <c16:uniqueId val="{00000014-3C2F-4CDD-94D8-1A7E6FCB2538}"/>
              </c:ext>
            </c:extLst>
          </c:dPt>
          <c:dPt>
            <c:idx val="3"/>
            <c:bubble3D val="0"/>
            <c:spPr>
              <a:solidFill>
                <a:srgbClr val="E0E5B3"/>
              </a:solidFill>
              <a:ln>
                <a:solidFill>
                  <a:schemeClr val="bg1"/>
                </a:solidFill>
              </a:ln>
            </c:spPr>
            <c:extLst>
              <c:ext xmlns:c16="http://schemas.microsoft.com/office/drawing/2014/chart" uri="{C3380CC4-5D6E-409C-BE32-E72D297353CC}">
                <c16:uniqueId val="{00000016-3C2F-4CDD-94D8-1A7E6FCB2538}"/>
              </c:ext>
            </c:extLst>
          </c:dPt>
          <c:dPt>
            <c:idx val="4"/>
            <c:bubble3D val="0"/>
            <c:spPr>
              <a:solidFill>
                <a:srgbClr val="92D050"/>
              </a:solidFill>
              <a:ln>
                <a:solidFill>
                  <a:schemeClr val="bg1"/>
                </a:solidFill>
              </a:ln>
            </c:spPr>
            <c:extLst>
              <c:ext xmlns:c16="http://schemas.microsoft.com/office/drawing/2014/chart" uri="{C3380CC4-5D6E-409C-BE32-E72D297353CC}">
                <c16:uniqueId val="{00000018-3C2F-4CDD-94D8-1A7E6FCB2538}"/>
              </c:ext>
            </c:extLst>
          </c:dPt>
          <c:dPt>
            <c:idx val="5"/>
            <c:bubble3D val="0"/>
            <c:spPr>
              <a:solidFill>
                <a:srgbClr val="7030A0"/>
              </a:solidFill>
              <a:ln>
                <a:solidFill>
                  <a:schemeClr val="bg1"/>
                </a:solidFill>
              </a:ln>
            </c:spPr>
            <c:extLst>
              <c:ext xmlns:c16="http://schemas.microsoft.com/office/drawing/2014/chart" uri="{C3380CC4-5D6E-409C-BE32-E72D297353CC}">
                <c16:uniqueId val="{0000001A-3C2F-4CDD-94D8-1A7E6FCB2538}"/>
              </c:ext>
            </c:extLst>
          </c:dPt>
          <c:dPt>
            <c:idx val="6"/>
            <c:bubble3D val="0"/>
            <c:spPr>
              <a:solidFill>
                <a:srgbClr val="00B050"/>
              </a:solidFill>
              <a:ln>
                <a:solidFill>
                  <a:schemeClr val="bg1"/>
                </a:solidFill>
              </a:ln>
            </c:spPr>
            <c:extLst>
              <c:ext xmlns:c16="http://schemas.microsoft.com/office/drawing/2014/chart" uri="{C3380CC4-5D6E-409C-BE32-E72D297353CC}">
                <c16:uniqueId val="{0000001C-3C2F-4CDD-94D8-1A7E6FCB2538}"/>
              </c:ext>
            </c:extLst>
          </c:dPt>
          <c:dLbls>
            <c:dLbl>
              <c:idx val="0"/>
              <c:delete val="1"/>
              <c:extLst>
                <c:ext xmlns:c15="http://schemas.microsoft.com/office/drawing/2012/chart" uri="{CE6537A1-D6FC-4f65-9D91-7224C49458BB}"/>
                <c:ext xmlns:c16="http://schemas.microsoft.com/office/drawing/2014/chart" uri="{C3380CC4-5D6E-409C-BE32-E72D297353CC}">
                  <c16:uniqueId val="{00000010-3C2F-4CDD-94D8-1A7E6FCB2538}"/>
                </c:ext>
              </c:extLst>
            </c:dLbl>
            <c:dLbl>
              <c:idx val="1"/>
              <c:layout>
                <c:manualLayout>
                  <c:x val="7.4766399156022071E-3"/>
                  <c:y val="-7.5601374570446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C2F-4CDD-94D8-1A7E6FCB2538}"/>
                </c:ext>
              </c:extLst>
            </c:dLbl>
            <c:dLbl>
              <c:idx val="3"/>
              <c:layout>
                <c:manualLayout>
                  <c:x val="-3.6953439960814658E-3"/>
                  <c:y val="-3.632329463971642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3C2F-4CDD-94D8-1A7E6FCB2538}"/>
                </c:ext>
              </c:extLst>
            </c:dLbl>
            <c:dLbl>
              <c:idx val="5"/>
              <c:delete val="1"/>
              <c:extLst>
                <c:ext xmlns:c15="http://schemas.microsoft.com/office/drawing/2012/chart" uri="{CE6537A1-D6FC-4f65-9D91-7224C49458BB}"/>
                <c:ext xmlns:c16="http://schemas.microsoft.com/office/drawing/2014/chart" uri="{C3380CC4-5D6E-409C-BE32-E72D297353CC}">
                  <c16:uniqueId val="{0000001A-3C2F-4CDD-94D8-1A7E6FCB2538}"/>
                </c:ext>
              </c:extLst>
            </c:dLbl>
            <c:dLbl>
              <c:idx val="6"/>
              <c:spPr>
                <a:noFill/>
                <a:ln>
                  <a:noFill/>
                </a:ln>
                <a:effectLst/>
              </c:spPr>
              <c:txPr>
                <a:bodyPr wrap="square" lIns="38100" tIns="19050" rIns="38100" bIns="19050" anchor="ctr">
                  <a:spAutoFit/>
                </a:bodyPr>
                <a:lstStyle/>
                <a:p>
                  <a:pPr>
                    <a:defRPr>
                      <a:solidFill>
                        <a:sysClr val="windowText" lastClr="000000"/>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C-3C2F-4CDD-94D8-1A7E6FCB2538}"/>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'CH4'!$B$7:$B$11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('CH4'!$AF$7:$AF$12,'CH4'!$AF$15)</c:f>
              <c:numCache>
                <c:formatCode>0.0</c:formatCode>
                <c:ptCount val="7"/>
                <c:pt idx="0">
                  <c:v>18.512548390179777</c:v>
                </c:pt>
                <c:pt idx="1">
                  <c:v>0</c:v>
                </c:pt>
                <c:pt idx="2" formatCode="#,##0">
                  <c:v>3913.0732198008245</c:v>
                </c:pt>
                <c:pt idx="3" formatCode="#,##0">
                  <c:v>1556.7318701971196</c:v>
                </c:pt>
                <c:pt idx="4" formatCode="#,##0">
                  <c:v>751.92817495084444</c:v>
                </c:pt>
                <c:pt idx="5">
                  <c:v>38.15264228525141</c:v>
                </c:pt>
                <c:pt idx="6">
                  <c:v>0</c:v>
                </c:pt>
              </c:numCache>
            </c:numRef>
          </c:val>
          <c:extLst>
            <c:ext xmlns:c16="http://schemas.microsoft.com/office/drawing/2014/chart" uri="{C3380CC4-5D6E-409C-BE32-E72D297353CC}">
              <c16:uniqueId val="{0000001D-3C2F-4CDD-94D8-1A7E6FCB2538}"/>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505997558344589E-2"/>
          <c:y val="6.7130443646000557E-2"/>
          <c:w val="0.92091956101877748"/>
          <c:h val="0.76366740565196345"/>
        </c:manualLayout>
      </c:layout>
      <c:areaChart>
        <c:grouping val="stacked"/>
        <c:varyColors val="0"/>
        <c:ser>
          <c:idx val="0"/>
          <c:order val="0"/>
          <c:tx>
            <c:strRef>
              <c:f>N2O!$B$7</c:f>
              <c:strCache>
                <c:ptCount val="1"/>
                <c:pt idx="0">
                  <c:v>Industrie de l'énergie</c:v>
                </c:pt>
              </c:strCache>
            </c:strRef>
          </c:tx>
          <c:spPr>
            <a:solidFill>
              <a:schemeClr val="tx2">
                <a:lumMod val="20000"/>
                <a:lumOff val="80000"/>
              </a:schemeClr>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N2O!$C$7:$AF$7</c:f>
              <c:numCache>
                <c:formatCode>0.0</c:formatCode>
                <c:ptCount val="30"/>
                <c:pt idx="0">
                  <c:v>3.1442277900000004</c:v>
                </c:pt>
                <c:pt idx="1">
                  <c:v>3.2208873450000004</c:v>
                </c:pt>
                <c:pt idx="2">
                  <c:v>3.5917869919050007</c:v>
                </c:pt>
                <c:pt idx="3">
                  <c:v>3.8086784700000003</c:v>
                </c:pt>
                <c:pt idx="4">
                  <c:v>3.9971707901999993</c:v>
                </c:pt>
                <c:pt idx="5">
                  <c:v>3.8183282738999993</c:v>
                </c:pt>
                <c:pt idx="6">
                  <c:v>3.7409600225249999</c:v>
                </c:pt>
                <c:pt idx="7">
                  <c:v>3.5728321568400001</c:v>
                </c:pt>
                <c:pt idx="8">
                  <c:v>3.82049404191</c:v>
                </c:pt>
                <c:pt idx="9">
                  <c:v>5.0067308749499997</c:v>
                </c:pt>
                <c:pt idx="10">
                  <c:v>5.5375459938023237</c:v>
                </c:pt>
                <c:pt idx="11">
                  <c:v>6.1252215346427974</c:v>
                </c:pt>
                <c:pt idx="12">
                  <c:v>7.148478405647599</c:v>
                </c:pt>
                <c:pt idx="13">
                  <c:v>7.2761001816449102</c:v>
                </c:pt>
                <c:pt idx="14">
                  <c:v>7.1427299552085426</c:v>
                </c:pt>
                <c:pt idx="15">
                  <c:v>7.4341190452854082</c:v>
                </c:pt>
                <c:pt idx="16">
                  <c:v>7.533190503012678</c:v>
                </c:pt>
                <c:pt idx="17">
                  <c:v>7.8207850286334573</c:v>
                </c:pt>
                <c:pt idx="18">
                  <c:v>7.9364769688382122</c:v>
                </c:pt>
                <c:pt idx="19">
                  <c:v>8.26656047636199</c:v>
                </c:pt>
                <c:pt idx="20">
                  <c:v>7.2313535845179135</c:v>
                </c:pt>
                <c:pt idx="21">
                  <c:v>7.1198090965745706</c:v>
                </c:pt>
                <c:pt idx="22">
                  <c:v>7.2020514053950686</c:v>
                </c:pt>
                <c:pt idx="23">
                  <c:v>7.2252136286038642</c:v>
                </c:pt>
                <c:pt idx="24">
                  <c:v>6.7501117664781338</c:v>
                </c:pt>
                <c:pt idx="25">
                  <c:v>6.968675266262446</c:v>
                </c:pt>
                <c:pt idx="26">
                  <c:v>6.7578954205780786</c:v>
                </c:pt>
                <c:pt idx="27">
                  <c:v>6.8918593103029275</c:v>
                </c:pt>
                <c:pt idx="28">
                  <c:v>6.8981475883515273</c:v>
                </c:pt>
                <c:pt idx="29">
                  <c:v>6.9422056463174151</c:v>
                </c:pt>
              </c:numCache>
            </c:numRef>
          </c:val>
          <c:extLst>
            <c:ext xmlns:c16="http://schemas.microsoft.com/office/drawing/2014/chart" uri="{C3380CC4-5D6E-409C-BE32-E72D297353CC}">
              <c16:uniqueId val="{00000000-097C-4A92-B77E-6BCD8FE5E2A9}"/>
            </c:ext>
          </c:extLst>
        </c:ser>
        <c:ser>
          <c:idx val="1"/>
          <c:order val="1"/>
          <c:tx>
            <c:strRef>
              <c:f>N2O!$B$8</c:f>
              <c:strCache>
                <c:ptCount val="1"/>
                <c:pt idx="0">
                  <c:v>Industrie manufacturière et construction</c:v>
                </c:pt>
              </c:strCache>
            </c:strRef>
          </c:tx>
          <c:spPr>
            <a:solidFill>
              <a:srgbClr val="0070C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N2O!$C$8:$AF$8</c:f>
              <c:numCache>
                <c:formatCode>0.0</c:formatCode>
                <c:ptCount val="30"/>
                <c:pt idx="0">
                  <c:v>2.4378902280039982</c:v>
                </c:pt>
                <c:pt idx="1">
                  <c:v>2.4906073386039989</c:v>
                </c:pt>
                <c:pt idx="2">
                  <c:v>2.5407136970599984</c:v>
                </c:pt>
                <c:pt idx="3">
                  <c:v>2.5892008871189982</c:v>
                </c:pt>
                <c:pt idx="4">
                  <c:v>2.6374621467039985</c:v>
                </c:pt>
                <c:pt idx="5">
                  <c:v>2.6831503092239983</c:v>
                </c:pt>
                <c:pt idx="6">
                  <c:v>2.7258637205029976</c:v>
                </c:pt>
                <c:pt idx="7">
                  <c:v>2.7720790541289988</c:v>
                </c:pt>
                <c:pt idx="8">
                  <c:v>2.8227000319979982</c:v>
                </c:pt>
                <c:pt idx="9">
                  <c:v>2.8712248771359983</c:v>
                </c:pt>
                <c:pt idx="10">
                  <c:v>2.9237160572619985</c:v>
                </c:pt>
                <c:pt idx="11">
                  <c:v>2.9776757854689979</c:v>
                </c:pt>
                <c:pt idx="12">
                  <c:v>3.0293008987779984</c:v>
                </c:pt>
                <c:pt idx="13">
                  <c:v>3.0789804996719981</c:v>
                </c:pt>
                <c:pt idx="14">
                  <c:v>3.1186061944729984</c:v>
                </c:pt>
                <c:pt idx="15">
                  <c:v>3.1572528572199987</c:v>
                </c:pt>
                <c:pt idx="16">
                  <c:v>3.1949832463779986</c:v>
                </c:pt>
                <c:pt idx="17">
                  <c:v>3.2583692960279986</c:v>
                </c:pt>
                <c:pt idx="18">
                  <c:v>3.2709711957999978</c:v>
                </c:pt>
                <c:pt idx="19">
                  <c:v>3.3123917826999985</c:v>
                </c:pt>
                <c:pt idx="20">
                  <c:v>3.3513020309999977</c:v>
                </c:pt>
                <c:pt idx="21">
                  <c:v>3.3563519954836658</c:v>
                </c:pt>
                <c:pt idx="22">
                  <c:v>3.3664519244509976</c:v>
                </c:pt>
                <c:pt idx="23">
                  <c:v>3.3764054169999982</c:v>
                </c:pt>
                <c:pt idx="24">
                  <c:v>3.3952329564999979</c:v>
                </c:pt>
                <c:pt idx="25">
                  <c:v>3.3607901872285684</c:v>
                </c:pt>
                <c:pt idx="26">
                  <c:v>3.3363220201142831</c:v>
                </c:pt>
                <c:pt idx="27">
                  <c:v>3.3949968857419979</c:v>
                </c:pt>
                <c:pt idx="28">
                  <c:v>3.4166648795509982</c:v>
                </c:pt>
                <c:pt idx="29">
                  <c:v>3.4255363295999985</c:v>
                </c:pt>
              </c:numCache>
            </c:numRef>
          </c:val>
          <c:extLst>
            <c:ext xmlns:c16="http://schemas.microsoft.com/office/drawing/2014/chart" uri="{C3380CC4-5D6E-409C-BE32-E72D297353CC}">
              <c16:uniqueId val="{00000001-097C-4A92-B77E-6BCD8FE5E2A9}"/>
            </c:ext>
          </c:extLst>
        </c:ser>
        <c:ser>
          <c:idx val="2"/>
          <c:order val="2"/>
          <c:tx>
            <c:strRef>
              <c:f>N2O!$B$9</c:f>
              <c:strCache>
                <c:ptCount val="1"/>
                <c:pt idx="0">
                  <c:v>Traitement centralisé des déchets</c:v>
                </c:pt>
              </c:strCache>
            </c:strRef>
          </c:tx>
          <c:spPr>
            <a:solidFill>
              <a:schemeClr val="accent4">
                <a:lumMod val="60000"/>
                <a:lumOff val="40000"/>
              </a:schemeClr>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N2O!$C$9:$AF$9</c:f>
              <c:numCache>
                <c:formatCode>#\ ##0.0</c:formatCode>
                <c:ptCount val="30"/>
                <c:pt idx="0">
                  <c:v>9.751560912015993</c:v>
                </c:pt>
                <c:pt idx="1">
                  <c:v>10.454559229775702</c:v>
                </c:pt>
                <c:pt idx="2">
                  <c:v>11.44239246417523</c:v>
                </c:pt>
                <c:pt idx="3">
                  <c:v>12.817452925274523</c:v>
                </c:pt>
                <c:pt idx="4">
                  <c:v>10.549848586815994</c:v>
                </c:pt>
                <c:pt idx="5">
                  <c:v>10.732601236895993</c:v>
                </c:pt>
                <c:pt idx="6">
                  <c:v>10.903454882011991</c:v>
                </c:pt>
                <c:pt idx="7">
                  <c:v>11.088316216515995</c:v>
                </c:pt>
                <c:pt idx="8">
                  <c:v>11.290800127991993</c:v>
                </c:pt>
                <c:pt idx="9">
                  <c:v>11.484899508543993</c:v>
                </c:pt>
                <c:pt idx="10">
                  <c:v>11.694864229047994</c:v>
                </c:pt>
                <c:pt idx="11">
                  <c:v>11.910703141875992</c:v>
                </c:pt>
                <c:pt idx="12">
                  <c:v>12.117203595111993</c:v>
                </c:pt>
                <c:pt idx="13">
                  <c:v>12.315921998687992</c:v>
                </c:pt>
                <c:pt idx="14">
                  <c:v>13.112180872127798</c:v>
                </c:pt>
                <c:pt idx="15">
                  <c:v>13.261265256882703</c:v>
                </c:pt>
                <c:pt idx="16">
                  <c:v>13.411321017772805</c:v>
                </c:pt>
                <c:pt idx="17">
                  <c:v>13.66049247896577</c:v>
                </c:pt>
                <c:pt idx="18">
                  <c:v>13.708267369690205</c:v>
                </c:pt>
                <c:pt idx="19">
                  <c:v>13.875434037306979</c:v>
                </c:pt>
                <c:pt idx="20">
                  <c:v>14.039953403614714</c:v>
                </c:pt>
                <c:pt idx="21">
                  <c:v>14.05354236809775</c:v>
                </c:pt>
                <c:pt idx="22">
                  <c:v>14.213837784699193</c:v>
                </c:pt>
                <c:pt idx="23">
                  <c:v>14.251719456635392</c:v>
                </c:pt>
                <c:pt idx="24">
                  <c:v>14.378429176519173</c:v>
                </c:pt>
                <c:pt idx="25">
                  <c:v>14.387189739997609</c:v>
                </c:pt>
                <c:pt idx="26">
                  <c:v>14.437977762374588</c:v>
                </c:pt>
                <c:pt idx="27">
                  <c:v>14.815193179401449</c:v>
                </c:pt>
                <c:pt idx="28">
                  <c:v>15.044612918218803</c:v>
                </c:pt>
                <c:pt idx="29">
                  <c:v>15.221835572718387</c:v>
                </c:pt>
              </c:numCache>
            </c:numRef>
          </c:val>
          <c:extLst>
            <c:ext xmlns:c16="http://schemas.microsoft.com/office/drawing/2014/chart" uri="{C3380CC4-5D6E-409C-BE32-E72D297353CC}">
              <c16:uniqueId val="{00000002-097C-4A92-B77E-6BCD8FE5E2A9}"/>
            </c:ext>
          </c:extLst>
        </c:ser>
        <c:ser>
          <c:idx val="3"/>
          <c:order val="3"/>
          <c:tx>
            <c:strRef>
              <c:f>N2O!$B$10</c:f>
              <c:strCache>
                <c:ptCount val="1"/>
                <c:pt idx="0">
                  <c:v>Usage des bâtiments et activités résidentiels/tertiaires</c:v>
                </c:pt>
              </c:strCache>
            </c:strRef>
          </c:tx>
          <c:spPr>
            <a:solidFill>
              <a:srgbClr val="E0E5B3"/>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N2O!$C$10:$AF$10</c:f>
              <c:numCache>
                <c:formatCode>#\ ##0.0</c:formatCode>
                <c:ptCount val="30"/>
                <c:pt idx="0">
                  <c:v>1.4362846939177665</c:v>
                </c:pt>
                <c:pt idx="1">
                  <c:v>1.4603256621390086</c:v>
                </c:pt>
                <c:pt idx="2">
                  <c:v>1.4827167438737998</c:v>
                </c:pt>
                <c:pt idx="3">
                  <c:v>1.5025313257981825</c:v>
                </c:pt>
                <c:pt idx="4">
                  <c:v>1.5302856927349393</c:v>
                </c:pt>
                <c:pt idx="5">
                  <c:v>1.8159084660014084</c:v>
                </c:pt>
                <c:pt idx="6">
                  <c:v>1.5648523677613693</c:v>
                </c:pt>
                <c:pt idx="7">
                  <c:v>1.5785070109517354</c:v>
                </c:pt>
                <c:pt idx="8">
                  <c:v>1.6035211029272292</c:v>
                </c:pt>
                <c:pt idx="9">
                  <c:v>1.6346710628433772</c:v>
                </c:pt>
                <c:pt idx="10">
                  <c:v>1.6637063924812754</c:v>
                </c:pt>
                <c:pt idx="11">
                  <c:v>1.6894295608577761</c:v>
                </c:pt>
                <c:pt idx="12">
                  <c:v>1.7067774771694717</c:v>
                </c:pt>
                <c:pt idx="13">
                  <c:v>1.7387809646030579</c:v>
                </c:pt>
                <c:pt idx="14">
                  <c:v>1.7603025863297028</c:v>
                </c:pt>
                <c:pt idx="15">
                  <c:v>1.7767091843668652</c:v>
                </c:pt>
                <c:pt idx="16">
                  <c:v>1.7928921124799535</c:v>
                </c:pt>
                <c:pt idx="17">
                  <c:v>1.8233518850616517</c:v>
                </c:pt>
                <c:pt idx="18">
                  <c:v>1.8288523037395152</c:v>
                </c:pt>
                <c:pt idx="19">
                  <c:v>1.8466405906229146</c:v>
                </c:pt>
                <c:pt idx="20">
                  <c:v>1.8680896722669942</c:v>
                </c:pt>
                <c:pt idx="21">
                  <c:v>1.8742080690618441</c:v>
                </c:pt>
                <c:pt idx="22">
                  <c:v>1.8741643731107609</c:v>
                </c:pt>
                <c:pt idx="23">
                  <c:v>1.8839903660866457</c:v>
                </c:pt>
                <c:pt idx="24">
                  <c:v>1.8836056369547585</c:v>
                </c:pt>
                <c:pt idx="25">
                  <c:v>1.8865596611673912</c:v>
                </c:pt>
                <c:pt idx="26">
                  <c:v>1.876362927221348</c:v>
                </c:pt>
                <c:pt idx="27">
                  <c:v>1.8933058631052946</c:v>
                </c:pt>
                <c:pt idx="28">
                  <c:v>1.9090824040443586</c:v>
                </c:pt>
                <c:pt idx="29">
                  <c:v>1.9065134815223574</c:v>
                </c:pt>
              </c:numCache>
            </c:numRef>
          </c:val>
          <c:extLst>
            <c:ext xmlns:c16="http://schemas.microsoft.com/office/drawing/2014/chart" uri="{C3380CC4-5D6E-409C-BE32-E72D297353CC}">
              <c16:uniqueId val="{00000003-097C-4A92-B77E-6BCD8FE5E2A9}"/>
            </c:ext>
          </c:extLst>
        </c:ser>
        <c:ser>
          <c:idx val="4"/>
          <c:order val="4"/>
          <c:tx>
            <c:strRef>
              <c:f>N2O!$B$11</c:f>
              <c:strCache>
                <c:ptCount val="1"/>
                <c:pt idx="0">
                  <c:v>Agriculture</c:v>
                </c:pt>
              </c:strCache>
            </c:strRef>
          </c:tx>
          <c:spPr>
            <a:solidFill>
              <a:srgbClr val="92D05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N2O!$C$11:$AF$11</c:f>
              <c:numCache>
                <c:formatCode>#,##0</c:formatCode>
                <c:ptCount val="30"/>
                <c:pt idx="0">
                  <c:v>113.84452172801869</c:v>
                </c:pt>
                <c:pt idx="1">
                  <c:v>110.97114149009479</c:v>
                </c:pt>
                <c:pt idx="2">
                  <c:v>107.88610061444859</c:v>
                </c:pt>
                <c:pt idx="3">
                  <c:v>103.62666914671908</c:v>
                </c:pt>
                <c:pt idx="4">
                  <c:v>99.376758830892754</c:v>
                </c:pt>
                <c:pt idx="5">
                  <c:v>96.688556219100491</c:v>
                </c:pt>
                <c:pt idx="6">
                  <c:v>94.861220896190218</c:v>
                </c:pt>
                <c:pt idx="7">
                  <c:v>94.008707877694775</c:v>
                </c:pt>
                <c:pt idx="8">
                  <c:v>93.294655907225405</c:v>
                </c:pt>
                <c:pt idx="9">
                  <c:v>92.43642910140403</c:v>
                </c:pt>
                <c:pt idx="10">
                  <c:v>91.141297304865134</c:v>
                </c:pt>
                <c:pt idx="11">
                  <c:v>90.101515348623394</c:v>
                </c:pt>
                <c:pt idx="12">
                  <c:v>92.74053963157462</c:v>
                </c:pt>
                <c:pt idx="13">
                  <c:v>89.476690233306158</c:v>
                </c:pt>
                <c:pt idx="14">
                  <c:v>90.409774788276792</c:v>
                </c:pt>
                <c:pt idx="15">
                  <c:v>86.162462155285382</c:v>
                </c:pt>
                <c:pt idx="16">
                  <c:v>85.212166888894728</c:v>
                </c:pt>
                <c:pt idx="17">
                  <c:v>86.288271479064093</c:v>
                </c:pt>
                <c:pt idx="18">
                  <c:v>86.905649348376869</c:v>
                </c:pt>
                <c:pt idx="19">
                  <c:v>86.653191651341672</c:v>
                </c:pt>
                <c:pt idx="20">
                  <c:v>86.043233414924458</c:v>
                </c:pt>
                <c:pt idx="21">
                  <c:v>86.430795043852683</c:v>
                </c:pt>
                <c:pt idx="22">
                  <c:v>85.316412526470984</c:v>
                </c:pt>
                <c:pt idx="23">
                  <c:v>86.602285340723881</c:v>
                </c:pt>
                <c:pt idx="24">
                  <c:v>88.551078737664511</c:v>
                </c:pt>
                <c:pt idx="25">
                  <c:v>87.054413127475129</c:v>
                </c:pt>
                <c:pt idx="26">
                  <c:v>84.404443800691993</c:v>
                </c:pt>
                <c:pt idx="27">
                  <c:v>85.552355908092238</c:v>
                </c:pt>
                <c:pt idx="28">
                  <c:v>84.054138118583495</c:v>
                </c:pt>
                <c:pt idx="29">
                  <c:v>86.546946324751261</c:v>
                </c:pt>
              </c:numCache>
            </c:numRef>
          </c:val>
          <c:extLst>
            <c:ext xmlns:c16="http://schemas.microsoft.com/office/drawing/2014/chart" uri="{C3380CC4-5D6E-409C-BE32-E72D297353CC}">
              <c16:uniqueId val="{00000004-097C-4A92-B77E-6BCD8FE5E2A9}"/>
            </c:ext>
          </c:extLst>
        </c:ser>
        <c:ser>
          <c:idx val="5"/>
          <c:order val="5"/>
          <c:tx>
            <c:strRef>
              <c:f>N2O!$B$12</c:f>
              <c:strCache>
                <c:ptCount val="1"/>
                <c:pt idx="0">
                  <c:v>Transports</c:v>
                </c:pt>
              </c:strCache>
            </c:strRef>
          </c:tx>
          <c:spPr>
            <a:solidFill>
              <a:srgbClr val="7030A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N2O!$C$12:$AF$12</c:f>
              <c:numCache>
                <c:formatCode>0.0</c:formatCode>
                <c:ptCount val="30"/>
                <c:pt idx="0">
                  <c:v>13.539395513509264</c:v>
                </c:pt>
                <c:pt idx="1">
                  <c:v>12.32652476643921</c:v>
                </c:pt>
                <c:pt idx="2">
                  <c:v>12.800315171414393</c:v>
                </c:pt>
                <c:pt idx="3">
                  <c:v>13.542365348159777</c:v>
                </c:pt>
                <c:pt idx="4">
                  <c:v>16.402038704465632</c:v>
                </c:pt>
                <c:pt idx="5">
                  <c:v>20.114071259305792</c:v>
                </c:pt>
                <c:pt idx="6">
                  <c:v>24.937177462022415</c:v>
                </c:pt>
                <c:pt idx="7">
                  <c:v>29.765541651061689</c:v>
                </c:pt>
                <c:pt idx="8">
                  <c:v>32.043961511339951</c:v>
                </c:pt>
                <c:pt idx="9">
                  <c:v>34.982851886261749</c:v>
                </c:pt>
                <c:pt idx="10">
                  <c:v>18.64807786276354</c:v>
                </c:pt>
                <c:pt idx="11">
                  <c:v>17.909733201350353</c:v>
                </c:pt>
                <c:pt idx="12">
                  <c:v>19.397837009681101</c:v>
                </c:pt>
                <c:pt idx="13">
                  <c:v>19.742352074416953</c:v>
                </c:pt>
                <c:pt idx="14">
                  <c:v>21.549271694665997</c:v>
                </c:pt>
                <c:pt idx="15">
                  <c:v>21.065979904066609</c:v>
                </c:pt>
                <c:pt idx="16">
                  <c:v>20.258861610295753</c:v>
                </c:pt>
                <c:pt idx="17">
                  <c:v>19.579925184344408</c:v>
                </c:pt>
                <c:pt idx="18">
                  <c:v>18.271541104369085</c:v>
                </c:pt>
                <c:pt idx="19">
                  <c:v>17.255578271623691</c:v>
                </c:pt>
                <c:pt idx="20">
                  <c:v>17.33702293731746</c:v>
                </c:pt>
                <c:pt idx="21">
                  <c:v>16.276665230242472</c:v>
                </c:pt>
                <c:pt idx="22">
                  <c:v>15.480587828002831</c:v>
                </c:pt>
                <c:pt idx="23">
                  <c:v>15.264933951404613</c:v>
                </c:pt>
                <c:pt idx="24">
                  <c:v>14.747820440741805</c:v>
                </c:pt>
                <c:pt idx="25">
                  <c:v>14.998841252831363</c:v>
                </c:pt>
                <c:pt idx="26">
                  <c:v>16.051880658452752</c:v>
                </c:pt>
                <c:pt idx="27">
                  <c:v>15.345614004673781</c:v>
                </c:pt>
                <c:pt idx="28">
                  <c:v>15.486634318078409</c:v>
                </c:pt>
                <c:pt idx="29">
                  <c:v>16.536992401555544</c:v>
                </c:pt>
              </c:numCache>
            </c:numRef>
          </c:val>
          <c:extLst>
            <c:ext xmlns:c16="http://schemas.microsoft.com/office/drawing/2014/chart" uri="{C3380CC4-5D6E-409C-BE32-E72D297353CC}">
              <c16:uniqueId val="{00000005-097C-4A92-B77E-6BCD8FE5E2A9}"/>
            </c:ext>
          </c:extLst>
        </c:ser>
        <c:ser>
          <c:idx val="6"/>
          <c:order val="6"/>
          <c:tx>
            <c:strRef>
              <c:f>N2O!$B$15</c:f>
              <c:strCache>
                <c:ptCount val="1"/>
                <c:pt idx="0">
                  <c:v>UTCATF</c:v>
                </c:pt>
              </c:strCache>
            </c:strRef>
          </c:tx>
          <c:spPr>
            <a:solidFill>
              <a:srgbClr val="00B050"/>
            </a:solidFill>
            <a:ln>
              <a:solidFill>
                <a:schemeClr val="bg1"/>
              </a:solidFill>
            </a:ln>
          </c:spPr>
          <c:cat>
            <c:numRef>
              <c:f>N2O!$C$6:$AF$6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N2O!$C$15:$AF$15</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097C-4A92-B77E-6BCD8FE5E2A9}"/>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413657</xdr:colOff>
      <xdr:row>24</xdr:row>
      <xdr:rowOff>87087</xdr:rowOff>
    </xdr:from>
    <xdr:to>
      <xdr:col>12</xdr:col>
      <xdr:colOff>772887</xdr:colOff>
      <xdr:row>54</xdr:row>
      <xdr:rowOff>130628</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xdr:colOff>
      <xdr:row>56</xdr:row>
      <xdr:rowOff>152400</xdr:rowOff>
    </xdr:from>
    <xdr:to>
      <xdr:col>23</xdr:col>
      <xdr:colOff>391887</xdr:colOff>
      <xdr:row>86</xdr:row>
      <xdr:rowOff>130628</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402772</xdr:colOff>
      <xdr:row>56</xdr:row>
      <xdr:rowOff>152401</xdr:rowOff>
    </xdr:from>
    <xdr:to>
      <xdr:col>12</xdr:col>
      <xdr:colOff>740230</xdr:colOff>
      <xdr:row>86</xdr:row>
      <xdr:rowOff>130629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381001</xdr:colOff>
      <xdr:row>5</xdr:row>
      <xdr:rowOff>32657</xdr:rowOff>
    </xdr:from>
    <xdr:to>
      <xdr:col>8</xdr:col>
      <xdr:colOff>185058</xdr:colOff>
      <xdr:row>20</xdr:row>
      <xdr:rowOff>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userShapes>
</file>

<file path=xl/drawings/drawing11.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904433FA-9762-4D99-9E3A-6CE830F68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215900</xdr:colOff>
      <xdr:row>25</xdr:row>
      <xdr:rowOff>101600</xdr:rowOff>
    </xdr:from>
    <xdr:to>
      <xdr:col>17</xdr:col>
      <xdr:colOff>9524</xdr:colOff>
      <xdr:row>34</xdr:row>
      <xdr:rowOff>63500</xdr:rowOff>
    </xdr:to>
    <xdr:graphicFrame macro="">
      <xdr:nvGraphicFramePr>
        <xdr:cNvPr id="3" name="Graphique 28">
          <a:extLst>
            <a:ext uri="{FF2B5EF4-FFF2-40B4-BE49-F238E27FC236}">
              <a16:creationId xmlns:a16="http://schemas.microsoft.com/office/drawing/2014/main" id="{B0A4F41A-20B7-4E6C-B4C5-4B54E425D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dr:relSizeAnchor xmlns:cdr="http://schemas.openxmlformats.org/drawingml/2006/chartDrawing">
    <cdr:from>
      <cdr:x>0.82976</cdr:x>
      <cdr:y>0.06206</cdr:y>
    </cdr:from>
    <cdr:to>
      <cdr:x>0.98477</cdr:x>
      <cdr:y>0.09182</cdr:y>
    </cdr:to>
    <cdr:sp macro="" textlink="">
      <cdr:nvSpPr>
        <cdr:cNvPr id="14" name="Text Box 36">
          <a:extLst xmlns:a="http://schemas.openxmlformats.org/drawingml/2006/main">
            <a:ext uri="{FF2B5EF4-FFF2-40B4-BE49-F238E27FC236}">
              <a16:creationId xmlns:a16="http://schemas.microsoft.com/office/drawing/2014/main" id="{31C59DC9-9733-467B-84FE-706118A4A10C}"/>
            </a:ext>
          </a:extLst>
        </cdr:cNvPr>
        <cdr:cNvSpPr txBox="1">
          <a:spLocks xmlns:a="http://schemas.openxmlformats.org/drawingml/2006/main" noChangeArrowheads="1"/>
        </cdr:cNvSpPr>
      </cdr:nvSpPr>
      <cdr:spPr bwMode="auto">
        <a:xfrm xmlns:a="http://schemas.openxmlformats.org/drawingml/2006/main">
          <a:off x="6422857" y="247683"/>
          <a:ext cx="1199896" cy="118763"/>
        </a:xfrm>
        <a:prstGeom xmlns:a="http://schemas.openxmlformats.org/drawingml/2006/main" prst="rect">
          <a:avLst/>
        </a:prstGeom>
        <a:solidFill xmlns:a="http://schemas.openxmlformats.org/drawingml/2006/main">
          <a:srgbClr val="00B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UTCATF</a:t>
          </a:r>
        </a:p>
      </cdr:txBody>
    </cdr:sp>
  </cdr:relSizeAnchor>
</c:userShapes>
</file>

<file path=xl/drawings/drawing14.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15.xml><?xml version="1.0" encoding="utf-8"?>
<xdr:wsDr xmlns:xdr="http://schemas.openxmlformats.org/drawingml/2006/spreadsheetDrawing" xmlns:a="http://schemas.openxmlformats.org/drawingml/2006/main">
  <xdr:twoCellAnchor>
    <xdr:from>
      <xdr:col>11</xdr:col>
      <xdr:colOff>403860</xdr:colOff>
      <xdr:row>7</xdr:row>
      <xdr:rowOff>156210</xdr:rowOff>
    </xdr:from>
    <xdr:to>
      <xdr:col>17</xdr:col>
      <xdr:colOff>220980</xdr:colOff>
      <xdr:row>22</xdr:row>
      <xdr:rowOff>156210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22</xdr:row>
      <xdr:rowOff>158750</xdr:rowOff>
    </xdr:from>
    <xdr:to>
      <xdr:col>11</xdr:col>
      <xdr:colOff>317500</xdr:colOff>
      <xdr:row>44</xdr:row>
      <xdr:rowOff>28575</xdr:rowOff>
    </xdr:to>
    <xdr:graphicFrame macro="">
      <xdr:nvGraphicFramePr>
        <xdr:cNvPr id="2" name="Graphique 3">
          <a:extLst>
            <a:ext uri="{FF2B5EF4-FFF2-40B4-BE49-F238E27FC236}">
              <a16:creationId xmlns:a16="http://schemas.microsoft.com/office/drawing/2014/main" id="{0C4E66DB-B16D-4B2E-9CED-474B5C735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215900</xdr:colOff>
      <xdr:row>25</xdr:row>
      <xdr:rowOff>101600</xdr:rowOff>
    </xdr:from>
    <xdr:to>
      <xdr:col>17</xdr:col>
      <xdr:colOff>9524</xdr:colOff>
      <xdr:row>34</xdr:row>
      <xdr:rowOff>63500</xdr:rowOff>
    </xdr:to>
    <xdr:graphicFrame macro="">
      <xdr:nvGraphicFramePr>
        <xdr:cNvPr id="3" name="Graphique 28">
          <a:extLst>
            <a:ext uri="{FF2B5EF4-FFF2-40B4-BE49-F238E27FC236}">
              <a16:creationId xmlns:a16="http://schemas.microsoft.com/office/drawing/2014/main" id="{2D205A24-D80F-4FB4-8A53-5CC2142C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dr:relSizeAnchor xmlns:cdr="http://schemas.openxmlformats.org/drawingml/2006/chartDrawing">
    <cdr:from>
      <cdr:x>0.82976</cdr:x>
      <cdr:y>0.06206</cdr:y>
    </cdr:from>
    <cdr:to>
      <cdr:x>0.98477</cdr:x>
      <cdr:y>0.09182</cdr:y>
    </cdr:to>
    <cdr:sp macro="" textlink="">
      <cdr:nvSpPr>
        <cdr:cNvPr id="14" name="Text Box 36">
          <a:extLst xmlns:a="http://schemas.openxmlformats.org/drawingml/2006/main">
            <a:ext uri="{FF2B5EF4-FFF2-40B4-BE49-F238E27FC236}">
              <a16:creationId xmlns:a16="http://schemas.microsoft.com/office/drawing/2014/main" id="{31C59DC9-9733-467B-84FE-706118A4A10C}"/>
            </a:ext>
          </a:extLst>
        </cdr:cNvPr>
        <cdr:cNvSpPr txBox="1">
          <a:spLocks xmlns:a="http://schemas.openxmlformats.org/drawingml/2006/main" noChangeArrowheads="1"/>
        </cdr:cNvSpPr>
      </cdr:nvSpPr>
      <cdr:spPr bwMode="auto">
        <a:xfrm xmlns:a="http://schemas.openxmlformats.org/drawingml/2006/main">
          <a:off x="6422857" y="247683"/>
          <a:ext cx="1199896" cy="118763"/>
        </a:xfrm>
        <a:prstGeom xmlns:a="http://schemas.openxmlformats.org/drawingml/2006/main" prst="rect">
          <a:avLst/>
        </a:prstGeom>
        <a:solidFill xmlns:a="http://schemas.openxmlformats.org/drawingml/2006/main">
          <a:srgbClr val="00B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UTCATF</a:t>
          </a:r>
        </a:p>
      </cdr:txBody>
    </cdr:sp>
  </cdr:relSizeAnchor>
</c:userShapes>
</file>

<file path=xl/drawings/drawing5.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DE2A3A79-A9BA-4433-8231-258F8B23B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215900</xdr:colOff>
      <xdr:row>25</xdr:row>
      <xdr:rowOff>101600</xdr:rowOff>
    </xdr:from>
    <xdr:to>
      <xdr:col>17</xdr:col>
      <xdr:colOff>9524</xdr:colOff>
      <xdr:row>34</xdr:row>
      <xdr:rowOff>63500</xdr:rowOff>
    </xdr:to>
    <xdr:graphicFrame macro="">
      <xdr:nvGraphicFramePr>
        <xdr:cNvPr id="3" name="Graphique 28">
          <a:extLst>
            <a:ext uri="{FF2B5EF4-FFF2-40B4-BE49-F238E27FC236}">
              <a16:creationId xmlns:a16="http://schemas.microsoft.com/office/drawing/2014/main" id="{EB64546F-D604-4068-B93F-482BA675D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dr:relSizeAnchor xmlns:cdr="http://schemas.openxmlformats.org/drawingml/2006/chartDrawing">
    <cdr:from>
      <cdr:x>0.82976</cdr:x>
      <cdr:y>0.06206</cdr:y>
    </cdr:from>
    <cdr:to>
      <cdr:x>0.98477</cdr:x>
      <cdr:y>0.09182</cdr:y>
    </cdr:to>
    <cdr:sp macro="" textlink="">
      <cdr:nvSpPr>
        <cdr:cNvPr id="14" name="Text Box 36">
          <a:extLst xmlns:a="http://schemas.openxmlformats.org/drawingml/2006/main">
            <a:ext uri="{FF2B5EF4-FFF2-40B4-BE49-F238E27FC236}">
              <a16:creationId xmlns:a16="http://schemas.microsoft.com/office/drawing/2014/main" id="{31C59DC9-9733-467B-84FE-706118A4A10C}"/>
            </a:ext>
          </a:extLst>
        </cdr:cNvPr>
        <cdr:cNvSpPr txBox="1">
          <a:spLocks xmlns:a="http://schemas.openxmlformats.org/drawingml/2006/main" noChangeArrowheads="1"/>
        </cdr:cNvSpPr>
      </cdr:nvSpPr>
      <cdr:spPr bwMode="auto">
        <a:xfrm xmlns:a="http://schemas.openxmlformats.org/drawingml/2006/main">
          <a:off x="6422857" y="247683"/>
          <a:ext cx="1199896" cy="118763"/>
        </a:xfrm>
        <a:prstGeom xmlns:a="http://schemas.openxmlformats.org/drawingml/2006/main" prst="rect">
          <a:avLst/>
        </a:prstGeom>
        <a:solidFill xmlns:a="http://schemas.openxmlformats.org/drawingml/2006/main">
          <a:srgbClr val="00B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UTCATF</a:t>
          </a:r>
        </a:p>
      </cdr:txBody>
    </cdr:sp>
  </cdr:relSizeAnchor>
</c:userShapes>
</file>

<file path=xl/drawings/drawing8.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5001A243-CB46-4DBF-A817-A0DC58D7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120650</xdr:colOff>
      <xdr:row>25</xdr:row>
      <xdr:rowOff>69850</xdr:rowOff>
    </xdr:from>
    <xdr:to>
      <xdr:col>16</xdr:col>
      <xdr:colOff>314324</xdr:colOff>
      <xdr:row>34</xdr:row>
      <xdr:rowOff>31750</xdr:rowOff>
    </xdr:to>
    <xdr:graphicFrame macro="">
      <xdr:nvGraphicFramePr>
        <xdr:cNvPr id="3" name="Graphique 28">
          <a:extLst>
            <a:ext uri="{FF2B5EF4-FFF2-40B4-BE49-F238E27FC236}">
              <a16:creationId xmlns:a16="http://schemas.microsoft.com/office/drawing/2014/main" id="{E5FCF4F4-7E08-416A-B27D-62575CD09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serveur\INVENTAIRE\windows\TEMP\Common%20Reporting%20Format%20V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itepa\INVENTAIRE\FICHES\En%20cours\En_chantier\06-AGRICULTURE\Elevag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ow r="4">
          <cell r="C4" t="str">
            <v>Country</v>
          </cell>
        </row>
        <row r="6">
          <cell r="C6" t="str">
            <v>Year</v>
          </cell>
        </row>
        <row r="30">
          <cell r="C30"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énérique"/>
      <sheetName val="Références"/>
      <sheetName val="Suivi"/>
      <sheetName val="Cheptels"/>
      <sheetName val="FE"/>
      <sheetName val="Emissions"/>
      <sheetName val="Mode_Gestion"/>
      <sheetName val="Fermentation_CH4"/>
      <sheetName val="Déjections_CH4"/>
      <sheetName val="Déjections_N2O"/>
      <sheetName val="Déjections_NH3"/>
      <sheetName val="Export_culture"/>
      <sheetName val="Export_ACTIV"/>
      <sheetName val="cheptels DT"/>
      <sheetName val="DOM-TOM 1 (CH4 et NH3)"/>
      <sheetName val="dom-Export_ACTIV"/>
      <sheetName val="tom-Export_EMIS"/>
      <sheetName val="dom-Export_EMIS"/>
      <sheetName val="Export_EMIS"/>
      <sheetName val="tom-Export_ACTIV"/>
      <sheetName val="DOM-TOM 2 (N2O)"/>
      <sheetName val="DOM-TOM 3 (TSP- PM10-PM2.5)"/>
      <sheetName val="Export CRF-int"/>
      <sheetName val="Export CRF"/>
      <sheetName val="déjection-old"/>
      <sheetName val="Beck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500" t="s">
        <v>0</v>
      </c>
      <c r="C2" s="500"/>
      <c r="D2" s="500"/>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J6" si="0">C7+C8</f>
        <v>44.589194378546985</v>
      </c>
      <c r="D6" s="2">
        <f t="shared" si="0"/>
        <v>44.183460548949483</v>
      </c>
      <c r="E6" s="2">
        <f t="shared" si="0"/>
        <v>42.065009828513986</v>
      </c>
      <c r="F6" s="2">
        <f t="shared" si="0"/>
        <v>39.796923153998563</v>
      </c>
      <c r="G6" s="2">
        <f t="shared" si="0"/>
        <v>37.379200525403206</v>
      </c>
      <c r="H6" s="2">
        <f t="shared" si="0"/>
        <v>34.811841942727909</v>
      </c>
      <c r="I6" s="2">
        <f t="shared" si="0"/>
        <v>32.094847405972693</v>
      </c>
      <c r="J6" s="2">
        <f t="shared" si="0"/>
        <v>29.228216915137544</v>
      </c>
      <c r="K6" s="2"/>
      <c r="L6" s="2"/>
      <c r="M6" s="2"/>
      <c r="N6" s="2"/>
      <c r="V6" s="2" t="s">
        <v>4</v>
      </c>
      <c r="W6" s="2">
        <f t="shared" ref="W6:AD6" si="1">W7+W8</f>
        <v>44.589194378546985</v>
      </c>
      <c r="X6" s="2">
        <f t="shared" si="1"/>
        <v>45.331085542662912</v>
      </c>
      <c r="Y6" s="2">
        <f t="shared" si="1"/>
        <v>48.865014743190493</v>
      </c>
      <c r="Z6" s="2">
        <f t="shared" si="1"/>
        <v>52.106399576964613</v>
      </c>
      <c r="AA6" s="2">
        <f t="shared" si="1"/>
        <v>55.055240043985293</v>
      </c>
      <c r="AB6" s="2">
        <f t="shared" si="1"/>
        <v>57.711536144252513</v>
      </c>
      <c r="AC6" s="2">
        <f t="shared" si="1"/>
        <v>60.075287877766286</v>
      </c>
      <c r="AD6" s="2">
        <f t="shared" si="1"/>
        <v>62.146495244526605</v>
      </c>
    </row>
    <row r="7" spans="2:30">
      <c r="B7" s="2" t="s">
        <v>5</v>
      </c>
      <c r="C7" s="2">
        <f>Agriculture!D19</f>
        <v>25.790990004775875</v>
      </c>
      <c r="D7" s="2">
        <f>Agriculture!G19</f>
        <v>25.55630809832763</v>
      </c>
      <c r="E7" s="2">
        <f>Agriculture!J19</f>
        <v>24.330967696513838</v>
      </c>
      <c r="F7" s="2">
        <f>Agriculture!M19</f>
        <v>23.019075845412427</v>
      </c>
      <c r="G7" s="2">
        <f>Agriculture!P19</f>
        <v>21.620632545023398</v>
      </c>
      <c r="H7" s="2">
        <f>Agriculture!S19</f>
        <v>20.135637795346742</v>
      </c>
      <c r="I7" s="2">
        <f>Agriculture!V19</f>
        <v>18.564091596382472</v>
      </c>
      <c r="J7" s="2">
        <f>Agriculture!Y19</f>
        <v>16.905993948130583</v>
      </c>
      <c r="K7" s="2"/>
      <c r="L7" s="2"/>
      <c r="M7" s="2"/>
      <c r="N7" s="2"/>
      <c r="V7" s="2" t="s">
        <v>5</v>
      </c>
      <c r="W7" s="2">
        <f>Agriculture!D35</f>
        <v>25.790990004775875</v>
      </c>
      <c r="X7" s="2">
        <f>Agriculture!G35</f>
        <v>26.139409908768592</v>
      </c>
      <c r="Y7" s="2">
        <f>Agriculture!J35</f>
        <v>27.726521949775286</v>
      </c>
      <c r="Z7" s="2">
        <f>Agriculture!M35</f>
        <v>29.05532152585381</v>
      </c>
      <c r="AA7" s="2">
        <f>Agriculture!P35</f>
        <v>30.12580863700418</v>
      </c>
      <c r="AB7" s="2">
        <f>Agriculture!S35</f>
        <v>30.937983283226369</v>
      </c>
      <c r="AC7" s="2">
        <f>Agriculture!V35</f>
        <v>31.491845464520399</v>
      </c>
      <c r="AD7" s="2">
        <f>Agriculture!Y35</f>
        <v>31.787395180886264</v>
      </c>
    </row>
    <row r="8" spans="2:30">
      <c r="B8" s="2" t="s">
        <v>6</v>
      </c>
      <c r="C8" s="2">
        <f>Agriculture!D20</f>
        <v>18.79820437377111</v>
      </c>
      <c r="D8" s="2">
        <f>Agriculture!G20</f>
        <v>18.62715245062185</v>
      </c>
      <c r="E8" s="2">
        <f>Agriculture!J20</f>
        <v>17.734042132000148</v>
      </c>
      <c r="F8" s="2">
        <f>Agriculture!M20</f>
        <v>16.777847308586132</v>
      </c>
      <c r="G8" s="2">
        <f>Agriculture!P20</f>
        <v>15.758567980379809</v>
      </c>
      <c r="H8" s="2">
        <f>Agriculture!S20</f>
        <v>14.676204147381171</v>
      </c>
      <c r="I8" s="2">
        <f>Agriculture!V20</f>
        <v>13.530755809590222</v>
      </c>
      <c r="J8" s="2">
        <f>Agriculture!Y20</f>
        <v>12.322222967006962</v>
      </c>
      <c r="K8" s="2"/>
      <c r="L8" s="2"/>
      <c r="M8" s="2"/>
      <c r="N8" s="2"/>
      <c r="V8" s="2" t="s">
        <v>6</v>
      </c>
      <c r="W8" s="2">
        <f>Agriculture!D36</f>
        <v>18.79820437377111</v>
      </c>
      <c r="X8" s="2">
        <f>Agriculture!G36</f>
        <v>19.19167563389432</v>
      </c>
      <c r="Y8" s="2">
        <f>Agriculture!J36</f>
        <v>21.138492793415207</v>
      </c>
      <c r="Z8" s="2">
        <f>Agriculture!M36</f>
        <v>23.051078051110803</v>
      </c>
      <c r="AA8" s="2">
        <f>Agriculture!P36</f>
        <v>24.929431406981116</v>
      </c>
      <c r="AB8" s="2">
        <f>Agriculture!S36</f>
        <v>26.773552861026143</v>
      </c>
      <c r="AC8" s="2">
        <f>Agriculture!V36</f>
        <v>28.583442413245884</v>
      </c>
      <c r="AD8" s="2">
        <f>Agriculture!Y36</f>
        <v>30.359100063640341</v>
      </c>
    </row>
    <row r="9" spans="2:30">
      <c r="B9" s="2" t="s">
        <v>7</v>
      </c>
      <c r="C9" s="2">
        <f>Déchets!B21</f>
        <v>102.36293749569069</v>
      </c>
      <c r="D9" s="2">
        <f>Déchets!C21</f>
        <v>103.09893909970397</v>
      </c>
      <c r="E9" s="2">
        <f>Déchets!D21</f>
        <v>107.66276272290389</v>
      </c>
      <c r="F9" s="2">
        <f>Déchets!E21</f>
        <v>111.31550629281647</v>
      </c>
      <c r="G9" s="2">
        <f>Déchets!F21</f>
        <v>115.00937163958115</v>
      </c>
      <c r="H9" s="2">
        <f>Déchets!G21</f>
        <v>118.74435876319778</v>
      </c>
      <c r="I9" s="2">
        <f>Déchets!H21</f>
        <v>122.52046766366645</v>
      </c>
      <c r="J9" s="2">
        <f>Déchets!I21</f>
        <v>126.33769834098719</v>
      </c>
      <c r="K9" s="2"/>
      <c r="L9" s="2"/>
      <c r="M9" s="2"/>
      <c r="N9" s="2"/>
      <c r="V9" s="2" t="s">
        <v>7</v>
      </c>
      <c r="W9" s="2">
        <f>Déchets!B35</f>
        <v>102.36293749569069</v>
      </c>
      <c r="X9" s="2">
        <f>Déchets!C35</f>
        <v>99.719388881988422</v>
      </c>
      <c r="Y9" s="2">
        <f>Déchets!D35</f>
        <v>87.399901527806009</v>
      </c>
      <c r="Z9" s="2">
        <f>Déchets!E35</f>
        <v>74.610673319440821</v>
      </c>
      <c r="AA9" s="2">
        <f>Déchets!F35</f>
        <v>62.373507894611052</v>
      </c>
      <c r="AB9" s="2">
        <f>Déchets!G35</f>
        <v>50.789219932050706</v>
      </c>
      <c r="AC9" s="2">
        <f>Déchets!H35</f>
        <v>39.958624110493844</v>
      </c>
      <c r="AD9" s="2">
        <f>Déchets!I35</f>
        <v>29.982535108674476</v>
      </c>
    </row>
    <row r="10" spans="2:30">
      <c r="B10" s="2" t="s">
        <v>8</v>
      </c>
      <c r="C10" s="2">
        <f>UTCATF!B10</f>
        <v>0</v>
      </c>
      <c r="D10" s="2">
        <f>UTCATF!C10</f>
        <v>0</v>
      </c>
      <c r="E10" s="2">
        <f>UTCATF!D10</f>
        <v>0</v>
      </c>
      <c r="F10" s="2">
        <f>UTCATF!E10</f>
        <v>0</v>
      </c>
      <c r="G10" s="2">
        <f>UTCATF!F10</f>
        <v>0</v>
      </c>
      <c r="H10" s="2">
        <f>UTCATF!G10</f>
        <v>0</v>
      </c>
      <c r="I10" s="2">
        <f>UTCATF!H10</f>
        <v>0</v>
      </c>
      <c r="J10" s="2">
        <f>UTCATF!I10</f>
        <v>0</v>
      </c>
      <c r="K10" s="2"/>
      <c r="L10" s="2"/>
      <c r="M10" s="2"/>
      <c r="N10" s="2"/>
      <c r="V10" s="2" t="s">
        <v>8</v>
      </c>
      <c r="W10" s="2">
        <f>UTCATF!B16</f>
        <v>0</v>
      </c>
      <c r="X10" s="2">
        <f>UTCATF!C16</f>
        <v>0</v>
      </c>
      <c r="Y10" s="2">
        <f>UTCATF!D16</f>
        <v>0</v>
      </c>
      <c r="Z10" s="2">
        <f>UTCATF!E16</f>
        <v>0</v>
      </c>
      <c r="AA10" s="2">
        <f>UTCATF!F16</f>
        <v>0</v>
      </c>
      <c r="AB10" s="2">
        <f>UTCATF!G16</f>
        <v>0</v>
      </c>
      <c r="AC10" s="2">
        <f>UTCATF!H16</f>
        <v>0</v>
      </c>
      <c r="AD10" s="2">
        <f>UTCATF!I16</f>
        <v>0</v>
      </c>
    </row>
    <row r="13" spans="2:30" ht="18">
      <c r="B13" s="500" t="s">
        <v>9</v>
      </c>
      <c r="C13" s="500"/>
      <c r="D13" s="500"/>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18" t="s">
        <v>356</v>
      </c>
      <c r="I19" s="218" t="s">
        <v>138</v>
      </c>
      <c r="J19" s="218" t="s">
        <v>357</v>
      </c>
      <c r="K19" s="218" t="s">
        <v>7</v>
      </c>
      <c r="L19" s="218" t="s">
        <v>358</v>
      </c>
      <c r="M19" s="218" t="s">
        <v>137</v>
      </c>
      <c r="N19" s="218" t="s">
        <v>359</v>
      </c>
      <c r="O19" s="221"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19">
        <v>873.30980373516763</v>
      </c>
      <c r="I20" s="219">
        <v>70.756794291068672</v>
      </c>
      <c r="J20" s="219">
        <v>0</v>
      </c>
      <c r="K20" s="219">
        <v>90.647752968071387</v>
      </c>
      <c r="L20" s="219">
        <v>379.83668363960567</v>
      </c>
      <c r="M20" s="219">
        <v>485.31857264308019</v>
      </c>
      <c r="N20" s="219">
        <v>0</v>
      </c>
      <c r="O20" s="222">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19">
        <v>0</v>
      </c>
      <c r="I21" s="219">
        <v>0</v>
      </c>
      <c r="J21" s="219">
        <v>0</v>
      </c>
      <c r="K21" s="219">
        <v>0</v>
      </c>
      <c r="L21" s="219">
        <v>0</v>
      </c>
      <c r="M21" s="219">
        <v>0</v>
      </c>
      <c r="N21" s="219">
        <v>0</v>
      </c>
      <c r="O21" s="222">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19">
        <v>0</v>
      </c>
      <c r="I22" s="219">
        <v>0</v>
      </c>
      <c r="J22" s="219">
        <v>0</v>
      </c>
      <c r="K22" s="219">
        <v>0</v>
      </c>
      <c r="L22" s="219">
        <v>0</v>
      </c>
      <c r="M22" s="219">
        <v>0</v>
      </c>
      <c r="N22" s="219">
        <v>0</v>
      </c>
      <c r="O22" s="222">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19">
        <v>0</v>
      </c>
      <c r="I23" s="219">
        <v>0</v>
      </c>
      <c r="J23" s="219">
        <v>0</v>
      </c>
      <c r="K23" s="219">
        <v>0</v>
      </c>
      <c r="L23" s="219">
        <v>0</v>
      </c>
      <c r="M23" s="219">
        <v>0</v>
      </c>
      <c r="N23" s="219">
        <v>0</v>
      </c>
      <c r="O23" s="222">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19">
        <v>0</v>
      </c>
      <c r="I24" s="219">
        <v>0</v>
      </c>
      <c r="J24" s="219">
        <v>0</v>
      </c>
      <c r="K24" s="219">
        <v>0</v>
      </c>
      <c r="L24" s="219">
        <v>0</v>
      </c>
      <c r="M24" s="219">
        <v>0</v>
      </c>
      <c r="N24" s="219">
        <v>0</v>
      </c>
      <c r="O24" s="222">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19">
        <v>0</v>
      </c>
      <c r="I25" s="219">
        <v>0</v>
      </c>
      <c r="J25" s="219">
        <v>0</v>
      </c>
      <c r="K25" s="219">
        <v>0</v>
      </c>
      <c r="L25" s="219">
        <v>0</v>
      </c>
      <c r="M25" s="219">
        <v>0</v>
      </c>
      <c r="N25" s="219">
        <v>0</v>
      </c>
      <c r="O25" s="222">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19">
        <v>0</v>
      </c>
      <c r="I26" s="219">
        <v>0</v>
      </c>
      <c r="J26" s="219">
        <v>0</v>
      </c>
      <c r="K26" s="219">
        <v>0</v>
      </c>
      <c r="L26" s="219">
        <v>0</v>
      </c>
      <c r="M26" s="219">
        <v>0</v>
      </c>
      <c r="N26" s="219">
        <v>0</v>
      </c>
      <c r="O26" s="222">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19">
        <v>0</v>
      </c>
      <c r="I27" s="219">
        <v>0</v>
      </c>
      <c r="J27" s="219">
        <v>0</v>
      </c>
      <c r="K27" s="219">
        <v>0</v>
      </c>
      <c r="L27" s="219">
        <v>0</v>
      </c>
      <c r="M27" s="219">
        <v>0</v>
      </c>
      <c r="N27" s="219">
        <v>0</v>
      </c>
      <c r="O27" s="222">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19">
        <v>0</v>
      </c>
      <c r="I28" s="219">
        <v>0</v>
      </c>
      <c r="J28" s="219">
        <v>0</v>
      </c>
      <c r="K28" s="219">
        <v>0</v>
      </c>
      <c r="L28" s="219">
        <v>0</v>
      </c>
      <c r="M28" s="219">
        <v>0</v>
      </c>
      <c r="N28" s="219">
        <v>0</v>
      </c>
      <c r="O28" s="222">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23">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19">
        <v>0</v>
      </c>
      <c r="I30" s="219">
        <v>0</v>
      </c>
      <c r="J30" s="219">
        <v>0</v>
      </c>
      <c r="K30" s="219">
        <v>0</v>
      </c>
      <c r="L30" s="219">
        <v>0</v>
      </c>
      <c r="M30" s="219">
        <v>0</v>
      </c>
      <c r="N30" s="219">
        <v>0</v>
      </c>
      <c r="O30" s="222">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19">
        <v>671.31942338672661</v>
      </c>
      <c r="I31" s="219">
        <v>52.63824397353865</v>
      </c>
      <c r="J31" s="219">
        <v>0</v>
      </c>
      <c r="K31" s="219">
        <v>65.650901767194625</v>
      </c>
      <c r="L31" s="219">
        <v>0</v>
      </c>
      <c r="M31" s="219">
        <v>404.99600473519394</v>
      </c>
      <c r="N31" s="219">
        <v>0</v>
      </c>
      <c r="O31" s="222">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19">
        <v>0</v>
      </c>
      <c r="I32" s="219">
        <v>0</v>
      </c>
      <c r="J32" s="219">
        <v>0</v>
      </c>
      <c r="K32" s="219">
        <v>0</v>
      </c>
      <c r="L32" s="219">
        <v>0</v>
      </c>
      <c r="M32" s="219">
        <v>0</v>
      </c>
      <c r="N32" s="219">
        <v>0</v>
      </c>
      <c r="O32" s="222">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19">
        <v>0</v>
      </c>
      <c r="I33" s="219">
        <v>0</v>
      </c>
      <c r="J33" s="219">
        <v>0</v>
      </c>
      <c r="K33" s="219">
        <v>0</v>
      </c>
      <c r="L33" s="219">
        <v>0</v>
      </c>
      <c r="M33" s="219">
        <v>0</v>
      </c>
      <c r="N33" s="219">
        <v>0</v>
      </c>
      <c r="O33" s="222">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19">
        <v>0</v>
      </c>
      <c r="I34" s="219">
        <v>0</v>
      </c>
      <c r="J34" s="219">
        <v>0</v>
      </c>
      <c r="K34" s="219">
        <v>0</v>
      </c>
      <c r="L34" s="219">
        <v>0</v>
      </c>
      <c r="M34" s="219">
        <v>0</v>
      </c>
      <c r="N34" s="219">
        <v>0</v>
      </c>
      <c r="O34" s="222">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19">
        <v>0</v>
      </c>
      <c r="I35" s="219">
        <v>0</v>
      </c>
      <c r="J35" s="219">
        <v>0</v>
      </c>
      <c r="K35" s="219">
        <v>0</v>
      </c>
      <c r="L35" s="219">
        <v>0</v>
      </c>
      <c r="M35" s="219">
        <v>0</v>
      </c>
      <c r="N35" s="219">
        <v>0</v>
      </c>
      <c r="O35" s="222">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23">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19">
        <v>23.767778734832124</v>
      </c>
      <c r="I37" s="219">
        <v>3.9638354669455418</v>
      </c>
      <c r="J37" s="219">
        <v>0</v>
      </c>
      <c r="K37" s="219">
        <v>0.2060607988509226</v>
      </c>
      <c r="L37" s="219">
        <v>8.0809279371498566E-2</v>
      </c>
      <c r="M37" s="219">
        <v>0</v>
      </c>
      <c r="N37" s="219">
        <v>0</v>
      </c>
      <c r="O37" s="222">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19">
        <v>0</v>
      </c>
      <c r="I38" s="219">
        <v>0</v>
      </c>
      <c r="J38" s="219">
        <v>0</v>
      </c>
      <c r="K38" s="219">
        <v>0</v>
      </c>
      <c r="L38" s="219">
        <v>0</v>
      </c>
      <c r="M38" s="219">
        <v>0</v>
      </c>
      <c r="N38" s="219">
        <v>0</v>
      </c>
      <c r="O38" s="222">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19">
        <v>0</v>
      </c>
      <c r="I39" s="219">
        <v>0</v>
      </c>
      <c r="J39" s="219">
        <v>0</v>
      </c>
      <c r="K39" s="219">
        <v>0</v>
      </c>
      <c r="L39" s="219">
        <v>633.16894990000003</v>
      </c>
      <c r="M39" s="219">
        <v>0</v>
      </c>
      <c r="N39" s="219">
        <v>0</v>
      </c>
      <c r="O39" s="222">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19">
        <v>0</v>
      </c>
      <c r="I40" s="219">
        <v>0</v>
      </c>
      <c r="J40" s="219">
        <v>0</v>
      </c>
      <c r="K40" s="219">
        <v>0.94548943890085779</v>
      </c>
      <c r="L40" s="219">
        <v>9.0697041099142284E-2</v>
      </c>
      <c r="M40" s="219">
        <v>0</v>
      </c>
      <c r="N40" s="219">
        <v>0</v>
      </c>
      <c r="O40" s="222">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19">
        <v>44.642446280000001</v>
      </c>
      <c r="I41" s="219">
        <v>0</v>
      </c>
      <c r="J41" s="219">
        <v>0</v>
      </c>
      <c r="K41" s="219">
        <v>0</v>
      </c>
      <c r="L41" s="219">
        <v>0</v>
      </c>
      <c r="M41" s="219">
        <v>0</v>
      </c>
      <c r="N41" s="219">
        <v>0</v>
      </c>
      <c r="O41" s="222">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20">
        <v>68.410225014832122</v>
      </c>
      <c r="I42" s="220">
        <v>3.9638354669455418</v>
      </c>
      <c r="J42" s="220">
        <v>0</v>
      </c>
      <c r="K42" s="220">
        <v>1.1515502377517803</v>
      </c>
      <c r="L42" s="220">
        <v>633.34045622047063</v>
      </c>
      <c r="M42" s="220">
        <v>0</v>
      </c>
      <c r="N42" s="220">
        <v>0</v>
      </c>
      <c r="O42" s="224">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20">
        <v>0</v>
      </c>
      <c r="I43" s="220">
        <v>0</v>
      </c>
      <c r="J43" s="220">
        <v>0</v>
      </c>
      <c r="K43" s="220">
        <v>0</v>
      </c>
      <c r="L43" s="220">
        <v>0</v>
      </c>
      <c r="M43" s="220">
        <v>0</v>
      </c>
      <c r="N43" s="220">
        <v>0</v>
      </c>
      <c r="O43" s="224">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23">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18" t="s">
        <v>356</v>
      </c>
      <c r="I51" s="218" t="s">
        <v>138</v>
      </c>
      <c r="J51" s="218" t="s">
        <v>357</v>
      </c>
      <c r="K51" s="218" t="s">
        <v>7</v>
      </c>
      <c r="L51" s="218" t="s">
        <v>358</v>
      </c>
      <c r="M51" s="218" t="s">
        <v>137</v>
      </c>
      <c r="N51" s="218" t="s">
        <v>359</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18" t="s">
        <v>356</v>
      </c>
      <c r="I83" s="218" t="s">
        <v>138</v>
      </c>
      <c r="J83" s="218" t="s">
        <v>357</v>
      </c>
      <c r="K83" s="218" t="s">
        <v>7</v>
      </c>
      <c r="L83" s="218" t="s">
        <v>358</v>
      </c>
      <c r="M83" s="218" t="s">
        <v>137</v>
      </c>
      <c r="N83" s="218" t="s">
        <v>359</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1108.1342296868158</v>
      </c>
      <c r="F95" s="11">
        <v>0</v>
      </c>
      <c r="G95" s="11">
        <f>(P95-Q95)*$X$48*('Prod Energie'!D40+'Prod Energie'!D39+'Prod Energie'!D34)</f>
        <v>579.46128451105506</v>
      </c>
      <c r="H95" s="11">
        <f>(P95-Q95)*$X$48*'Prod Energie'!D38</f>
        <v>0</v>
      </c>
      <c r="I95" s="11">
        <f>(P95-Q95)*$X$48*'Prod Energie'!D41</f>
        <v>0</v>
      </c>
      <c r="J95" s="11">
        <f>(P95-Q95)*$X$48*'Prod Energie'!D37</f>
        <v>0</v>
      </c>
      <c r="K95" s="11">
        <f>(P95-Q95)*$X$48*'Prod Energie'!D36</f>
        <v>0</v>
      </c>
      <c r="L95" s="11"/>
      <c r="M95" s="11">
        <f>(P95-Q95)*$X$48*'Prod Energie'!D35</f>
        <v>0</v>
      </c>
      <c r="N95" s="11"/>
      <c r="O95" s="11">
        <f>(P95-Q95)*$X$48*('Prod Energie'!D38+'Prod Energie'!D37+'Prod Energie'!D41+'Prod Energie'!D36+'Prod Energie'!D35)</f>
        <v>0</v>
      </c>
      <c r="P95" s="11">
        <f>P100/(1+$P$48+$Q$48)</f>
        <v>-725.50153540184726</v>
      </c>
      <c r="Q95" s="11">
        <f>Q100/(1+$D$48)</f>
        <v>0</v>
      </c>
      <c r="R95" s="11">
        <v>0</v>
      </c>
      <c r="S95" s="11">
        <f>SUM(C95:R95)-SUM(H95:N95)</f>
        <v>962.09397879602363</v>
      </c>
      <c r="U95" s="22" t="s">
        <v>35</v>
      </c>
      <c r="V95" s="11">
        <f>(AB95-AC95)*$X$48*('Prod Energie'!D53)</f>
        <v>0</v>
      </c>
      <c r="W95" s="11">
        <v>0</v>
      </c>
      <c r="X95" s="11">
        <f>(AB95-AC95)*$X$48*('Prod Energie'!D54)</f>
        <v>988.33963658992104</v>
      </c>
      <c r="Y95" s="11">
        <v>0</v>
      </c>
      <c r="Z95" s="11">
        <f>(AB95-AC95)*$X$48*('Prod Energie'!D61+'Prod Energie'!D60)</f>
        <v>372.95330176947493</v>
      </c>
      <c r="AA95" s="11">
        <f>(AB95-AC95)*$X$48*('Prod Energie'!D59)</f>
        <v>31.924556337269987</v>
      </c>
      <c r="AB95" s="11">
        <f>AB100/(1+$P$48+$Q$48)</f>
        <v>-671.97920392214098</v>
      </c>
      <c r="AC95" s="11">
        <f>AC100/(1+$D$48)</f>
        <v>0</v>
      </c>
      <c r="AD95" s="11">
        <v>0</v>
      </c>
      <c r="AE95" s="11">
        <f t="shared" si="6"/>
        <v>721.2382907745249</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8.6634289231116046</v>
      </c>
      <c r="Q98" s="11">
        <v>0</v>
      </c>
      <c r="R98" s="11">
        <v>0</v>
      </c>
      <c r="S98" s="11">
        <f t="shared" si="7"/>
        <v>8.6634289231116046</v>
      </c>
      <c r="U98" s="22" t="s">
        <v>38</v>
      </c>
      <c r="V98" s="11">
        <v>0</v>
      </c>
      <c r="W98" s="11">
        <v>0</v>
      </c>
      <c r="X98" s="11">
        <v>0</v>
      </c>
      <c r="Y98" s="11">
        <v>0</v>
      </c>
      <c r="Z98" s="11">
        <v>0</v>
      </c>
      <c r="AA98" s="11">
        <v>0</v>
      </c>
      <c r="AB98" s="11">
        <f>AB95*$P$48</f>
        <v>8.0243028951882813</v>
      </c>
      <c r="AC98" s="11">
        <v>0</v>
      </c>
      <c r="AD98" s="11">
        <v>0</v>
      </c>
      <c r="AE98" s="11">
        <f t="shared" si="6"/>
        <v>8.0243028951882813</v>
      </c>
    </row>
    <row r="99" spans="2:32">
      <c r="B99" s="22" t="s">
        <v>39</v>
      </c>
      <c r="C99" s="11">
        <v>0</v>
      </c>
      <c r="D99" s="11">
        <v>0</v>
      </c>
      <c r="E99" s="11">
        <v>0</v>
      </c>
      <c r="F99" s="11">
        <v>0</v>
      </c>
      <c r="G99" s="11">
        <v>0</v>
      </c>
      <c r="H99" s="11"/>
      <c r="I99" s="11"/>
      <c r="J99" s="11"/>
      <c r="K99" s="11"/>
      <c r="L99" s="11"/>
      <c r="M99" s="11"/>
      <c r="N99" s="11"/>
      <c r="O99" s="11">
        <v>0</v>
      </c>
      <c r="P99" s="11">
        <f>P95*$Q$48</f>
        <v>46.398502731258766</v>
      </c>
      <c r="Q99" s="11">
        <f>Q95*$D$48</f>
        <v>0</v>
      </c>
      <c r="R99" s="11">
        <v>0</v>
      </c>
      <c r="S99" s="11">
        <f t="shared" si="7"/>
        <v>46.398502731258766</v>
      </c>
      <c r="U99" s="22" t="s">
        <v>39</v>
      </c>
      <c r="V99" s="11">
        <v>0</v>
      </c>
      <c r="W99" s="11">
        <v>0</v>
      </c>
      <c r="X99" s="11">
        <v>0</v>
      </c>
      <c r="Y99" s="11">
        <v>0</v>
      </c>
      <c r="Z99" s="11">
        <v>0</v>
      </c>
      <c r="AA99" s="11">
        <v>0</v>
      </c>
      <c r="AB99" s="11">
        <f>AB95*$Q$48</f>
        <v>42.975551955601226</v>
      </c>
      <c r="AC99" s="11">
        <f>AC95*$D$48</f>
        <v>0</v>
      </c>
      <c r="AD99" s="11">
        <v>0</v>
      </c>
      <c r="AE99" s="11">
        <f t="shared" si="6"/>
        <v>42.975551955601226</v>
      </c>
    </row>
    <row r="100" spans="2:32">
      <c r="B100" s="24" t="s">
        <v>40</v>
      </c>
      <c r="C100" s="15">
        <f>SUM(C94:C99)</f>
        <v>0</v>
      </c>
      <c r="D100" s="15">
        <f>SUM(D94:D99)</f>
        <v>0</v>
      </c>
      <c r="E100" s="15">
        <f>SUM(E94:E99)</f>
        <v>1108.1342296868158</v>
      </c>
      <c r="F100" s="15">
        <f>SUM(F94:F99)</f>
        <v>0</v>
      </c>
      <c r="G100" s="15">
        <f>SUM(G94:G99)</f>
        <v>579.46128451105506</v>
      </c>
      <c r="H100" s="15"/>
      <c r="I100" s="15"/>
      <c r="J100" s="15"/>
      <c r="K100" s="15"/>
      <c r="L100" s="15"/>
      <c r="M100" s="15"/>
      <c r="N100" s="15"/>
      <c r="O100" s="15"/>
      <c r="P100" s="15">
        <f>-P108</f>
        <v>-670.43960374747689</v>
      </c>
      <c r="Q100" s="15">
        <f>-Q108</f>
        <v>0</v>
      </c>
      <c r="R100" s="15">
        <v>0</v>
      </c>
      <c r="S100" s="15">
        <f t="shared" si="7"/>
        <v>1017.155910450394</v>
      </c>
      <c r="U100" s="24" t="s">
        <v>40</v>
      </c>
      <c r="V100" s="15">
        <f t="shared" ref="V100:AA100" si="8">SUM(V94:V99)</f>
        <v>0</v>
      </c>
      <c r="W100" s="15">
        <f t="shared" si="8"/>
        <v>0</v>
      </c>
      <c r="X100" s="15">
        <f t="shared" si="8"/>
        <v>988.33963658992104</v>
      </c>
      <c r="Y100" s="15">
        <f t="shared" si="8"/>
        <v>0</v>
      </c>
      <c r="Z100" s="15">
        <f t="shared" si="8"/>
        <v>372.95330176947493</v>
      </c>
      <c r="AA100" s="15">
        <f t="shared" si="8"/>
        <v>31.924556337269987</v>
      </c>
      <c r="AB100" s="15">
        <f>-AB108</f>
        <v>-620.97934907135152</v>
      </c>
      <c r="AC100" s="15">
        <f>-AC108</f>
        <v>0</v>
      </c>
      <c r="AD100" s="15">
        <v>0</v>
      </c>
      <c r="AE100" s="15">
        <f t="shared" si="6"/>
        <v>772.23814562531436</v>
      </c>
    </row>
    <row r="101" spans="2:32">
      <c r="B101" s="22" t="s">
        <v>41</v>
      </c>
      <c r="C101" s="11">
        <v>0</v>
      </c>
      <c r="D101" s="11">
        <v>0</v>
      </c>
      <c r="E101" s="11">
        <f>Industrie!D35</f>
        <v>0</v>
      </c>
      <c r="F101" s="11">
        <v>0</v>
      </c>
      <c r="G101" s="11">
        <v>0</v>
      </c>
      <c r="H101" s="11"/>
      <c r="I101" s="11"/>
      <c r="J101" s="11"/>
      <c r="K101" s="11"/>
      <c r="L101" s="11"/>
      <c r="M101" s="11"/>
      <c r="N101" s="11"/>
      <c r="O101" s="11">
        <f>Industrie!D38</f>
        <v>0</v>
      </c>
      <c r="P101" s="11">
        <f>Industrie!D36</f>
        <v>309.37554451055951</v>
      </c>
      <c r="Q101" s="11">
        <f>Industrie!D39</f>
        <v>0</v>
      </c>
      <c r="R101" s="11">
        <v>0</v>
      </c>
      <c r="S101" s="11">
        <f t="shared" si="7"/>
        <v>309.37554451055951</v>
      </c>
      <c r="U101" s="22" t="s">
        <v>41</v>
      </c>
      <c r="V101" s="11">
        <v>0</v>
      </c>
      <c r="W101" s="11">
        <v>0</v>
      </c>
      <c r="X101" s="11">
        <f>Industrie!D56</f>
        <v>0</v>
      </c>
      <c r="Y101" s="11">
        <v>0</v>
      </c>
      <c r="Z101" s="11">
        <v>0</v>
      </c>
      <c r="AA101" s="11">
        <f>Industrie!D62</f>
        <v>0</v>
      </c>
      <c r="AB101" s="11">
        <f>Industrie!D57</f>
        <v>293.70831572035564</v>
      </c>
      <c r="AC101" s="11">
        <f>Industrie!D63</f>
        <v>0</v>
      </c>
      <c r="AD101" s="11">
        <v>0</v>
      </c>
      <c r="AE101" s="11">
        <f t="shared" si="6"/>
        <v>293.70831572035564</v>
      </c>
    </row>
    <row r="102" spans="2:32">
      <c r="B102" s="22" t="s">
        <v>42</v>
      </c>
      <c r="C102" s="11">
        <v>0</v>
      </c>
      <c r="D102" s="11">
        <v>0</v>
      </c>
      <c r="E102" s="11">
        <f>Transports!F49</f>
        <v>1434.3661178013585</v>
      </c>
      <c r="F102" s="11">
        <v>0</v>
      </c>
      <c r="G102" s="11">
        <v>0</v>
      </c>
      <c r="H102" s="11"/>
      <c r="I102" s="11"/>
      <c r="J102" s="11"/>
      <c r="K102" s="11"/>
      <c r="L102" s="11"/>
      <c r="M102" s="11"/>
      <c r="N102" s="11"/>
      <c r="O102" s="11">
        <v>0</v>
      </c>
      <c r="P102" s="11">
        <f>Transports!F50</f>
        <v>5.7700925118736173</v>
      </c>
      <c r="Q102" s="11">
        <v>0</v>
      </c>
      <c r="R102" s="11">
        <v>0</v>
      </c>
      <c r="S102" s="11">
        <f>Transports!F51</f>
        <v>1440.1362103132321</v>
      </c>
      <c r="U102" s="22" t="s">
        <v>42</v>
      </c>
      <c r="V102" s="11">
        <v>0</v>
      </c>
      <c r="W102" s="11">
        <v>0</v>
      </c>
      <c r="X102" s="11">
        <f>Transports!F76</f>
        <v>1363.8715663343271</v>
      </c>
      <c r="Y102" s="11">
        <v>0</v>
      </c>
      <c r="Z102" s="11">
        <v>0</v>
      </c>
      <c r="AA102" s="11">
        <v>0</v>
      </c>
      <c r="AB102" s="11">
        <f>Transports!F77</f>
        <v>25.051988017662506</v>
      </c>
      <c r="AC102" s="11">
        <v>0</v>
      </c>
      <c r="AD102" s="11">
        <v>0</v>
      </c>
      <c r="AE102" s="11">
        <f>Transports!F78</f>
        <v>1388.9235543519897</v>
      </c>
    </row>
    <row r="103" spans="2:32">
      <c r="B103" s="22" t="s">
        <v>43</v>
      </c>
      <c r="C103" s="11">
        <v>0</v>
      </c>
      <c r="D103" s="11">
        <v>0</v>
      </c>
      <c r="E103" s="11">
        <f>'Résidentiel-tertiaire'!D172</f>
        <v>89.760788091068306</v>
      </c>
      <c r="F103" s="11">
        <v>0</v>
      </c>
      <c r="G103" s="11">
        <v>0</v>
      </c>
      <c r="H103" s="11"/>
      <c r="I103" s="11"/>
      <c r="J103" s="11"/>
      <c r="K103" s="11"/>
      <c r="L103" s="11"/>
      <c r="M103" s="11"/>
      <c r="N103" s="11"/>
      <c r="O103" s="11">
        <f>'Résidentiel-tertiaire'!D173</f>
        <v>21.864807355516639</v>
      </c>
      <c r="P103" s="11">
        <f>'Résidentiel-tertiaire'!D174</f>
        <v>240.51288091068304</v>
      </c>
      <c r="Q103" s="11">
        <v>0</v>
      </c>
      <c r="R103" s="11">
        <v>0</v>
      </c>
      <c r="S103" s="11">
        <f>SUM(C103:R103)</f>
        <v>352.13847635726802</v>
      </c>
      <c r="T103" s="25">
        <f>'[3]Résidentiel-Tertiaire 2'!D152</f>
        <v>760.85335631030102</v>
      </c>
      <c r="U103" s="22" t="s">
        <v>43</v>
      </c>
      <c r="V103" s="11">
        <v>0</v>
      </c>
      <c r="W103" s="11">
        <v>0</v>
      </c>
      <c r="X103" s="11">
        <f>'Résidentiel-tertiaire'!D187</f>
        <v>75.594999999999999</v>
      </c>
      <c r="Y103" s="11">
        <v>0</v>
      </c>
      <c r="Z103" s="11">
        <v>0</v>
      </c>
      <c r="AA103" s="11">
        <f>'Résidentiel-tertiaire'!D188</f>
        <v>46.473480000000002</v>
      </c>
      <c r="AB103" s="11">
        <f>'Résidentiel-tertiaire'!D189</f>
        <v>193.95118400000004</v>
      </c>
      <c r="AC103" s="11">
        <v>0</v>
      </c>
      <c r="AD103" s="11">
        <v>0</v>
      </c>
      <c r="AE103" s="11">
        <f>SUM(V103:AD103)</f>
        <v>316.01966400000003</v>
      </c>
    </row>
    <row r="104" spans="2:32">
      <c r="B104" s="22" t="s">
        <v>44</v>
      </c>
      <c r="C104" s="11">
        <v>0</v>
      </c>
      <c r="D104" s="11">
        <v>0</v>
      </c>
      <c r="E104" s="11">
        <f>'Résidentiel-tertiaire'!D177</f>
        <v>39.126497373029771</v>
      </c>
      <c r="F104" s="11">
        <v>0</v>
      </c>
      <c r="G104" s="11">
        <v>0</v>
      </c>
      <c r="H104" s="11"/>
      <c r="I104" s="11"/>
      <c r="J104" s="11"/>
      <c r="K104" s="11"/>
      <c r="L104" s="11"/>
      <c r="M104" s="11"/>
      <c r="N104" s="11"/>
      <c r="O104" s="11">
        <f>'Résidentiel-tertiaire'!D178</f>
        <v>0</v>
      </c>
      <c r="P104" s="11">
        <f>'Résidentiel-tertiaire'!D180</f>
        <v>114.78108581436078</v>
      </c>
      <c r="Q104" s="11">
        <v>0</v>
      </c>
      <c r="R104" s="11">
        <v>0</v>
      </c>
      <c r="S104" s="11">
        <f>SUM(C104:R104)</f>
        <v>153.90758318739054</v>
      </c>
      <c r="T104" s="25">
        <f>'[3]Résidentiel-Tertiaire 2'!D159</f>
        <v>673.34922536957004</v>
      </c>
      <c r="U104" s="22" t="s">
        <v>44</v>
      </c>
      <c r="V104" s="11">
        <v>0</v>
      </c>
      <c r="W104" s="11">
        <v>0</v>
      </c>
      <c r="X104" s="11">
        <f>'Résidentiel-tertiaire'!D192</f>
        <v>32.951666666666668</v>
      </c>
      <c r="Y104" s="11">
        <v>0</v>
      </c>
      <c r="Z104" s="11">
        <v>0</v>
      </c>
      <c r="AA104" s="11">
        <f>'Résidentiel-tertiaire'!D193</f>
        <v>0</v>
      </c>
      <c r="AB104" s="11">
        <f>'Résidentiel-tertiaire'!D194</f>
        <v>108.26786133333333</v>
      </c>
      <c r="AC104" s="11">
        <v>0</v>
      </c>
      <c r="AD104" s="11">
        <v>0</v>
      </c>
      <c r="AE104" s="11">
        <f>SUM(V104:AD104)</f>
        <v>141.219528</v>
      </c>
    </row>
    <row r="105" spans="2:32">
      <c r="B105" s="22" t="s">
        <v>4</v>
      </c>
      <c r="C105" s="11">
        <v>0</v>
      </c>
      <c r="D105" s="11">
        <v>0</v>
      </c>
      <c r="E105" s="11">
        <f>Agriculture!J27</f>
        <v>117.97840455381264</v>
      </c>
      <c r="F105" s="11">
        <v>0</v>
      </c>
      <c r="G105" s="11">
        <v>0</v>
      </c>
      <c r="H105" s="11"/>
      <c r="I105" s="11"/>
      <c r="J105" s="11"/>
      <c r="K105" s="11"/>
      <c r="L105" s="11"/>
      <c r="M105" s="11"/>
      <c r="N105" s="11"/>
      <c r="O105" s="11">
        <v>0</v>
      </c>
      <c r="P105" s="11">
        <f>Agriculture!J28</f>
        <v>0</v>
      </c>
      <c r="Q105" s="11">
        <v>0</v>
      </c>
      <c r="R105" s="11">
        <v>0</v>
      </c>
      <c r="S105" s="11">
        <f>SUM(C105:R105)</f>
        <v>117.97840455381264</v>
      </c>
      <c r="T105" s="25">
        <f>[3]Agriculture!J29</f>
        <v>155.597883335208</v>
      </c>
      <c r="U105" s="22" t="s">
        <v>4</v>
      </c>
      <c r="V105" s="11">
        <v>0</v>
      </c>
      <c r="W105" s="11">
        <v>0</v>
      </c>
      <c r="X105" s="11">
        <f>Agriculture!M43</f>
        <v>102.23145161290323</v>
      </c>
      <c r="Y105" s="11">
        <v>0</v>
      </c>
      <c r="Z105" s="11">
        <v>0</v>
      </c>
      <c r="AA105" s="11">
        <f>Agriculture!M45</f>
        <v>33.785450129032263</v>
      </c>
      <c r="AB105" s="11">
        <f>Agriculture!M44</f>
        <v>0</v>
      </c>
      <c r="AC105" s="11">
        <v>0</v>
      </c>
      <c r="AD105" s="11">
        <v>0</v>
      </c>
      <c r="AE105" s="11">
        <f>SUM(V105:AD105)</f>
        <v>136.0169017419355</v>
      </c>
    </row>
    <row r="106" spans="2:32">
      <c r="B106" s="26" t="s">
        <v>45</v>
      </c>
      <c r="C106" s="19" t="e">
        <f>#REF!</f>
        <v>#REF!</v>
      </c>
      <c r="D106" s="19" t="e">
        <f>#REF!</f>
        <v>#REF!</v>
      </c>
      <c r="E106" s="19">
        <f t="shared" ref="E106:S106" si="9">SUM(E101:E105)</f>
        <v>1681.2318078192691</v>
      </c>
      <c r="F106" s="19">
        <f t="shared" si="9"/>
        <v>0</v>
      </c>
      <c r="G106" s="19">
        <f t="shared" si="9"/>
        <v>0</v>
      </c>
      <c r="H106" s="19"/>
      <c r="I106" s="19"/>
      <c r="J106" s="19"/>
      <c r="K106" s="19"/>
      <c r="L106" s="19"/>
      <c r="M106" s="19"/>
      <c r="N106" s="19"/>
      <c r="O106" s="19">
        <f t="shared" si="9"/>
        <v>21.864807355516639</v>
      </c>
      <c r="P106" s="19">
        <f t="shared" si="9"/>
        <v>670.43960374747689</v>
      </c>
      <c r="Q106" s="19">
        <f t="shared" si="9"/>
        <v>0</v>
      </c>
      <c r="R106" s="19">
        <f t="shared" si="9"/>
        <v>0</v>
      </c>
      <c r="S106" s="19">
        <f t="shared" si="9"/>
        <v>2373.5362189222633</v>
      </c>
      <c r="U106" s="26" t="s">
        <v>45</v>
      </c>
      <c r="V106" s="19" t="e">
        <f>#REF!</f>
        <v>#REF!</v>
      </c>
      <c r="W106" s="19" t="e">
        <f>#REF!</f>
        <v>#REF!</v>
      </c>
      <c r="X106" s="19">
        <f t="shared" ref="X106:AE106" si="10">SUM(X101:X105)</f>
        <v>1574.6496846138969</v>
      </c>
      <c r="Y106" s="19">
        <f t="shared" si="10"/>
        <v>0</v>
      </c>
      <c r="Z106" s="19">
        <f t="shared" si="10"/>
        <v>0</v>
      </c>
      <c r="AA106" s="19">
        <f t="shared" si="10"/>
        <v>80.258930129032265</v>
      </c>
      <c r="AB106" s="19">
        <f t="shared" si="10"/>
        <v>620.97934907135152</v>
      </c>
      <c r="AC106" s="19">
        <f t="shared" si="10"/>
        <v>0</v>
      </c>
      <c r="AD106" s="19">
        <f t="shared" si="10"/>
        <v>0</v>
      </c>
      <c r="AE106" s="19">
        <f t="shared" si="10"/>
        <v>2275.8879638142807</v>
      </c>
    </row>
    <row r="107" spans="2:32">
      <c r="B107" s="26" t="s">
        <v>46</v>
      </c>
      <c r="C107" s="19">
        <v>0</v>
      </c>
      <c r="D107" s="19">
        <v>0</v>
      </c>
      <c r="E107" s="19">
        <f>Industrie!D37</f>
        <v>0</v>
      </c>
      <c r="F107" s="19">
        <v>0</v>
      </c>
      <c r="G107" s="19">
        <v>0</v>
      </c>
      <c r="H107" s="19"/>
      <c r="I107" s="19"/>
      <c r="J107" s="19"/>
      <c r="K107" s="19"/>
      <c r="L107" s="19"/>
      <c r="M107" s="19"/>
      <c r="N107" s="19"/>
      <c r="O107" s="19">
        <v>0</v>
      </c>
      <c r="P107" s="19">
        <v>0</v>
      </c>
      <c r="Q107" s="19">
        <v>0</v>
      </c>
      <c r="R107" s="19">
        <v>0</v>
      </c>
      <c r="S107" s="19">
        <f>SUM(C107:R107)</f>
        <v>0</v>
      </c>
      <c r="U107" s="26" t="s">
        <v>46</v>
      </c>
      <c r="V107" s="19">
        <v>0</v>
      </c>
      <c r="W107" s="19">
        <v>0</v>
      </c>
      <c r="X107" s="19">
        <f>Industrie!D59</f>
        <v>0</v>
      </c>
      <c r="Y107" s="19">
        <v>0</v>
      </c>
      <c r="Z107" s="19">
        <v>0</v>
      </c>
      <c r="AA107" s="19">
        <f>Industrie!D61</f>
        <v>0</v>
      </c>
      <c r="AB107" s="19">
        <v>0</v>
      </c>
      <c r="AC107" s="19">
        <v>0</v>
      </c>
      <c r="AD107" s="19">
        <v>0</v>
      </c>
      <c r="AE107" s="19">
        <f>SUM(V107:AD107)</f>
        <v>0</v>
      </c>
    </row>
    <row r="108" spans="2:32">
      <c r="B108" s="24" t="s">
        <v>47</v>
      </c>
      <c r="C108" s="15" t="e">
        <f>#REF!</f>
        <v>#REF!</v>
      </c>
      <c r="D108" s="15" t="e">
        <f>#REF!</f>
        <v>#REF!</v>
      </c>
      <c r="E108" s="15">
        <f t="shared" ref="E108:S108" si="11">SUM(E106:E107)</f>
        <v>1681.2318078192691</v>
      </c>
      <c r="F108" s="15">
        <f t="shared" si="11"/>
        <v>0</v>
      </c>
      <c r="G108" s="15">
        <f t="shared" si="11"/>
        <v>0</v>
      </c>
      <c r="H108" s="15"/>
      <c r="I108" s="15"/>
      <c r="J108" s="15"/>
      <c r="K108" s="15"/>
      <c r="L108" s="15"/>
      <c r="M108" s="15"/>
      <c r="N108" s="15"/>
      <c r="O108" s="15">
        <f t="shared" si="11"/>
        <v>21.864807355516639</v>
      </c>
      <c r="P108" s="15">
        <f t="shared" si="11"/>
        <v>670.43960374747689</v>
      </c>
      <c r="Q108" s="15">
        <f t="shared" si="11"/>
        <v>0</v>
      </c>
      <c r="R108" s="15">
        <f t="shared" si="11"/>
        <v>0</v>
      </c>
      <c r="S108" s="15">
        <f t="shared" si="11"/>
        <v>2373.5362189222633</v>
      </c>
      <c r="T108" s="27" t="e">
        <f>SUM(C108:R108)</f>
        <v>#REF!</v>
      </c>
      <c r="U108" s="24" t="s">
        <v>47</v>
      </c>
      <c r="V108" s="15" t="e">
        <f>#REF!</f>
        <v>#REF!</v>
      </c>
      <c r="W108" s="15" t="e">
        <f>#REF!</f>
        <v>#REF!</v>
      </c>
      <c r="X108" s="15">
        <f t="shared" ref="X108:AE108" si="12">SUM(X106:X107)</f>
        <v>1574.6496846138969</v>
      </c>
      <c r="Y108" s="15">
        <f t="shared" si="12"/>
        <v>0</v>
      </c>
      <c r="Z108" s="15">
        <f t="shared" si="12"/>
        <v>0</v>
      </c>
      <c r="AA108" s="15">
        <f t="shared" si="12"/>
        <v>80.258930129032265</v>
      </c>
      <c r="AB108" s="15">
        <f t="shared" si="12"/>
        <v>620.97934907135152</v>
      </c>
      <c r="AC108" s="15">
        <f t="shared" si="12"/>
        <v>0</v>
      </c>
      <c r="AD108" s="15">
        <f t="shared" si="12"/>
        <v>0</v>
      </c>
      <c r="AE108" s="15">
        <f t="shared" si="12"/>
        <v>2275.8879638142807</v>
      </c>
      <c r="AF108" s="27" t="e">
        <f>SUM(V108:AD108)</f>
        <v>#REF!</v>
      </c>
    </row>
    <row r="111" spans="2:32">
      <c r="AA111" s="225">
        <f>AB95-AC95</f>
        <v>-671.97920392214098</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14"/>
      <c r="I115" s="214"/>
      <c r="J115" s="214"/>
      <c r="K115" s="214"/>
      <c r="L115" s="214"/>
      <c r="M115" s="214"/>
      <c r="N115" s="214"/>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1080.857677177421</v>
      </c>
      <c r="F127" s="11">
        <v>0</v>
      </c>
      <c r="G127" s="11">
        <f>(P127-Q127)*$X$48*('Prod Energie'!E40+'Prod Energie'!D39)</f>
        <v>417.46277213522353</v>
      </c>
      <c r="H127" s="11"/>
      <c r="I127" s="11"/>
      <c r="J127" s="11"/>
      <c r="K127" s="11"/>
      <c r="L127" s="11"/>
      <c r="M127" s="11"/>
      <c r="N127" s="11"/>
      <c r="O127" s="11">
        <f>(P127-Q127)*$X$48*('Prod Energie'!E38)</f>
        <v>0</v>
      </c>
      <c r="P127" s="11">
        <f>P132/(1+$P$48+$Q$48)</f>
        <v>-739.77648890012949</v>
      </c>
      <c r="Q127" s="11">
        <f>Q132/(1+$D$48)</f>
        <v>0</v>
      </c>
      <c r="R127" s="11">
        <v>0</v>
      </c>
      <c r="S127" s="11">
        <f t="shared" si="17"/>
        <v>758.54396041251505</v>
      </c>
      <c r="U127" s="22" t="s">
        <v>35</v>
      </c>
      <c r="V127" s="11">
        <f>(AB127-AC127)*$X$48*('Prod Energie'!E53)</f>
        <v>0</v>
      </c>
      <c r="W127" s="11">
        <v>0</v>
      </c>
      <c r="X127" s="11">
        <f>(AB127-AC127)*$X$48*('Prod Energie'!E54)</f>
        <v>893.83391627089657</v>
      </c>
      <c r="Y127" s="11">
        <v>0</v>
      </c>
      <c r="Z127" s="11">
        <f>(AB127-AC127)*$X$48*('Prod Energie'!E61+'Prod Energie'!D60)</f>
        <v>364.45029357004768</v>
      </c>
      <c r="AA127" s="11">
        <f>(AB127-AC127)*$X$48*('Prod Energie'!E59)</f>
        <v>69.958022776889862</v>
      </c>
      <c r="AB127" s="11">
        <f>AB132/(1+$P$48+$Q$48)</f>
        <v>-667.04316907900829</v>
      </c>
      <c r="AC127" s="11">
        <f>AC132/(1+$D$48)</f>
        <v>0</v>
      </c>
      <c r="AD127" s="11">
        <v>0</v>
      </c>
      <c r="AE127" s="11">
        <f t="shared" si="18"/>
        <v>661.19906353882584</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8.8338903749189956</v>
      </c>
      <c r="Q130" s="11">
        <v>0</v>
      </c>
      <c r="R130" s="11">
        <v>0</v>
      </c>
      <c r="S130" s="11">
        <f t="shared" si="17"/>
        <v>8.8338903749189956</v>
      </c>
      <c r="U130" s="22" t="s">
        <v>38</v>
      </c>
      <c r="V130" s="11">
        <v>0</v>
      </c>
      <c r="W130" s="11">
        <v>0</v>
      </c>
      <c r="X130" s="11">
        <v>0</v>
      </c>
      <c r="Y130" s="11">
        <v>0</v>
      </c>
      <c r="Z130" s="11">
        <v>0</v>
      </c>
      <c r="AA130" s="11">
        <v>0</v>
      </c>
      <c r="AB130" s="11">
        <f>AB127*$P$48</f>
        <v>7.9653602397440082</v>
      </c>
      <c r="AC130" s="11">
        <v>0</v>
      </c>
      <c r="AD130" s="11">
        <v>0</v>
      </c>
      <c r="AE130" s="11">
        <f t="shared" si="18"/>
        <v>7.9653602397440082</v>
      </c>
    </row>
    <row r="131" spans="2:32">
      <c r="B131" s="22" t="s">
        <v>39</v>
      </c>
      <c r="C131" s="11">
        <v>0</v>
      </c>
      <c r="D131" s="11">
        <v>0</v>
      </c>
      <c r="E131" s="11">
        <v>0</v>
      </c>
      <c r="F131" s="11">
        <v>0</v>
      </c>
      <c r="G131" s="11">
        <v>0</v>
      </c>
      <c r="H131" s="11"/>
      <c r="I131" s="11"/>
      <c r="J131" s="11"/>
      <c r="K131" s="11"/>
      <c r="L131" s="11"/>
      <c r="M131" s="11"/>
      <c r="N131" s="11"/>
      <c r="O131" s="11">
        <v>0</v>
      </c>
      <c r="P131" s="11">
        <f>P127*$Q$48</f>
        <v>47.311438730094082</v>
      </c>
      <c r="Q131" s="11">
        <f>Q127*$D$48</f>
        <v>0</v>
      </c>
      <c r="R131" s="11">
        <v>0</v>
      </c>
      <c r="S131" s="11">
        <f t="shared" si="17"/>
        <v>47.311438730094082</v>
      </c>
      <c r="U131" s="22" t="s">
        <v>39</v>
      </c>
      <c r="V131" s="11">
        <v>0</v>
      </c>
      <c r="W131" s="11">
        <v>0</v>
      </c>
      <c r="X131" s="11">
        <v>0</v>
      </c>
      <c r="Y131" s="11">
        <v>0</v>
      </c>
      <c r="Z131" s="11">
        <v>0</v>
      </c>
      <c r="AA131" s="11">
        <v>0</v>
      </c>
      <c r="AB131" s="11">
        <f>AB127*$Q$48</f>
        <v>42.6598742968023</v>
      </c>
      <c r="AC131" s="11">
        <f>AC127*$D$48</f>
        <v>0</v>
      </c>
      <c r="AD131" s="11">
        <v>0</v>
      </c>
      <c r="AE131" s="11">
        <f t="shared" si="18"/>
        <v>42.6598742968023</v>
      </c>
    </row>
    <row r="132" spans="2:32">
      <c r="B132" s="24" t="s">
        <v>40</v>
      </c>
      <c r="C132" s="15">
        <f t="shared" ref="C132:O132" si="19">SUM(C126:C131)</f>
        <v>0</v>
      </c>
      <c r="D132" s="15">
        <f t="shared" si="19"/>
        <v>0</v>
      </c>
      <c r="E132" s="15">
        <f t="shared" si="19"/>
        <v>1080.857677177421</v>
      </c>
      <c r="F132" s="15">
        <f t="shared" si="19"/>
        <v>0</v>
      </c>
      <c r="G132" s="15">
        <f t="shared" si="19"/>
        <v>417.46277213522353</v>
      </c>
      <c r="H132" s="15"/>
      <c r="I132" s="15"/>
      <c r="J132" s="15"/>
      <c r="K132" s="15"/>
      <c r="L132" s="15"/>
      <c r="M132" s="15"/>
      <c r="N132" s="15"/>
      <c r="O132" s="15">
        <f t="shared" si="19"/>
        <v>0</v>
      </c>
      <c r="P132" s="15">
        <f>-P140</f>
        <v>-683.63115979511645</v>
      </c>
      <c r="Q132" s="15">
        <f>-Q140</f>
        <v>0</v>
      </c>
      <c r="R132" s="15">
        <v>0</v>
      </c>
      <c r="S132" s="15">
        <f t="shared" si="17"/>
        <v>814.6892895175281</v>
      </c>
      <c r="U132" s="24" t="s">
        <v>40</v>
      </c>
      <c r="V132" s="15">
        <f t="shared" ref="V132:AA132" si="20">SUM(V126:V131)</f>
        <v>0</v>
      </c>
      <c r="W132" s="15">
        <f t="shared" si="20"/>
        <v>0</v>
      </c>
      <c r="X132" s="15">
        <f t="shared" si="20"/>
        <v>893.83391627089657</v>
      </c>
      <c r="Y132" s="15">
        <f t="shared" si="20"/>
        <v>0</v>
      </c>
      <c r="Z132" s="15">
        <f t="shared" si="20"/>
        <v>364.45029357004768</v>
      </c>
      <c r="AA132" s="15">
        <f t="shared" si="20"/>
        <v>69.958022776889862</v>
      </c>
      <c r="AB132" s="15">
        <f>-AB140</f>
        <v>-616.41793454246204</v>
      </c>
      <c r="AC132" s="15">
        <f>-AC140</f>
        <v>0</v>
      </c>
      <c r="AD132" s="15">
        <v>0</v>
      </c>
      <c r="AE132" s="15">
        <f t="shared" si="18"/>
        <v>711.8242980753721</v>
      </c>
    </row>
    <row r="133" spans="2:32">
      <c r="B133" s="22" t="s">
        <v>41</v>
      </c>
      <c r="C133" s="11">
        <v>0</v>
      </c>
      <c r="D133" s="11">
        <v>0</v>
      </c>
      <c r="E133" s="11">
        <f>Industrie!E35</f>
        <v>0</v>
      </c>
      <c r="F133" s="11">
        <v>0</v>
      </c>
      <c r="G133" s="11">
        <v>0</v>
      </c>
      <c r="H133" s="11"/>
      <c r="I133" s="11"/>
      <c r="J133" s="11"/>
      <c r="K133" s="11"/>
      <c r="L133" s="11"/>
      <c r="M133" s="11"/>
      <c r="N133" s="11"/>
      <c r="O133" s="11">
        <f>Industrie!E38</f>
        <v>0</v>
      </c>
      <c r="P133" s="11">
        <f>Industrie!E36</f>
        <v>320.17103725180613</v>
      </c>
      <c r="Q133" s="11">
        <f>Industrie!E39</f>
        <v>0</v>
      </c>
      <c r="R133" s="11">
        <v>0</v>
      </c>
      <c r="S133" s="11">
        <f t="shared" si="17"/>
        <v>320.17103725180613</v>
      </c>
      <c r="U133" s="22" t="s">
        <v>41</v>
      </c>
      <c r="V133" s="11">
        <v>0</v>
      </c>
      <c r="W133" s="11">
        <v>0</v>
      </c>
      <c r="X133" s="11">
        <f>Industrie!E56</f>
        <v>0</v>
      </c>
      <c r="Y133" s="11">
        <v>0</v>
      </c>
      <c r="Z133" s="11">
        <v>0</v>
      </c>
      <c r="AA133" s="11">
        <f>Industrie!E62</f>
        <v>0</v>
      </c>
      <c r="AB133" s="11">
        <f>Industrie!E57</f>
        <v>289.24478672695653</v>
      </c>
      <c r="AC133" s="11">
        <f>Industrie!E63</f>
        <v>0</v>
      </c>
      <c r="AD133" s="11">
        <v>0</v>
      </c>
      <c r="AE133" s="11">
        <f t="shared" si="18"/>
        <v>289.24478672695653</v>
      </c>
    </row>
    <row r="134" spans="2:32">
      <c r="B134" s="22" t="s">
        <v>42</v>
      </c>
      <c r="C134" s="11">
        <v>0</v>
      </c>
      <c r="D134" s="11">
        <v>0</v>
      </c>
      <c r="E134" s="11">
        <f>Transports!G49</f>
        <v>1342.1831740931984</v>
      </c>
      <c r="F134" s="11">
        <v>0</v>
      </c>
      <c r="G134" s="11">
        <v>0</v>
      </c>
      <c r="H134" s="11"/>
      <c r="I134" s="11"/>
      <c r="J134" s="11"/>
      <c r="K134" s="11"/>
      <c r="L134" s="11"/>
      <c r="M134" s="11"/>
      <c r="N134" s="11"/>
      <c r="O134" s="11">
        <v>0</v>
      </c>
      <c r="P134" s="11">
        <f>Transports!G50</f>
        <v>11.310350214063465</v>
      </c>
      <c r="Q134" s="11">
        <v>0</v>
      </c>
      <c r="R134" s="11">
        <v>0</v>
      </c>
      <c r="S134" s="11">
        <f>Transports!G51</f>
        <v>1353.4935243072619</v>
      </c>
      <c r="U134" s="22" t="s">
        <v>42</v>
      </c>
      <c r="V134" s="11">
        <v>0</v>
      </c>
      <c r="W134" s="11">
        <v>0</v>
      </c>
      <c r="X134" s="11">
        <f>Transports!G76</f>
        <v>1068.0226818471747</v>
      </c>
      <c r="Y134" s="11">
        <v>0</v>
      </c>
      <c r="Z134" s="11">
        <v>0</v>
      </c>
      <c r="AA134" s="11">
        <v>0</v>
      </c>
      <c r="AB134" s="11">
        <f>Transports!G77</f>
        <v>55.05305714883869</v>
      </c>
      <c r="AC134" s="11">
        <v>0</v>
      </c>
      <c r="AD134" s="11">
        <v>0</v>
      </c>
      <c r="AE134" s="11">
        <f>Transports!G78</f>
        <v>1123.0757389960133</v>
      </c>
    </row>
    <row r="135" spans="2:32">
      <c r="B135" s="22" t="s">
        <v>43</v>
      </c>
      <c r="C135" s="11">
        <v>0</v>
      </c>
      <c r="D135" s="11">
        <v>0</v>
      </c>
      <c r="E135" s="11">
        <f>'Résidentiel-tertiaire'!E172</f>
        <v>88.966444833625232</v>
      </c>
      <c r="F135" s="11">
        <v>0</v>
      </c>
      <c r="G135" s="11">
        <v>0</v>
      </c>
      <c r="H135" s="11"/>
      <c r="I135" s="11"/>
      <c r="J135" s="11"/>
      <c r="K135" s="11"/>
      <c r="L135" s="11"/>
      <c r="M135" s="11"/>
      <c r="N135" s="11"/>
      <c r="O135" s="11">
        <f>'Résidentiel-tertiaire'!E173</f>
        <v>21.671313485113835</v>
      </c>
      <c r="P135" s="11">
        <f>'Résidentiel-tertiaire'!E174</f>
        <v>238.38444833625218</v>
      </c>
      <c r="Q135" s="11">
        <v>0</v>
      </c>
      <c r="R135" s="11">
        <v>0</v>
      </c>
      <c r="S135" s="11">
        <f>SUM(C135:R135)</f>
        <v>349.02220665499124</v>
      </c>
      <c r="U135" s="22" t="s">
        <v>43</v>
      </c>
      <c r="V135" s="11">
        <v>0</v>
      </c>
      <c r="W135" s="11">
        <v>0</v>
      </c>
      <c r="X135" s="11">
        <f>'Résidentiel-tertiaire'!E187</f>
        <v>60.475999999999999</v>
      </c>
      <c r="Y135" s="11">
        <v>0</v>
      </c>
      <c r="Z135" s="11">
        <v>0</v>
      </c>
      <c r="AA135" s="11">
        <f>'Résidentiel-tertiaire'!E188</f>
        <v>40.611959999999996</v>
      </c>
      <c r="AB135" s="11">
        <f>'Résidentiel-tertiaire'!E189</f>
        <v>175.07336800000002</v>
      </c>
      <c r="AC135" s="11">
        <v>0</v>
      </c>
      <c r="AD135" s="11">
        <v>0</v>
      </c>
      <c r="AE135" s="11">
        <f>SUM(V135:AD135)</f>
        <v>276.16132800000003</v>
      </c>
    </row>
    <row r="136" spans="2:32">
      <c r="B136" s="22" t="s">
        <v>44</v>
      </c>
      <c r="C136" s="11">
        <v>0</v>
      </c>
      <c r="D136" s="11">
        <v>0</v>
      </c>
      <c r="E136" s="11">
        <f>'Résidentiel-tertiaire'!E177</f>
        <v>38.780245183887921</v>
      </c>
      <c r="F136" s="11">
        <v>0</v>
      </c>
      <c r="G136" s="11">
        <v>0</v>
      </c>
      <c r="H136" s="11"/>
      <c r="I136" s="11"/>
      <c r="J136" s="11"/>
      <c r="K136" s="11"/>
      <c r="L136" s="11"/>
      <c r="M136" s="11"/>
      <c r="N136" s="11"/>
      <c r="O136" s="11">
        <f>'Résidentiel-tertiaire'!E178</f>
        <v>0</v>
      </c>
      <c r="P136" s="11">
        <f>'Résidentiel-tertiaire'!E180</f>
        <v>113.76532399299475</v>
      </c>
      <c r="Q136" s="11">
        <v>0</v>
      </c>
      <c r="R136" s="11">
        <v>0</v>
      </c>
      <c r="S136" s="11">
        <f>SUM(C136:R136)</f>
        <v>152.54556917688268</v>
      </c>
      <c r="U136" s="22" t="s">
        <v>44</v>
      </c>
      <c r="V136" s="11">
        <v>0</v>
      </c>
      <c r="W136" s="11">
        <v>0</v>
      </c>
      <c r="X136" s="11">
        <f>'Résidentiel-tertiaire'!E192</f>
        <v>26.361333333333334</v>
      </c>
      <c r="Y136" s="11">
        <v>0</v>
      </c>
      <c r="Z136" s="11">
        <v>0</v>
      </c>
      <c r="AA136" s="11">
        <f>'Résidentiel-tertiaire'!E193</f>
        <v>0</v>
      </c>
      <c r="AB136" s="11">
        <f>'Résidentiel-tertiaire'!E194</f>
        <v>97.046722666666668</v>
      </c>
      <c r="AC136" s="11">
        <v>0</v>
      </c>
      <c r="AD136" s="11">
        <v>0</v>
      </c>
      <c r="AE136" s="11">
        <f>SUM(V136:AD136)</f>
        <v>123.408056</v>
      </c>
    </row>
    <row r="137" spans="2:32">
      <c r="B137" s="22" t="s">
        <v>4</v>
      </c>
      <c r="C137" s="11">
        <v>0</v>
      </c>
      <c r="D137" s="11">
        <v>0</v>
      </c>
      <c r="E137" s="11">
        <f>Agriculture!M27</f>
        <v>110.65457501532316</v>
      </c>
      <c r="F137" s="11">
        <v>0</v>
      </c>
      <c r="G137" s="11">
        <v>0</v>
      </c>
      <c r="H137" s="11"/>
      <c r="I137" s="11"/>
      <c r="J137" s="11"/>
      <c r="K137" s="11"/>
      <c r="L137" s="11"/>
      <c r="M137" s="11"/>
      <c r="N137" s="11"/>
      <c r="O137" s="11">
        <v>0</v>
      </c>
      <c r="P137" s="11">
        <f>Agriculture!M28</f>
        <v>0</v>
      </c>
      <c r="Q137" s="11">
        <v>0</v>
      </c>
      <c r="R137" s="11">
        <v>0</v>
      </c>
      <c r="S137" s="11">
        <f>SUM(C137:R137)</f>
        <v>110.65457501532316</v>
      </c>
      <c r="U137" s="22" t="s">
        <v>4</v>
      </c>
      <c r="V137" s="11">
        <v>0</v>
      </c>
      <c r="W137" s="11">
        <v>0</v>
      </c>
      <c r="X137" s="11">
        <f>Agriculture!Q43</f>
        <v>81.785161290322577</v>
      </c>
      <c r="Y137" s="11">
        <v>0</v>
      </c>
      <c r="Z137" s="11">
        <v>0</v>
      </c>
      <c r="AA137" s="11">
        <f>Agriculture!Q45</f>
        <v>61.93999190322581</v>
      </c>
      <c r="AB137" s="11">
        <f>Agriculture!Q44</f>
        <v>0</v>
      </c>
      <c r="AC137" s="11">
        <v>0</v>
      </c>
      <c r="AD137" s="11">
        <v>0</v>
      </c>
      <c r="AE137" s="11">
        <f>SUM(V137:AD137)</f>
        <v>143.72515319354838</v>
      </c>
    </row>
    <row r="138" spans="2:32">
      <c r="B138" s="26" t="s">
        <v>45</v>
      </c>
      <c r="C138" s="19">
        <v>0</v>
      </c>
      <c r="D138" s="19">
        <v>0</v>
      </c>
      <c r="E138" s="19">
        <f t="shared" ref="E138:S138" si="21">SUM(E133:E137)</f>
        <v>1580.5844391260348</v>
      </c>
      <c r="F138" s="19">
        <f t="shared" si="21"/>
        <v>0</v>
      </c>
      <c r="G138" s="19">
        <f t="shared" si="21"/>
        <v>0</v>
      </c>
      <c r="H138" s="19"/>
      <c r="I138" s="19"/>
      <c r="J138" s="19"/>
      <c r="K138" s="19"/>
      <c r="L138" s="19"/>
      <c r="M138" s="19"/>
      <c r="N138" s="19"/>
      <c r="O138" s="19">
        <f t="shared" si="21"/>
        <v>21.671313485113835</v>
      </c>
      <c r="P138" s="19">
        <f t="shared" si="21"/>
        <v>683.63115979511645</v>
      </c>
      <c r="Q138" s="19">
        <f t="shared" si="21"/>
        <v>0</v>
      </c>
      <c r="R138" s="19">
        <f t="shared" si="21"/>
        <v>0</v>
      </c>
      <c r="S138" s="19">
        <f t="shared" si="21"/>
        <v>2285.8869124062649</v>
      </c>
      <c r="U138" s="26" t="s">
        <v>45</v>
      </c>
      <c r="V138" s="19">
        <v>0</v>
      </c>
      <c r="W138" s="19">
        <v>0</v>
      </c>
      <c r="X138" s="19">
        <f t="shared" ref="X138:AE138" si="22">SUM(X133:X137)</f>
        <v>1236.6451764708306</v>
      </c>
      <c r="Y138" s="19">
        <f t="shared" si="22"/>
        <v>0</v>
      </c>
      <c r="Z138" s="19">
        <f t="shared" si="22"/>
        <v>0</v>
      </c>
      <c r="AA138" s="19">
        <f t="shared" si="22"/>
        <v>102.55195190322581</v>
      </c>
      <c r="AB138" s="19">
        <f t="shared" si="22"/>
        <v>616.41793454246204</v>
      </c>
      <c r="AC138" s="19">
        <f t="shared" si="22"/>
        <v>0</v>
      </c>
      <c r="AD138" s="19">
        <f t="shared" si="22"/>
        <v>0</v>
      </c>
      <c r="AE138" s="19">
        <f t="shared" si="22"/>
        <v>1955.6150629165181</v>
      </c>
    </row>
    <row r="139" spans="2:32">
      <c r="B139" s="26" t="s">
        <v>46</v>
      </c>
      <c r="C139" s="19">
        <v>0</v>
      </c>
      <c r="D139" s="19">
        <v>0</v>
      </c>
      <c r="E139" s="19">
        <f>Industrie!E37</f>
        <v>0</v>
      </c>
      <c r="F139" s="19">
        <v>0</v>
      </c>
      <c r="G139" s="19">
        <v>0</v>
      </c>
      <c r="H139" s="19"/>
      <c r="I139" s="19"/>
      <c r="J139" s="19"/>
      <c r="K139" s="19"/>
      <c r="L139" s="19"/>
      <c r="M139" s="19"/>
      <c r="N139" s="19"/>
      <c r="O139" s="19">
        <v>0</v>
      </c>
      <c r="P139" s="19">
        <v>0</v>
      </c>
      <c r="Q139" s="19">
        <v>0</v>
      </c>
      <c r="R139" s="19">
        <v>0</v>
      </c>
      <c r="S139" s="19">
        <f>SUM(C139:R139)</f>
        <v>0</v>
      </c>
      <c r="U139" s="26" t="s">
        <v>46</v>
      </c>
      <c r="V139" s="19">
        <v>0</v>
      </c>
      <c r="W139" s="19">
        <v>0</v>
      </c>
      <c r="X139" s="19">
        <f>Industrie!E59</f>
        <v>0</v>
      </c>
      <c r="Y139" s="19">
        <v>0</v>
      </c>
      <c r="Z139" s="19">
        <v>0</v>
      </c>
      <c r="AA139" s="19">
        <f>Industrie!E61</f>
        <v>0</v>
      </c>
      <c r="AB139" s="19">
        <v>0</v>
      </c>
      <c r="AC139" s="19">
        <v>0</v>
      </c>
      <c r="AD139" s="19">
        <v>0</v>
      </c>
      <c r="AE139" s="19">
        <f>SUM(V139:AD139)</f>
        <v>0</v>
      </c>
    </row>
    <row r="140" spans="2:32">
      <c r="B140" s="24" t="s">
        <v>47</v>
      </c>
      <c r="C140" s="15">
        <v>0</v>
      </c>
      <c r="D140" s="15">
        <v>0</v>
      </c>
      <c r="E140" s="15">
        <f t="shared" ref="E140:S140" si="23">SUM(E138:E139)</f>
        <v>1580.5844391260348</v>
      </c>
      <c r="F140" s="15">
        <f t="shared" si="23"/>
        <v>0</v>
      </c>
      <c r="G140" s="15">
        <f t="shared" si="23"/>
        <v>0</v>
      </c>
      <c r="H140" s="15"/>
      <c r="I140" s="15"/>
      <c r="J140" s="15"/>
      <c r="K140" s="15"/>
      <c r="L140" s="15"/>
      <c r="M140" s="15"/>
      <c r="N140" s="15"/>
      <c r="O140" s="15">
        <f t="shared" si="23"/>
        <v>21.671313485113835</v>
      </c>
      <c r="P140" s="15">
        <f t="shared" si="23"/>
        <v>683.63115979511645</v>
      </c>
      <c r="Q140" s="15">
        <f t="shared" si="23"/>
        <v>0</v>
      </c>
      <c r="R140" s="15">
        <f t="shared" si="23"/>
        <v>0</v>
      </c>
      <c r="S140" s="15">
        <f t="shared" si="23"/>
        <v>2285.8869124062649</v>
      </c>
      <c r="T140" s="27">
        <f>SUM(C140:R140)</f>
        <v>2285.8869124062649</v>
      </c>
      <c r="U140" s="24" t="s">
        <v>47</v>
      </c>
      <c r="V140" s="15">
        <v>0</v>
      </c>
      <c r="W140" s="15">
        <v>0</v>
      </c>
      <c r="X140" s="15">
        <f t="shared" ref="X140:AE140" si="24">SUM(X138:X139)</f>
        <v>1236.6451764708306</v>
      </c>
      <c r="Y140" s="15">
        <f t="shared" si="24"/>
        <v>0</v>
      </c>
      <c r="Z140" s="15">
        <f t="shared" si="24"/>
        <v>0</v>
      </c>
      <c r="AA140" s="15">
        <f t="shared" si="24"/>
        <v>102.55195190322581</v>
      </c>
      <c r="AB140" s="15">
        <f t="shared" si="24"/>
        <v>616.41793454246204</v>
      </c>
      <c r="AC140" s="15">
        <f t="shared" si="24"/>
        <v>0</v>
      </c>
      <c r="AD140" s="15">
        <f t="shared" si="24"/>
        <v>0</v>
      </c>
      <c r="AE140" s="15">
        <f t="shared" si="24"/>
        <v>1955.6150629165181</v>
      </c>
      <c r="AF140" s="27">
        <f>SUM(V140:AD140)</f>
        <v>1955.6150629165184</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14"/>
      <c r="I147" s="214"/>
      <c r="J147" s="214"/>
      <c r="K147" s="214"/>
      <c r="L147" s="214"/>
      <c r="M147" s="214"/>
      <c r="N147" s="214"/>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1104.369724282783</v>
      </c>
      <c r="F159" s="11">
        <v>0</v>
      </c>
      <c r="G159" s="11">
        <f>(P159-Q159)*$X$48*('Prod Energie'!F40+'Prod Energie'!D39)</f>
        <v>416.36232992523549</v>
      </c>
      <c r="H159" s="11"/>
      <c r="I159" s="11"/>
      <c r="J159" s="11"/>
      <c r="K159" s="11"/>
      <c r="L159" s="11"/>
      <c r="M159" s="11"/>
      <c r="N159" s="11"/>
      <c r="O159" s="11">
        <f>(P159-Q159)*$X$48*('Prod Energie'!F38)</f>
        <v>0</v>
      </c>
      <c r="P159" s="11">
        <f>P164/(1+$P$48+$Q$48)</f>
        <v>-754.51830989105292</v>
      </c>
      <c r="Q159" s="11">
        <f>Q164/(1+$D$48)</f>
        <v>0</v>
      </c>
      <c r="R159" s="11">
        <v>0</v>
      </c>
      <c r="S159" s="11">
        <f t="shared" si="29"/>
        <v>766.2137443169654</v>
      </c>
      <c r="U159" s="22" t="s">
        <v>35</v>
      </c>
      <c r="V159" s="11">
        <f>(AB159-AC159)*$X$48*('Prod Energie'!F53)</f>
        <v>0</v>
      </c>
      <c r="W159" s="11">
        <v>0</v>
      </c>
      <c r="X159" s="11">
        <f>(AB159-AC159)*$X$48*('Prod Energie'!F54)</f>
        <v>1010.4017675940885</v>
      </c>
      <c r="Y159" s="11">
        <v>0</v>
      </c>
      <c r="Z159" s="11">
        <f>(AB159-AC159)*$X$48*('Prod Energie'!F61+'Prod Energie'!D60)</f>
        <v>357.29326604579853</v>
      </c>
      <c r="AA159" s="11">
        <f>(AB159-AC159)*$X$48*('Prod Energie'!F59)</f>
        <v>106.80797092763282</v>
      </c>
      <c r="AB159" s="11">
        <f>AB164/(1+$P$48+$Q$48)</f>
        <v>-737.65872300658316</v>
      </c>
      <c r="AC159" s="11">
        <f>AC164/(1+$D$48)</f>
        <v>0</v>
      </c>
      <c r="AD159" s="11">
        <v>0</v>
      </c>
      <c r="AE159" s="11">
        <f t="shared" si="30"/>
        <v>736.84428156093668</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9.0099268298678616</v>
      </c>
      <c r="Q162" s="11">
        <v>0</v>
      </c>
      <c r="R162" s="11">
        <v>0</v>
      </c>
      <c r="S162" s="11">
        <f t="shared" si="29"/>
        <v>9.0099268298678616</v>
      </c>
      <c r="U162" s="22" t="s">
        <v>38</v>
      </c>
      <c r="V162" s="11">
        <v>0</v>
      </c>
      <c r="W162" s="11">
        <v>0</v>
      </c>
      <c r="X162" s="11">
        <v>0</v>
      </c>
      <c r="Y162" s="11">
        <v>0</v>
      </c>
      <c r="Z162" s="11">
        <v>0</v>
      </c>
      <c r="AA162" s="11">
        <v>0</v>
      </c>
      <c r="AB162" s="11">
        <f>AB159*$P$48</f>
        <v>8.8086015045317456</v>
      </c>
      <c r="AC162" s="11">
        <v>0</v>
      </c>
      <c r="AD162" s="11">
        <v>0</v>
      </c>
      <c r="AE162" s="11">
        <f t="shared" si="30"/>
        <v>8.8086015045317456</v>
      </c>
    </row>
    <row r="163" spans="2:32">
      <c r="B163" s="22" t="s">
        <v>39</v>
      </c>
      <c r="C163" s="11">
        <v>0</v>
      </c>
      <c r="D163" s="11">
        <v>0</v>
      </c>
      <c r="E163" s="11">
        <v>0</v>
      </c>
      <c r="F163" s="11">
        <v>0</v>
      </c>
      <c r="G163" s="11">
        <v>0</v>
      </c>
      <c r="H163" s="11"/>
      <c r="I163" s="11"/>
      <c r="J163" s="11"/>
      <c r="K163" s="11"/>
      <c r="L163" s="11"/>
      <c r="M163" s="11"/>
      <c r="N163" s="11"/>
      <c r="O163" s="11">
        <v>0</v>
      </c>
      <c r="P163" s="11">
        <f>P159*$Q$48</f>
        <v>48.254232629396071</v>
      </c>
      <c r="Q163" s="11">
        <f>Q159*$D$48</f>
        <v>0</v>
      </c>
      <c r="R163" s="11">
        <v>0</v>
      </c>
      <c r="S163" s="11">
        <f t="shared" si="29"/>
        <v>48.254232629396071</v>
      </c>
      <c r="U163" s="22" t="s">
        <v>39</v>
      </c>
      <c r="V163" s="11">
        <v>0</v>
      </c>
      <c r="W163" s="11">
        <v>0</v>
      </c>
      <c r="X163" s="11">
        <v>0</v>
      </c>
      <c r="Y163" s="11">
        <v>0</v>
      </c>
      <c r="Z163" s="11">
        <v>0</v>
      </c>
      <c r="AA163" s="11">
        <v>0</v>
      </c>
      <c r="AB163" s="11">
        <f>AB159*$Q$48</f>
        <v>47.175999779518392</v>
      </c>
      <c r="AC163" s="11">
        <f>AC159*$D$48</f>
        <v>0</v>
      </c>
      <c r="AD163" s="11">
        <v>0</v>
      </c>
      <c r="AE163" s="11">
        <f t="shared" si="30"/>
        <v>47.175999779518392</v>
      </c>
    </row>
    <row r="164" spans="2:32">
      <c r="B164" s="24" t="s">
        <v>40</v>
      </c>
      <c r="C164" s="15">
        <f t="shared" ref="C164:O164" si="31">SUM(C158:C163)</f>
        <v>0</v>
      </c>
      <c r="D164" s="15">
        <f t="shared" si="31"/>
        <v>0</v>
      </c>
      <c r="E164" s="15">
        <f t="shared" si="31"/>
        <v>1104.369724282783</v>
      </c>
      <c r="F164" s="15">
        <f t="shared" si="31"/>
        <v>0</v>
      </c>
      <c r="G164" s="15">
        <f t="shared" si="31"/>
        <v>416.36232992523549</v>
      </c>
      <c r="H164" s="15"/>
      <c r="I164" s="15"/>
      <c r="J164" s="15"/>
      <c r="K164" s="15"/>
      <c r="L164" s="15"/>
      <c r="M164" s="15"/>
      <c r="N164" s="15"/>
      <c r="O164" s="15">
        <f t="shared" si="31"/>
        <v>0</v>
      </c>
      <c r="P164" s="15">
        <f>-P172</f>
        <v>-697.25415043178896</v>
      </c>
      <c r="Q164" s="15">
        <f>-Q172</f>
        <v>0</v>
      </c>
      <c r="R164" s="15">
        <v>0</v>
      </c>
      <c r="S164" s="15">
        <f t="shared" si="29"/>
        <v>823.47790377622937</v>
      </c>
      <c r="U164" s="24" t="s">
        <v>40</v>
      </c>
      <c r="V164" s="15">
        <f t="shared" ref="V164:AA164" si="32">SUM(V158:V163)</f>
        <v>0</v>
      </c>
      <c r="W164" s="15">
        <f t="shared" si="32"/>
        <v>0</v>
      </c>
      <c r="X164" s="15">
        <f t="shared" si="32"/>
        <v>1010.4017675940885</v>
      </c>
      <c r="Y164" s="15">
        <f t="shared" si="32"/>
        <v>0</v>
      </c>
      <c r="Z164" s="15">
        <f t="shared" si="32"/>
        <v>357.29326604579853</v>
      </c>
      <c r="AA164" s="15">
        <f t="shared" si="32"/>
        <v>106.80797092763282</v>
      </c>
      <c r="AB164" s="15">
        <f>-AB172</f>
        <v>-681.67412172253307</v>
      </c>
      <c r="AC164" s="15">
        <f>-AC172</f>
        <v>0</v>
      </c>
      <c r="AD164" s="15">
        <v>0</v>
      </c>
      <c r="AE164" s="15">
        <f t="shared" si="30"/>
        <v>792.82888284498677</v>
      </c>
    </row>
    <row r="165" spans="2:32">
      <c r="B165" s="22" t="s">
        <v>41</v>
      </c>
      <c r="C165" s="11">
        <v>0</v>
      </c>
      <c r="D165" s="11">
        <v>0</v>
      </c>
      <c r="E165" s="11">
        <f>Industrie!F35</f>
        <v>0</v>
      </c>
      <c r="F165" s="11">
        <v>0</v>
      </c>
      <c r="G165" s="11">
        <v>0</v>
      </c>
      <c r="H165" s="11"/>
      <c r="I165" s="11"/>
      <c r="J165" s="11"/>
      <c r="K165" s="11"/>
      <c r="L165" s="11"/>
      <c r="M165" s="11"/>
      <c r="N165" s="11"/>
      <c r="O165" s="11">
        <f>Industrie!F38</f>
        <v>0</v>
      </c>
      <c r="P165" s="11">
        <f>Industrie!F36</f>
        <v>329.86410609963207</v>
      </c>
      <c r="Q165" s="11">
        <f>Industrie!F39</f>
        <v>0</v>
      </c>
      <c r="R165" s="11">
        <v>0</v>
      </c>
      <c r="S165" s="11">
        <f t="shared" si="29"/>
        <v>329.86410609963207</v>
      </c>
      <c r="U165" s="22" t="s">
        <v>41</v>
      </c>
      <c r="V165" s="11">
        <v>0</v>
      </c>
      <c r="W165" s="11">
        <v>0</v>
      </c>
      <c r="X165" s="11">
        <f>Industrie!F56</f>
        <v>0</v>
      </c>
      <c r="Y165" s="11">
        <v>0</v>
      </c>
      <c r="Z165" s="11">
        <v>0</v>
      </c>
      <c r="AA165" s="11">
        <f>Industrie!F62</f>
        <v>0</v>
      </c>
      <c r="AB165" s="11">
        <f>Industrie!F57</f>
        <v>281.56775088738721</v>
      </c>
      <c r="AC165" s="11">
        <f>Industrie!F63</f>
        <v>0</v>
      </c>
      <c r="AD165" s="11">
        <v>0</v>
      </c>
      <c r="AE165" s="11">
        <f t="shared" si="30"/>
        <v>281.56775088738721</v>
      </c>
    </row>
    <row r="166" spans="2:32">
      <c r="B166" s="22" t="s">
        <v>42</v>
      </c>
      <c r="C166" s="11">
        <v>0</v>
      </c>
      <c r="D166" s="11">
        <v>0</v>
      </c>
      <c r="E166" s="11">
        <f>Transports!H49</f>
        <v>1292.6203406525919</v>
      </c>
      <c r="F166" s="11">
        <v>0</v>
      </c>
      <c r="G166" s="11">
        <v>0</v>
      </c>
      <c r="H166" s="11"/>
      <c r="I166" s="11"/>
      <c r="J166" s="11"/>
      <c r="K166" s="11"/>
      <c r="L166" s="11"/>
      <c r="M166" s="11"/>
      <c r="N166" s="11"/>
      <c r="O166" s="11">
        <v>0</v>
      </c>
      <c r="P166" s="11">
        <f>Transports!H50</f>
        <v>18.384466398706831</v>
      </c>
      <c r="Q166" s="11">
        <v>0</v>
      </c>
      <c r="R166" s="11">
        <v>0</v>
      </c>
      <c r="S166" s="11">
        <f>Transports!H51</f>
        <v>1311.0048070512987</v>
      </c>
      <c r="U166" s="22" t="s">
        <v>42</v>
      </c>
      <c r="V166" s="11">
        <v>0</v>
      </c>
      <c r="W166" s="11">
        <v>0</v>
      </c>
      <c r="X166" s="11">
        <f>Transports!H76</f>
        <v>689.63654344262318</v>
      </c>
      <c r="Y166" s="11">
        <v>0</v>
      </c>
      <c r="Z166" s="11">
        <v>0</v>
      </c>
      <c r="AA166" s="11">
        <v>0</v>
      </c>
      <c r="AB166" s="11">
        <f>Transports!H77</f>
        <v>115.06585283514583</v>
      </c>
      <c r="AC166" s="11">
        <v>0</v>
      </c>
      <c r="AD166" s="11">
        <v>0</v>
      </c>
      <c r="AE166" s="11">
        <f>Transports!H78</f>
        <v>804.70239627776903</v>
      </c>
    </row>
    <row r="167" spans="2:32">
      <c r="B167" s="22" t="s">
        <v>43</v>
      </c>
      <c r="C167" s="11">
        <v>0</v>
      </c>
      <c r="D167" s="11">
        <v>0</v>
      </c>
      <c r="E167" s="11">
        <f>'Résidentiel-tertiaire'!F172</f>
        <v>88.172101576182143</v>
      </c>
      <c r="F167" s="11">
        <v>0</v>
      </c>
      <c r="G167" s="11">
        <v>0</v>
      </c>
      <c r="H167" s="11"/>
      <c r="I167" s="11"/>
      <c r="J167" s="11"/>
      <c r="K167" s="11"/>
      <c r="L167" s="11"/>
      <c r="M167" s="11"/>
      <c r="N167" s="11"/>
      <c r="O167" s="11">
        <f>'Résidentiel-tertiaire'!F173</f>
        <v>21.477819614711034</v>
      </c>
      <c r="P167" s="11">
        <f>'Résidentiel-tertiaire'!F174</f>
        <v>236.25601576182135</v>
      </c>
      <c r="Q167" s="11">
        <v>0</v>
      </c>
      <c r="R167" s="11">
        <v>0</v>
      </c>
      <c r="S167" s="11">
        <f>SUM(C167:R167)</f>
        <v>345.90593695271451</v>
      </c>
      <c r="U167" s="22" t="s">
        <v>43</v>
      </c>
      <c r="V167" s="11">
        <v>0</v>
      </c>
      <c r="W167" s="11">
        <v>0</v>
      </c>
      <c r="X167" s="11">
        <f>'Résidentiel-tertiaire'!F187</f>
        <v>45.356999999999999</v>
      </c>
      <c r="Y167" s="11">
        <v>0</v>
      </c>
      <c r="Z167" s="11">
        <v>0</v>
      </c>
      <c r="AA167" s="11">
        <f>'Résidentiel-tertiaire'!F188</f>
        <v>39.617594999999994</v>
      </c>
      <c r="AB167" s="11">
        <f>'Résidentiel-tertiaire'!F189</f>
        <v>184.42505100000002</v>
      </c>
      <c r="AC167" s="11">
        <v>0</v>
      </c>
      <c r="AD167" s="11">
        <v>0</v>
      </c>
      <c r="AE167" s="11">
        <f>SUM(V167:AD167)</f>
        <v>269.39964600000002</v>
      </c>
    </row>
    <row r="168" spans="2:32">
      <c r="B168" s="22" t="s">
        <v>44</v>
      </c>
      <c r="C168" s="11">
        <v>0</v>
      </c>
      <c r="D168" s="11">
        <v>0</v>
      </c>
      <c r="E168" s="11">
        <f>'Résidentiel-tertiaire'!F177</f>
        <v>38.433992994746056</v>
      </c>
      <c r="F168" s="11">
        <v>0</v>
      </c>
      <c r="G168" s="11">
        <v>0</v>
      </c>
      <c r="H168" s="11"/>
      <c r="I168" s="11"/>
      <c r="J168" s="11"/>
      <c r="K168" s="11"/>
      <c r="L168" s="11"/>
      <c r="M168" s="11"/>
      <c r="N168" s="11"/>
      <c r="O168" s="11">
        <f>'Résidentiel-tertiaire'!F178</f>
        <v>0</v>
      </c>
      <c r="P168" s="11">
        <f>'Résidentiel-tertiaire'!F180</f>
        <v>112.74956217162872</v>
      </c>
      <c r="Q168" s="11">
        <v>0</v>
      </c>
      <c r="R168" s="11">
        <v>0</v>
      </c>
      <c r="S168" s="11">
        <f>SUM(C168:R168)</f>
        <v>151.18355516637479</v>
      </c>
      <c r="U168" s="22" t="s">
        <v>44</v>
      </c>
      <c r="V168" s="11">
        <v>0</v>
      </c>
      <c r="W168" s="11">
        <v>0</v>
      </c>
      <c r="X168" s="11">
        <f>'Résidentiel-tertiaire'!F192</f>
        <v>19.771000000000001</v>
      </c>
      <c r="Y168" s="11">
        <v>0</v>
      </c>
      <c r="Z168" s="11">
        <v>0</v>
      </c>
      <c r="AA168" s="11">
        <f>'Résidentiel-tertiaire'!F193</f>
        <v>0</v>
      </c>
      <c r="AB168" s="11">
        <f>'Résidentiel-tertiaire'!F194</f>
        <v>100.615467</v>
      </c>
      <c r="AC168" s="11">
        <v>0</v>
      </c>
      <c r="AD168" s="11">
        <v>0</v>
      </c>
      <c r="AE168" s="11">
        <f>SUM(V168:AD168)</f>
        <v>120.386467</v>
      </c>
    </row>
    <row r="169" spans="2:32">
      <c r="B169" s="22" t="s">
        <v>4</v>
      </c>
      <c r="C169" s="11">
        <v>0</v>
      </c>
      <c r="D169" s="11">
        <v>0</v>
      </c>
      <c r="E169" s="11">
        <f>Agriculture!P27</f>
        <v>103.33074547683367</v>
      </c>
      <c r="F169" s="11">
        <v>0</v>
      </c>
      <c r="G169" s="11">
        <v>0</v>
      </c>
      <c r="H169" s="11"/>
      <c r="I169" s="11"/>
      <c r="J169" s="11"/>
      <c r="K169" s="11"/>
      <c r="L169" s="11"/>
      <c r="M169" s="11"/>
      <c r="N169" s="11"/>
      <c r="O169" s="11">
        <v>0</v>
      </c>
      <c r="P169" s="11">
        <f>Agriculture!P28</f>
        <v>0</v>
      </c>
      <c r="Q169" s="11">
        <v>0</v>
      </c>
      <c r="R169" s="11">
        <v>0</v>
      </c>
      <c r="S169" s="11">
        <f>SUM(C169:R169)</f>
        <v>103.33074547683367</v>
      </c>
      <c r="U169" s="22" t="s">
        <v>4</v>
      </c>
      <c r="V169" s="11">
        <v>0</v>
      </c>
      <c r="W169" s="11">
        <v>0</v>
      </c>
      <c r="X169" s="11">
        <f>Agriculture!U43</f>
        <v>61.33887096774194</v>
      </c>
      <c r="Y169" s="11">
        <v>0</v>
      </c>
      <c r="Z169" s="11">
        <v>0</v>
      </c>
      <c r="AA169" s="11">
        <f>Agriculture!U45</f>
        <v>90.094533677419363</v>
      </c>
      <c r="AB169" s="11">
        <f>Agriculture!U44</f>
        <v>0</v>
      </c>
      <c r="AC169" s="11">
        <v>0</v>
      </c>
      <c r="AD169" s="11">
        <v>0</v>
      </c>
      <c r="AE169" s="11">
        <f>SUM(V169:AD169)</f>
        <v>151.43340464516132</v>
      </c>
    </row>
    <row r="170" spans="2:32">
      <c r="B170" s="26" t="s">
        <v>45</v>
      </c>
      <c r="C170" s="19">
        <v>0</v>
      </c>
      <c r="D170" s="19">
        <v>0</v>
      </c>
      <c r="E170" s="19">
        <f t="shared" ref="E170:S170" si="33">SUM(E165:E169)</f>
        <v>1522.5571807003537</v>
      </c>
      <c r="F170" s="19">
        <f t="shared" si="33"/>
        <v>0</v>
      </c>
      <c r="G170" s="19">
        <f t="shared" si="33"/>
        <v>0</v>
      </c>
      <c r="H170" s="19"/>
      <c r="I170" s="19"/>
      <c r="J170" s="19"/>
      <c r="K170" s="19"/>
      <c r="L170" s="19"/>
      <c r="M170" s="19"/>
      <c r="N170" s="19"/>
      <c r="O170" s="19">
        <f t="shared" si="33"/>
        <v>21.477819614711034</v>
      </c>
      <c r="P170" s="19">
        <f t="shared" si="33"/>
        <v>697.25415043178896</v>
      </c>
      <c r="Q170" s="19">
        <f t="shared" si="33"/>
        <v>0</v>
      </c>
      <c r="R170" s="19">
        <f t="shared" si="33"/>
        <v>0</v>
      </c>
      <c r="S170" s="19">
        <f t="shared" si="33"/>
        <v>2241.2891507468539</v>
      </c>
      <c r="U170" s="26" t="s">
        <v>45</v>
      </c>
      <c r="V170" s="19">
        <v>0</v>
      </c>
      <c r="W170" s="19">
        <v>0</v>
      </c>
      <c r="X170" s="19">
        <f t="shared" ref="X170:AE170" si="34">SUM(X165:X169)</f>
        <v>816.10341441036508</v>
      </c>
      <c r="Y170" s="19">
        <f t="shared" si="34"/>
        <v>0</v>
      </c>
      <c r="Z170" s="19">
        <f t="shared" si="34"/>
        <v>0</v>
      </c>
      <c r="AA170" s="19">
        <f t="shared" si="34"/>
        <v>129.71212867741934</v>
      </c>
      <c r="AB170" s="19">
        <f t="shared" si="34"/>
        <v>681.67412172253307</v>
      </c>
      <c r="AC170" s="19">
        <f t="shared" si="34"/>
        <v>0</v>
      </c>
      <c r="AD170" s="19">
        <f t="shared" si="34"/>
        <v>0</v>
      </c>
      <c r="AE170" s="19">
        <f t="shared" si="34"/>
        <v>1627.4896648103177</v>
      </c>
    </row>
    <row r="171" spans="2:32">
      <c r="B171" s="26" t="s">
        <v>46</v>
      </c>
      <c r="C171" s="19">
        <v>0</v>
      </c>
      <c r="D171" s="19">
        <v>0</v>
      </c>
      <c r="E171" s="19">
        <f>Industrie!F37</f>
        <v>0</v>
      </c>
      <c r="F171" s="19">
        <v>0</v>
      </c>
      <c r="G171" s="19">
        <v>0</v>
      </c>
      <c r="H171" s="19"/>
      <c r="I171" s="19"/>
      <c r="J171" s="19"/>
      <c r="K171" s="19"/>
      <c r="L171" s="19"/>
      <c r="M171" s="19"/>
      <c r="N171" s="19"/>
      <c r="O171" s="19">
        <v>0</v>
      </c>
      <c r="P171" s="19">
        <v>0</v>
      </c>
      <c r="Q171" s="19">
        <v>0</v>
      </c>
      <c r="R171" s="19">
        <v>0</v>
      </c>
      <c r="S171" s="19">
        <f>SUM(C171:R171)</f>
        <v>0</v>
      </c>
      <c r="U171" s="26" t="s">
        <v>46</v>
      </c>
      <c r="V171" s="19">
        <v>0</v>
      </c>
      <c r="W171" s="19">
        <v>0</v>
      </c>
      <c r="X171" s="19">
        <f>Industrie!F59</f>
        <v>0</v>
      </c>
      <c r="Y171" s="19">
        <v>0</v>
      </c>
      <c r="Z171" s="19">
        <v>0</v>
      </c>
      <c r="AA171" s="19">
        <f>Industrie!F61</f>
        <v>0</v>
      </c>
      <c r="AB171" s="19">
        <v>0</v>
      </c>
      <c r="AC171" s="19">
        <v>0</v>
      </c>
      <c r="AD171" s="19">
        <v>0</v>
      </c>
      <c r="AE171" s="19">
        <f>SUM(V171:AD171)</f>
        <v>0</v>
      </c>
    </row>
    <row r="172" spans="2:32">
      <c r="B172" s="24" t="s">
        <v>47</v>
      </c>
      <c r="C172" s="15">
        <v>0</v>
      </c>
      <c r="D172" s="15">
        <v>0</v>
      </c>
      <c r="E172" s="15">
        <f t="shared" ref="E172:S172" si="35">SUM(E170:E171)</f>
        <v>1522.5571807003537</v>
      </c>
      <c r="F172" s="15">
        <f t="shared" si="35"/>
        <v>0</v>
      </c>
      <c r="G172" s="15">
        <f t="shared" si="35"/>
        <v>0</v>
      </c>
      <c r="H172" s="15"/>
      <c r="I172" s="15"/>
      <c r="J172" s="15"/>
      <c r="K172" s="15"/>
      <c r="L172" s="15"/>
      <c r="M172" s="15"/>
      <c r="N172" s="15"/>
      <c r="O172" s="15">
        <f t="shared" si="35"/>
        <v>21.477819614711034</v>
      </c>
      <c r="P172" s="15">
        <f t="shared" si="35"/>
        <v>697.25415043178896</v>
      </c>
      <c r="Q172" s="15">
        <f t="shared" si="35"/>
        <v>0</v>
      </c>
      <c r="R172" s="15">
        <f t="shared" si="35"/>
        <v>0</v>
      </c>
      <c r="S172" s="15">
        <f t="shared" si="35"/>
        <v>2241.2891507468539</v>
      </c>
      <c r="T172" s="27">
        <f>SUM(C172:R172)</f>
        <v>2241.2891507468539</v>
      </c>
      <c r="U172" s="24" t="s">
        <v>47</v>
      </c>
      <c r="V172" s="15">
        <v>0</v>
      </c>
      <c r="W172" s="15">
        <v>0</v>
      </c>
      <c r="X172" s="15">
        <f t="shared" ref="X172:AE172" si="36">SUM(X170:X171)</f>
        <v>816.10341441036508</v>
      </c>
      <c r="Y172" s="15">
        <f t="shared" si="36"/>
        <v>0</v>
      </c>
      <c r="Z172" s="15">
        <f t="shared" si="36"/>
        <v>0</v>
      </c>
      <c r="AA172" s="15">
        <f t="shared" si="36"/>
        <v>129.71212867741934</v>
      </c>
      <c r="AB172" s="15">
        <f t="shared" si="36"/>
        <v>681.67412172253307</v>
      </c>
      <c r="AC172" s="15">
        <f t="shared" si="36"/>
        <v>0</v>
      </c>
      <c r="AD172" s="15">
        <f t="shared" si="36"/>
        <v>0</v>
      </c>
      <c r="AE172" s="15">
        <f t="shared" si="36"/>
        <v>1627.4896648103177</v>
      </c>
      <c r="AF172" s="27">
        <f>SUM(V172:AD172)</f>
        <v>1627.4896648103174</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14"/>
      <c r="I179" s="214"/>
      <c r="J179" s="214"/>
      <c r="K179" s="214"/>
      <c r="L179" s="214"/>
      <c r="M179" s="214"/>
      <c r="N179" s="214"/>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1125.8409309578185</v>
      </c>
      <c r="F191" s="11">
        <v>0</v>
      </c>
      <c r="G191" s="11">
        <f>(P191-Q191)*$X$48*('Prod Energie'!G40+'Prod Energie'!D39)</f>
        <v>415.25036106858244</v>
      </c>
      <c r="H191" s="11"/>
      <c r="I191" s="11"/>
      <c r="J191" s="11"/>
      <c r="K191" s="11"/>
      <c r="L191" s="11"/>
      <c r="M191" s="11"/>
      <c r="N191" s="11"/>
      <c r="O191" s="11">
        <f>(P191-Q191)*$X$48*('Prod Energie'!G38)</f>
        <v>0</v>
      </c>
      <c r="P191" s="11">
        <f>P196/(1+$P$48+$Q$48)</f>
        <v>-768.34654723040092</v>
      </c>
      <c r="Q191" s="11">
        <f>Q196/(1+$D$48)</f>
        <v>0</v>
      </c>
      <c r="R191" s="11">
        <v>0</v>
      </c>
      <c r="S191" s="11">
        <f t="shared" si="41"/>
        <v>772.74474479599996</v>
      </c>
      <c r="U191" s="22" t="s">
        <v>35</v>
      </c>
      <c r="V191" s="11">
        <f>(AB191-AC191)*$X$48*('Prod Energie'!G53)</f>
        <v>0</v>
      </c>
      <c r="W191" s="11">
        <v>0</v>
      </c>
      <c r="X191" s="11">
        <f>(AB191-AC191)*$X$48*('Prod Energie'!G54)</f>
        <v>1074.9103104231503</v>
      </c>
      <c r="Y191" s="11">
        <v>0</v>
      </c>
      <c r="Z191" s="11">
        <f>(AB191-AC191)*$X$48*('Prod Energie'!G61+'Prod Energie'!D60)</f>
        <v>349.19419211811987</v>
      </c>
      <c r="AA191" s="11">
        <f>(AB191-AC191)*$X$48*('Prod Energie'!G59)</f>
        <v>144.49002726576819</v>
      </c>
      <c r="AB191" s="11">
        <f>AB196/(1+$P$48+$Q$48)</f>
        <v>-784.99110737666422</v>
      </c>
      <c r="AC191" s="11">
        <f>AC196/(1+$D$48)</f>
        <v>0</v>
      </c>
      <c r="AD191" s="11">
        <v>0</v>
      </c>
      <c r="AE191" s="11">
        <f t="shared" si="42"/>
        <v>783.60342243037428</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9.1750539115838272</v>
      </c>
      <c r="Q194" s="11">
        <v>0</v>
      </c>
      <c r="R194" s="11">
        <v>0</v>
      </c>
      <c r="S194" s="11">
        <f t="shared" si="41"/>
        <v>9.1750539115838272</v>
      </c>
      <c r="U194" s="22" t="s">
        <v>38</v>
      </c>
      <c r="V194" s="11">
        <v>0</v>
      </c>
      <c r="W194" s="11">
        <v>0</v>
      </c>
      <c r="X194" s="11">
        <v>0</v>
      </c>
      <c r="Y194" s="11">
        <v>0</v>
      </c>
      <c r="Z194" s="11">
        <v>0</v>
      </c>
      <c r="AA194" s="11">
        <v>0</v>
      </c>
      <c r="AB194" s="11">
        <f>AB191*$P$48</f>
        <v>9.3738115388902088</v>
      </c>
      <c r="AC194" s="11">
        <v>0</v>
      </c>
      <c r="AD194" s="11">
        <v>0</v>
      </c>
      <c r="AE194" s="11">
        <f t="shared" si="42"/>
        <v>9.3738115388902088</v>
      </c>
    </row>
    <row r="195" spans="2:32">
      <c r="B195" s="22" t="s">
        <v>39</v>
      </c>
      <c r="C195" s="11">
        <v>0</v>
      </c>
      <c r="D195" s="11">
        <v>0</v>
      </c>
      <c r="E195" s="11">
        <v>0</v>
      </c>
      <c r="F195" s="11">
        <v>0</v>
      </c>
      <c r="G195" s="11">
        <v>0</v>
      </c>
      <c r="H195" s="11"/>
      <c r="I195" s="11"/>
      <c r="J195" s="11"/>
      <c r="K195" s="11"/>
      <c r="L195" s="11"/>
      <c r="M195" s="11"/>
      <c r="N195" s="11"/>
      <c r="O195" s="11">
        <v>0</v>
      </c>
      <c r="P195" s="11">
        <f>P191*$Q$48</f>
        <v>49.138599479981508</v>
      </c>
      <c r="Q195" s="11">
        <f>Q191*$D$48</f>
        <v>0</v>
      </c>
      <c r="R195" s="11">
        <v>0</v>
      </c>
      <c r="S195" s="11">
        <f t="shared" si="41"/>
        <v>49.138599479981508</v>
      </c>
      <c r="U195" s="22" t="s">
        <v>39</v>
      </c>
      <c r="V195" s="11">
        <v>0</v>
      </c>
      <c r="W195" s="11">
        <v>0</v>
      </c>
      <c r="X195" s="11">
        <v>0</v>
      </c>
      <c r="Y195" s="11">
        <v>0</v>
      </c>
      <c r="Z195" s="11">
        <v>0</v>
      </c>
      <c r="AA195" s="11">
        <v>0</v>
      </c>
      <c r="AB195" s="11">
        <f>AB191*$Q$48</f>
        <v>50.203080575778557</v>
      </c>
      <c r="AC195" s="11">
        <f>AC191*$D$48</f>
        <v>0</v>
      </c>
      <c r="AD195" s="11">
        <v>0</v>
      </c>
      <c r="AE195" s="11">
        <f t="shared" si="42"/>
        <v>50.203080575778557</v>
      </c>
    </row>
    <row r="196" spans="2:32">
      <c r="B196" s="24" t="s">
        <v>40</v>
      </c>
      <c r="C196" s="15">
        <f t="shared" ref="C196:O196" si="43">SUM(C190:C195)</f>
        <v>0</v>
      </c>
      <c r="D196" s="15">
        <f t="shared" si="43"/>
        <v>0</v>
      </c>
      <c r="E196" s="15">
        <f t="shared" si="43"/>
        <v>1125.8409309578185</v>
      </c>
      <c r="F196" s="15">
        <f t="shared" si="43"/>
        <v>0</v>
      </c>
      <c r="G196" s="15">
        <f t="shared" si="43"/>
        <v>415.25036106858244</v>
      </c>
      <c r="H196" s="15"/>
      <c r="I196" s="15"/>
      <c r="J196" s="15"/>
      <c r="K196" s="15"/>
      <c r="L196" s="15"/>
      <c r="M196" s="15"/>
      <c r="N196" s="15"/>
      <c r="O196" s="15">
        <f t="shared" si="43"/>
        <v>0</v>
      </c>
      <c r="P196" s="15">
        <f>-P204</f>
        <v>-710.03289383883555</v>
      </c>
      <c r="Q196" s="15">
        <f>-Q204</f>
        <v>0</v>
      </c>
      <c r="R196" s="15">
        <v>0</v>
      </c>
      <c r="S196" s="15">
        <f t="shared" si="41"/>
        <v>831.05839818756533</v>
      </c>
      <c r="U196" s="24" t="s">
        <v>40</v>
      </c>
      <c r="V196" s="15">
        <f t="shared" ref="V196:AA196" si="44">SUM(V190:V195)</f>
        <v>0</v>
      </c>
      <c r="W196" s="15">
        <f t="shared" si="44"/>
        <v>0</v>
      </c>
      <c r="X196" s="15">
        <f t="shared" si="44"/>
        <v>1074.9103104231503</v>
      </c>
      <c r="Y196" s="15">
        <f t="shared" si="44"/>
        <v>0</v>
      </c>
      <c r="Z196" s="15">
        <f t="shared" si="44"/>
        <v>349.19419211811987</v>
      </c>
      <c r="AA196" s="15">
        <f t="shared" si="44"/>
        <v>144.49002726576819</v>
      </c>
      <c r="AB196" s="15">
        <f>-AB204</f>
        <v>-725.41421526199542</v>
      </c>
      <c r="AC196" s="15">
        <f>-AC204</f>
        <v>0</v>
      </c>
      <c r="AD196" s="15">
        <v>0</v>
      </c>
      <c r="AE196" s="15">
        <f t="shared" si="42"/>
        <v>843.18031454504307</v>
      </c>
    </row>
    <row r="197" spans="2:32">
      <c r="B197" s="22" t="s">
        <v>41</v>
      </c>
      <c r="C197" s="11">
        <v>0</v>
      </c>
      <c r="D197" s="11">
        <v>0</v>
      </c>
      <c r="E197" s="11">
        <f>Industrie!G35</f>
        <v>0</v>
      </c>
      <c r="F197" s="11">
        <v>0</v>
      </c>
      <c r="G197" s="11">
        <v>0</v>
      </c>
      <c r="H197" s="11"/>
      <c r="I197" s="11"/>
      <c r="J197" s="11"/>
      <c r="K197" s="11"/>
      <c r="L197" s="11"/>
      <c r="M197" s="11"/>
      <c r="N197" s="11"/>
      <c r="O197" s="11">
        <f>Industrie!H38</f>
        <v>0</v>
      </c>
      <c r="P197" s="11">
        <f>Industrie!G36</f>
        <v>338.36129251017519</v>
      </c>
      <c r="Q197" s="11">
        <f>Industrie!G39</f>
        <v>0</v>
      </c>
      <c r="R197" s="11">
        <v>0</v>
      </c>
      <c r="S197" s="11">
        <f t="shared" si="41"/>
        <v>338.36129251017519</v>
      </c>
      <c r="U197" s="22" t="s">
        <v>41</v>
      </c>
      <c r="V197" s="11">
        <v>0</v>
      </c>
      <c r="W197" s="11">
        <v>0</v>
      </c>
      <c r="X197" s="11">
        <f>Industrie!G56</f>
        <v>0</v>
      </c>
      <c r="Y197" s="11">
        <v>0</v>
      </c>
      <c r="Z197" s="11">
        <v>0</v>
      </c>
      <c r="AA197" s="11">
        <f>Industrie!G62</f>
        <v>0</v>
      </c>
      <c r="AB197" s="11">
        <f>Industrie!G57</f>
        <v>270.48216428402236</v>
      </c>
      <c r="AC197" s="11">
        <f>Industrie!G63</f>
        <v>0</v>
      </c>
      <c r="AD197" s="11">
        <v>0</v>
      </c>
      <c r="AE197" s="11">
        <f t="shared" si="42"/>
        <v>270.48216428402236</v>
      </c>
      <c r="AF197" s="27">
        <f t="shared" ref="AF197:AF202" si="45">SUM(V197:AD197)</f>
        <v>270.48216428402236</v>
      </c>
    </row>
    <row r="198" spans="2:32">
      <c r="B198" s="22" t="s">
        <v>42</v>
      </c>
      <c r="C198" s="11">
        <v>0</v>
      </c>
      <c r="D198" s="11">
        <v>0</v>
      </c>
      <c r="E198" s="11">
        <f>Transports!I49</f>
        <v>1260.0703921035552</v>
      </c>
      <c r="F198" s="11">
        <v>0</v>
      </c>
      <c r="G198" s="11">
        <v>0</v>
      </c>
      <c r="H198" s="11"/>
      <c r="I198" s="11"/>
      <c r="J198" s="11"/>
      <c r="K198" s="11"/>
      <c r="L198" s="11"/>
      <c r="M198" s="11"/>
      <c r="N198" s="11"/>
      <c r="O198" s="11">
        <v>0</v>
      </c>
      <c r="P198" s="11">
        <f>Transports!I50</f>
        <v>25.810217791007148</v>
      </c>
      <c r="Q198" s="11">
        <v>0</v>
      </c>
      <c r="R198" s="11">
        <v>0</v>
      </c>
      <c r="S198" s="11">
        <f>Transports!I51</f>
        <v>1285.8806098945622</v>
      </c>
      <c r="U198" s="22" t="s">
        <v>42</v>
      </c>
      <c r="V198" s="11">
        <v>0</v>
      </c>
      <c r="W198" s="11">
        <v>0</v>
      </c>
      <c r="X198" s="11">
        <f>Transports!I76</f>
        <v>391.68441828543291</v>
      </c>
      <c r="Y198" s="11">
        <v>0</v>
      </c>
      <c r="Z198" s="11">
        <v>0</v>
      </c>
      <c r="AA198" s="11">
        <v>0</v>
      </c>
      <c r="AB198" s="11">
        <f>Transports!I77</f>
        <v>156.97110564463975</v>
      </c>
      <c r="AC198" s="11">
        <v>0</v>
      </c>
      <c r="AD198" s="11">
        <v>0</v>
      </c>
      <c r="AE198" s="11">
        <f>Transports!I78</f>
        <v>548.6555239300726</v>
      </c>
      <c r="AF198" s="27">
        <f t="shared" si="45"/>
        <v>548.6555239300726</v>
      </c>
    </row>
    <row r="199" spans="2:32">
      <c r="B199" s="22" t="s">
        <v>43</v>
      </c>
      <c r="C199" s="11">
        <v>0</v>
      </c>
      <c r="D199" s="11">
        <v>0</v>
      </c>
      <c r="E199" s="11">
        <f>'Résidentiel-tertiaire'!G172</f>
        <v>87.377758318739055</v>
      </c>
      <c r="F199" s="11">
        <v>0</v>
      </c>
      <c r="G199" s="11">
        <v>0</v>
      </c>
      <c r="H199" s="11"/>
      <c r="I199" s="11"/>
      <c r="J199" s="11"/>
      <c r="K199" s="11"/>
      <c r="L199" s="11"/>
      <c r="M199" s="11"/>
      <c r="N199" s="11"/>
      <c r="O199" s="11">
        <f>'Résidentiel-tertiaire'!G173</f>
        <v>21.28432574430823</v>
      </c>
      <c r="P199" s="11">
        <f>'Résidentiel-tertiaire'!G174</f>
        <v>234.12758318739051</v>
      </c>
      <c r="Q199" s="11">
        <v>0</v>
      </c>
      <c r="R199" s="11">
        <v>0</v>
      </c>
      <c r="S199" s="11">
        <f>SUM(C199:R199)</f>
        <v>342.78966725043779</v>
      </c>
      <c r="U199" s="22" t="s">
        <v>43</v>
      </c>
      <c r="V199" s="11">
        <v>0</v>
      </c>
      <c r="W199" s="11">
        <v>0</v>
      </c>
      <c r="X199" s="11">
        <f>'Résidentiel-tertiaire'!G187</f>
        <v>30.238</v>
      </c>
      <c r="Y199" s="11">
        <v>0</v>
      </c>
      <c r="Z199" s="11">
        <v>0</v>
      </c>
      <c r="AA199" s="11">
        <f>'Résidentiel-tertiaire'!G188</f>
        <v>38.623230000000007</v>
      </c>
      <c r="AB199" s="11">
        <f>'Résidentiel-tertiaire'!G189</f>
        <v>193.776734</v>
      </c>
      <c r="AC199" s="11">
        <v>0</v>
      </c>
      <c r="AD199" s="11">
        <v>0</v>
      </c>
      <c r="AE199" s="11">
        <f>SUM(V199:AD199)</f>
        <v>262.63796400000001</v>
      </c>
      <c r="AF199" s="27">
        <f t="shared" si="45"/>
        <v>262.63796400000001</v>
      </c>
    </row>
    <row r="200" spans="2:32">
      <c r="B200" s="22" t="s">
        <v>44</v>
      </c>
      <c r="C200" s="11">
        <v>0</v>
      </c>
      <c r="D200" s="11">
        <v>0</v>
      </c>
      <c r="E200" s="11">
        <f>'Résidentiel-tertiaire'!G177</f>
        <v>38.087740805604199</v>
      </c>
      <c r="F200" s="11">
        <v>0</v>
      </c>
      <c r="G200" s="11">
        <v>0</v>
      </c>
      <c r="H200" s="11"/>
      <c r="I200" s="11"/>
      <c r="J200" s="11"/>
      <c r="K200" s="11"/>
      <c r="L200" s="11"/>
      <c r="M200" s="11"/>
      <c r="N200" s="11"/>
      <c r="O200" s="11">
        <f>'Résidentiel-tertiaire'!G178</f>
        <v>0</v>
      </c>
      <c r="P200" s="11">
        <f>'Résidentiel-tertiaire'!G180</f>
        <v>111.73380035026268</v>
      </c>
      <c r="Q200" s="11">
        <v>0</v>
      </c>
      <c r="R200" s="11">
        <v>0</v>
      </c>
      <c r="S200" s="11">
        <f>SUM(C200:R200)</f>
        <v>149.8215411558669</v>
      </c>
      <c r="U200" s="22" t="s">
        <v>44</v>
      </c>
      <c r="V200" s="11">
        <v>0</v>
      </c>
      <c r="W200" s="11">
        <v>0</v>
      </c>
      <c r="X200" s="11">
        <f>'Résidentiel-tertiaire'!G192</f>
        <v>13.180666666666667</v>
      </c>
      <c r="Y200" s="11">
        <v>0</v>
      </c>
      <c r="Z200" s="11">
        <v>0</v>
      </c>
      <c r="AA200" s="11">
        <f>'Résidentiel-tertiaire'!G193</f>
        <v>0</v>
      </c>
      <c r="AB200" s="11">
        <f>'Résidentiel-tertiaire'!G194</f>
        <v>104.18421133333334</v>
      </c>
      <c r="AC200" s="11">
        <v>0</v>
      </c>
      <c r="AD200" s="11">
        <v>0</v>
      </c>
      <c r="AE200" s="11">
        <f>SUM(V200:AD200)</f>
        <v>117.364878</v>
      </c>
      <c r="AF200" s="27">
        <f t="shared" si="45"/>
        <v>117.364878</v>
      </c>
    </row>
    <row r="201" spans="2:32">
      <c r="B201" s="22" t="s">
        <v>4</v>
      </c>
      <c r="C201" s="11">
        <v>0</v>
      </c>
      <c r="D201" s="11">
        <v>0</v>
      </c>
      <c r="E201" s="11">
        <f>Agriculture!S27</f>
        <v>96.006915938344207</v>
      </c>
      <c r="F201" s="11">
        <v>0</v>
      </c>
      <c r="G201" s="11">
        <v>0</v>
      </c>
      <c r="H201" s="11"/>
      <c r="I201" s="11"/>
      <c r="J201" s="11"/>
      <c r="K201" s="11"/>
      <c r="L201" s="11"/>
      <c r="M201" s="11"/>
      <c r="N201" s="11"/>
      <c r="O201" s="11">
        <v>0</v>
      </c>
      <c r="P201" s="11">
        <f>Agriculture!S28</f>
        <v>0</v>
      </c>
      <c r="Q201" s="11">
        <v>0</v>
      </c>
      <c r="R201" s="11">
        <v>0</v>
      </c>
      <c r="S201" s="11">
        <f>SUM(C201:R201)</f>
        <v>96.006915938344207</v>
      </c>
      <c r="U201" s="22" t="s">
        <v>4</v>
      </c>
      <c r="V201" s="11">
        <v>0</v>
      </c>
      <c r="W201" s="11">
        <v>0</v>
      </c>
      <c r="X201" s="11">
        <f>Agriculture!Y43</f>
        <v>40.892580645161289</v>
      </c>
      <c r="Y201" s="11">
        <v>0</v>
      </c>
      <c r="Z201" s="11">
        <v>0</v>
      </c>
      <c r="AA201" s="11">
        <f>Agriculture!Y45</f>
        <v>118.24907545161291</v>
      </c>
      <c r="AB201" s="11">
        <f>Agriculture!Y44</f>
        <v>0</v>
      </c>
      <c r="AC201" s="11">
        <v>0</v>
      </c>
      <c r="AD201" s="11">
        <v>0</v>
      </c>
      <c r="AE201" s="11">
        <f>SUM(V201:AD201)</f>
        <v>159.1416560967742</v>
      </c>
      <c r="AF201" s="27">
        <f t="shared" si="45"/>
        <v>159.1416560967742</v>
      </c>
    </row>
    <row r="202" spans="2:32">
      <c r="B202" s="26" t="s">
        <v>45</v>
      </c>
      <c r="C202" s="19">
        <v>0</v>
      </c>
      <c r="D202" s="19">
        <v>0</v>
      </c>
      <c r="E202" s="19">
        <f t="shared" ref="E202:S202" si="46">SUM(E197:E201)</f>
        <v>1481.5428071662427</v>
      </c>
      <c r="F202" s="19">
        <f t="shared" si="46"/>
        <v>0</v>
      </c>
      <c r="G202" s="19">
        <f t="shared" si="46"/>
        <v>0</v>
      </c>
      <c r="H202" s="19"/>
      <c r="I202" s="19"/>
      <c r="J202" s="19"/>
      <c r="K202" s="19"/>
      <c r="L202" s="19"/>
      <c r="M202" s="19"/>
      <c r="N202" s="19"/>
      <c r="O202" s="19">
        <f t="shared" si="46"/>
        <v>21.28432574430823</v>
      </c>
      <c r="P202" s="19">
        <f t="shared" si="46"/>
        <v>710.03289383883555</v>
      </c>
      <c r="Q202" s="19">
        <f t="shared" si="46"/>
        <v>0</v>
      </c>
      <c r="R202" s="19">
        <f t="shared" si="46"/>
        <v>0</v>
      </c>
      <c r="S202" s="19">
        <f t="shared" si="46"/>
        <v>2212.8600267493862</v>
      </c>
      <c r="U202" s="26" t="s">
        <v>45</v>
      </c>
      <c r="V202" s="19">
        <v>0</v>
      </c>
      <c r="W202" s="19">
        <v>0</v>
      </c>
      <c r="X202" s="19">
        <f t="shared" ref="X202:AE202" si="47">SUM(X197:X201)</f>
        <v>475.99566559726088</v>
      </c>
      <c r="Y202" s="19">
        <f t="shared" si="47"/>
        <v>0</v>
      </c>
      <c r="Z202" s="19">
        <f t="shared" si="47"/>
        <v>0</v>
      </c>
      <c r="AA202" s="19">
        <f t="shared" si="47"/>
        <v>156.87230545161293</v>
      </c>
      <c r="AB202" s="19">
        <f t="shared" si="47"/>
        <v>725.41421526199542</v>
      </c>
      <c r="AC202" s="19">
        <f t="shared" si="47"/>
        <v>0</v>
      </c>
      <c r="AD202" s="19">
        <f t="shared" si="47"/>
        <v>0</v>
      </c>
      <c r="AE202" s="19">
        <f t="shared" si="47"/>
        <v>1358.2821863108691</v>
      </c>
      <c r="AF202" s="27">
        <f t="shared" si="45"/>
        <v>1358.2821863108693</v>
      </c>
    </row>
    <row r="203" spans="2:32">
      <c r="B203" s="26" t="s">
        <v>46</v>
      </c>
      <c r="C203" s="19">
        <v>0</v>
      </c>
      <c r="D203" s="19">
        <v>0</v>
      </c>
      <c r="E203" s="19">
        <f>Industrie!G37</f>
        <v>0</v>
      </c>
      <c r="F203" s="19">
        <v>0</v>
      </c>
      <c r="G203" s="19">
        <v>0</v>
      </c>
      <c r="H203" s="19"/>
      <c r="I203" s="19"/>
      <c r="J203" s="19"/>
      <c r="K203" s="19"/>
      <c r="L203" s="19"/>
      <c r="M203" s="19"/>
      <c r="N203" s="19"/>
      <c r="O203" s="19">
        <v>0</v>
      </c>
      <c r="P203" s="19">
        <v>0</v>
      </c>
      <c r="Q203" s="19">
        <v>0</v>
      </c>
      <c r="R203" s="19">
        <v>0</v>
      </c>
      <c r="S203" s="19">
        <f>SUM(C203:R203)</f>
        <v>0</v>
      </c>
      <c r="U203" s="26" t="s">
        <v>46</v>
      </c>
      <c r="V203" s="19">
        <v>0</v>
      </c>
      <c r="W203" s="19">
        <v>0</v>
      </c>
      <c r="X203" s="19">
        <f>Industrie!G59</f>
        <v>0</v>
      </c>
      <c r="Y203" s="19">
        <v>0</v>
      </c>
      <c r="Z203" s="19">
        <v>0</v>
      </c>
      <c r="AA203" s="19">
        <f>Industrie!G61</f>
        <v>0</v>
      </c>
      <c r="AB203" s="19">
        <v>0</v>
      </c>
      <c r="AC203" s="19">
        <v>0</v>
      </c>
      <c r="AD203" s="19">
        <v>0</v>
      </c>
      <c r="AE203" s="19">
        <f>SUM(V203:AD203)</f>
        <v>0</v>
      </c>
      <c r="AF203" s="27">
        <f>SUM(AF197:AF201)</f>
        <v>1358.2821863108691</v>
      </c>
    </row>
    <row r="204" spans="2:32">
      <c r="B204" s="24" t="s">
        <v>47</v>
      </c>
      <c r="C204" s="15">
        <v>0</v>
      </c>
      <c r="D204" s="15">
        <v>0</v>
      </c>
      <c r="E204" s="15">
        <f t="shared" ref="E204:S204" si="48">SUM(E202:E203)</f>
        <v>1481.5428071662427</v>
      </c>
      <c r="F204" s="15">
        <f t="shared" si="48"/>
        <v>0</v>
      </c>
      <c r="G204" s="15">
        <f t="shared" si="48"/>
        <v>0</v>
      </c>
      <c r="H204" s="15"/>
      <c r="I204" s="15"/>
      <c r="J204" s="15"/>
      <c r="K204" s="15"/>
      <c r="L204" s="15"/>
      <c r="M204" s="15"/>
      <c r="N204" s="15"/>
      <c r="O204" s="15">
        <f t="shared" si="48"/>
        <v>21.28432574430823</v>
      </c>
      <c r="P204" s="15">
        <f t="shared" si="48"/>
        <v>710.03289383883555</v>
      </c>
      <c r="Q204" s="15">
        <f t="shared" si="48"/>
        <v>0</v>
      </c>
      <c r="R204" s="15">
        <f t="shared" si="48"/>
        <v>0</v>
      </c>
      <c r="S204" s="15">
        <f t="shared" si="48"/>
        <v>2212.8600267493862</v>
      </c>
      <c r="T204" s="27">
        <f>SUM(C204:R204)</f>
        <v>2212.8600267493866</v>
      </c>
      <c r="U204" s="24" t="s">
        <v>47</v>
      </c>
      <c r="V204" s="15">
        <v>0</v>
      </c>
      <c r="W204" s="15">
        <v>0</v>
      </c>
      <c r="X204" s="15">
        <f t="shared" ref="X204:AE204" si="49">SUM(X202:X203)</f>
        <v>475.99566559726088</v>
      </c>
      <c r="Y204" s="15">
        <f t="shared" si="49"/>
        <v>0</v>
      </c>
      <c r="Z204" s="15">
        <f t="shared" si="49"/>
        <v>0</v>
      </c>
      <c r="AA204" s="15">
        <f t="shared" si="49"/>
        <v>156.87230545161293</v>
      </c>
      <c r="AB204" s="15">
        <f t="shared" si="49"/>
        <v>725.41421526199542</v>
      </c>
      <c r="AC204" s="15">
        <f t="shared" si="49"/>
        <v>0</v>
      </c>
      <c r="AD204" s="15">
        <f t="shared" si="49"/>
        <v>0</v>
      </c>
      <c r="AE204" s="15">
        <f t="shared" si="49"/>
        <v>1358.2821863108691</v>
      </c>
      <c r="AF204" s="28">
        <f>SUM(V204:AD204)</f>
        <v>1358.2821863108693</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14"/>
      <c r="I214" s="214"/>
      <c r="J214" s="214"/>
      <c r="K214" s="214"/>
      <c r="L214" s="214"/>
      <c r="M214" s="214"/>
      <c r="N214" s="214"/>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1109.003235456365</v>
      </c>
      <c r="F226" s="11">
        <v>0</v>
      </c>
      <c r="G226" s="11">
        <f>(P226-Q226)*$X$48*('Prod Energie'!H40+'Prod Energie'!D39)</f>
        <v>413.99826805691129</v>
      </c>
      <c r="H226" s="11"/>
      <c r="I226" s="11"/>
      <c r="J226" s="11"/>
      <c r="K226" s="11"/>
      <c r="L226" s="11"/>
      <c r="M226" s="11"/>
      <c r="N226" s="11"/>
      <c r="O226" s="11">
        <f>(P226-Q226)*$X$48*('Prod Energie'!H38)</f>
        <v>0</v>
      </c>
      <c r="P226" s="11">
        <f>P231/(1+$P$48+$Q$48)</f>
        <v>-765.57931231570797</v>
      </c>
      <c r="Q226" s="11">
        <f>Q231/(1+$D$48)</f>
        <v>0</v>
      </c>
      <c r="R226" s="11">
        <v>0</v>
      </c>
      <c r="S226" s="11">
        <f t="shared" si="54"/>
        <v>757.42219119756828</v>
      </c>
      <c r="U226" s="22" t="s">
        <v>35</v>
      </c>
      <c r="V226" s="11">
        <f>(AB226-AC226)*$X$48*('Prod Energie'!H53)</f>
        <v>0</v>
      </c>
      <c r="W226" s="11">
        <v>0</v>
      </c>
      <c r="X226" s="11">
        <f>(AB226-AC226)*$X$48*('Prod Energie'!H54)</f>
        <v>1035.6148054802013</v>
      </c>
      <c r="Y226" s="11">
        <v>0</v>
      </c>
      <c r="Z226" s="11">
        <f>(AB226-AC226)*$X$48*('Prod Energie'!H61+'Prod Energie'!D60)</f>
        <v>349.58925167602848</v>
      </c>
      <c r="AA226" s="11">
        <f>(AB226-AC226)*$X$48*('Prod Energie'!H59)</f>
        <v>164.18830784256039</v>
      </c>
      <c r="AB226" s="11">
        <f>AB231/(1+$P$48+$Q$48)</f>
        <v>-784.44047489712636</v>
      </c>
      <c r="AC226" s="11">
        <f>AC231/(1+$D$48)</f>
        <v>0</v>
      </c>
      <c r="AD226" s="11">
        <v>0</v>
      </c>
      <c r="AE226" s="11">
        <f t="shared" si="55"/>
        <v>764.95189010166371</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9.1420095390674874</v>
      </c>
      <c r="Q229" s="11">
        <v>0</v>
      </c>
      <c r="R229" s="11">
        <v>0</v>
      </c>
      <c r="S229" s="11">
        <f t="shared" si="54"/>
        <v>9.1420095390674874</v>
      </c>
      <c r="U229" s="22" t="s">
        <v>38</v>
      </c>
      <c r="V229" s="11">
        <v>0</v>
      </c>
      <c r="W229" s="11">
        <v>0</v>
      </c>
      <c r="X229" s="11">
        <v>0</v>
      </c>
      <c r="Y229" s="11">
        <v>0</v>
      </c>
      <c r="Z229" s="11">
        <v>0</v>
      </c>
      <c r="AA229" s="11">
        <v>0</v>
      </c>
      <c r="AB229" s="11">
        <f>AB226*$P$48</f>
        <v>9.3672362732064638</v>
      </c>
      <c r="AC229" s="11">
        <v>0</v>
      </c>
      <c r="AD229" s="11">
        <v>0</v>
      </c>
      <c r="AE229" s="11">
        <f t="shared" si="55"/>
        <v>9.3672362732064638</v>
      </c>
    </row>
    <row r="230" spans="2:32">
      <c r="B230" s="22" t="s">
        <v>39</v>
      </c>
      <c r="C230" s="11">
        <v>0</v>
      </c>
      <c r="D230" s="11">
        <v>0</v>
      </c>
      <c r="E230" s="11">
        <v>0</v>
      </c>
      <c r="F230" s="11">
        <v>0</v>
      </c>
      <c r="G230" s="11">
        <v>0</v>
      </c>
      <c r="H230" s="11"/>
      <c r="I230" s="11"/>
      <c r="J230" s="11"/>
      <c r="K230" s="11"/>
      <c r="L230" s="11"/>
      <c r="M230" s="11"/>
      <c r="N230" s="11"/>
      <c r="O230" s="11">
        <v>0</v>
      </c>
      <c r="P230" s="11">
        <f>P226*$Q$48</f>
        <v>48.961624586777049</v>
      </c>
      <c r="Q230" s="11">
        <f>Q226*$D$48</f>
        <v>0</v>
      </c>
      <c r="R230" s="11">
        <v>0</v>
      </c>
      <c r="S230" s="11">
        <f t="shared" si="54"/>
        <v>48.961624586777049</v>
      </c>
      <c r="U230" s="22" t="s">
        <v>39</v>
      </c>
      <c r="V230" s="11">
        <v>0</v>
      </c>
      <c r="W230" s="11">
        <v>0</v>
      </c>
      <c r="X230" s="11">
        <v>0</v>
      </c>
      <c r="Y230" s="11">
        <v>0</v>
      </c>
      <c r="Z230" s="11">
        <v>0</v>
      </c>
      <c r="AA230" s="11">
        <v>0</v>
      </c>
      <c r="AB230" s="11">
        <f>AB226*$Q$48</f>
        <v>50.167865595025127</v>
      </c>
      <c r="AC230" s="11">
        <f>AC226*$D$48</f>
        <v>0</v>
      </c>
      <c r="AD230" s="11">
        <v>0</v>
      </c>
      <c r="AE230" s="11">
        <f t="shared" si="55"/>
        <v>50.167865595025127</v>
      </c>
    </row>
    <row r="231" spans="2:32">
      <c r="B231" s="24" t="s">
        <v>40</v>
      </c>
      <c r="C231" s="15">
        <f t="shared" ref="C231:O231" si="56">SUM(C225:C230)</f>
        <v>0</v>
      </c>
      <c r="D231" s="15">
        <f t="shared" si="56"/>
        <v>0</v>
      </c>
      <c r="E231" s="15">
        <f t="shared" si="56"/>
        <v>1109.003235456365</v>
      </c>
      <c r="F231" s="15">
        <f t="shared" si="56"/>
        <v>0</v>
      </c>
      <c r="G231" s="15">
        <f t="shared" si="56"/>
        <v>413.99826805691129</v>
      </c>
      <c r="H231" s="15"/>
      <c r="I231" s="15"/>
      <c r="J231" s="15"/>
      <c r="K231" s="15"/>
      <c r="L231" s="15"/>
      <c r="M231" s="15"/>
      <c r="N231" s="15"/>
      <c r="O231" s="15">
        <f t="shared" si="56"/>
        <v>0</v>
      </c>
      <c r="P231" s="15">
        <f>-P239</f>
        <v>-707.4756781898634</v>
      </c>
      <c r="Q231" s="15">
        <f>-Q239</f>
        <v>0</v>
      </c>
      <c r="R231" s="15">
        <v>0</v>
      </c>
      <c r="S231" s="15">
        <f t="shared" si="54"/>
        <v>815.52582532341285</v>
      </c>
      <c r="U231" s="24" t="s">
        <v>40</v>
      </c>
      <c r="V231" s="15">
        <f t="shared" ref="V231:AA231" si="57">SUM(V225:V230)</f>
        <v>0</v>
      </c>
      <c r="W231" s="15">
        <f t="shared" si="57"/>
        <v>0</v>
      </c>
      <c r="X231" s="15">
        <f t="shared" si="57"/>
        <v>1035.6148054802013</v>
      </c>
      <c r="Y231" s="15">
        <f t="shared" si="57"/>
        <v>0</v>
      </c>
      <c r="Z231" s="15">
        <f t="shared" si="57"/>
        <v>349.58925167602848</v>
      </c>
      <c r="AA231" s="15">
        <f t="shared" si="57"/>
        <v>164.18830784256039</v>
      </c>
      <c r="AB231" s="15">
        <f>-AB239</f>
        <v>-724.90537302889481</v>
      </c>
      <c r="AC231" s="15">
        <f>-AC239</f>
        <v>0</v>
      </c>
      <c r="AD231" s="15">
        <v>0</v>
      </c>
      <c r="AE231" s="15">
        <f t="shared" si="55"/>
        <v>824.48699196989526</v>
      </c>
    </row>
    <row r="232" spans="2:32">
      <c r="B232" s="22" t="s">
        <v>41</v>
      </c>
      <c r="C232" s="11">
        <v>0</v>
      </c>
      <c r="D232" s="11">
        <v>0</v>
      </c>
      <c r="E232" s="11">
        <f>Industrie!H35</f>
        <v>0</v>
      </c>
      <c r="F232" s="11">
        <v>0</v>
      </c>
      <c r="G232" s="11">
        <v>0</v>
      </c>
      <c r="H232" s="11"/>
      <c r="I232" s="11"/>
      <c r="J232" s="11"/>
      <c r="K232" s="11"/>
      <c r="L232" s="11"/>
      <c r="M232" s="11"/>
      <c r="N232" s="11"/>
      <c r="O232" s="11">
        <f>Industrie!H38</f>
        <v>0</v>
      </c>
      <c r="P232" s="11">
        <f>Industrie!H36</f>
        <v>331.17042385875766</v>
      </c>
      <c r="Q232" s="11">
        <f>Industrie!H39</f>
        <v>0</v>
      </c>
      <c r="R232" s="11">
        <v>0</v>
      </c>
      <c r="S232" s="11">
        <f t="shared" si="54"/>
        <v>331.17042385875766</v>
      </c>
      <c r="U232" s="22" t="s">
        <v>41</v>
      </c>
      <c r="V232" s="11">
        <v>0</v>
      </c>
      <c r="W232" s="11">
        <v>0</v>
      </c>
      <c r="X232" s="11">
        <f>Industrie!H56</f>
        <v>0</v>
      </c>
      <c r="Y232" s="11">
        <v>0</v>
      </c>
      <c r="Z232" s="11">
        <v>0</v>
      </c>
      <c r="AA232" s="11">
        <f>Industrie!H62</f>
        <v>0</v>
      </c>
      <c r="AB232" s="11">
        <f>Industrie!H57</f>
        <v>245.13494204093493</v>
      </c>
      <c r="AC232" s="11">
        <f>Industrie!H63</f>
        <v>0</v>
      </c>
      <c r="AD232" s="11">
        <v>0</v>
      </c>
      <c r="AE232" s="11">
        <f t="shared" si="55"/>
        <v>245.13494204093493</v>
      </c>
    </row>
    <row r="233" spans="2:32">
      <c r="B233" s="22" t="s">
        <v>42</v>
      </c>
      <c r="C233" s="11">
        <v>0</v>
      </c>
      <c r="D233" s="11">
        <v>0</v>
      </c>
      <c r="E233" s="11">
        <f>Transports!J49</f>
        <v>1256.0113513345873</v>
      </c>
      <c r="F233" s="11">
        <v>0</v>
      </c>
      <c r="G233" s="11">
        <v>0</v>
      </c>
      <c r="H233" s="11"/>
      <c r="I233" s="11"/>
      <c r="J233" s="11"/>
      <c r="K233" s="11"/>
      <c r="L233" s="11"/>
      <c r="M233" s="11"/>
      <c r="N233" s="11"/>
      <c r="O233" s="11">
        <v>0</v>
      </c>
      <c r="P233" s="11">
        <f>Transports!J50</f>
        <v>33.588065189249399</v>
      </c>
      <c r="Q233" s="11">
        <v>0</v>
      </c>
      <c r="R233" s="11">
        <v>0</v>
      </c>
      <c r="S233" s="11">
        <f>Transports!J51</f>
        <v>1289.5994165238367</v>
      </c>
      <c r="U233" s="22" t="s">
        <v>42</v>
      </c>
      <c r="V233" s="11">
        <v>0</v>
      </c>
      <c r="W233" s="11">
        <v>0</v>
      </c>
      <c r="X233" s="11">
        <f>Transports!J76</f>
        <v>182.78609842022291</v>
      </c>
      <c r="Y233" s="11">
        <v>0</v>
      </c>
      <c r="Z233" s="11">
        <v>0</v>
      </c>
      <c r="AA233" s="11">
        <v>0</v>
      </c>
      <c r="AB233" s="11">
        <f>Transports!J77</f>
        <v>168.88905832129319</v>
      </c>
      <c r="AC233" s="11">
        <v>0</v>
      </c>
      <c r="AD233" s="11">
        <v>0</v>
      </c>
      <c r="AE233" s="11">
        <f>Transports!J78</f>
        <v>351.6751567415161</v>
      </c>
    </row>
    <row r="234" spans="2:32">
      <c r="B234" s="22" t="s">
        <v>43</v>
      </c>
      <c r="C234" s="11">
        <v>0</v>
      </c>
      <c r="D234" s="11">
        <v>0</v>
      </c>
      <c r="E234" s="11">
        <f>'Résidentiel-tertiaire'!H172</f>
        <v>86.58341506129598</v>
      </c>
      <c r="F234" s="11">
        <v>0</v>
      </c>
      <c r="G234" s="11">
        <v>0</v>
      </c>
      <c r="H234" s="11"/>
      <c r="I234" s="11"/>
      <c r="J234" s="11"/>
      <c r="K234" s="11"/>
      <c r="L234" s="11"/>
      <c r="M234" s="11"/>
      <c r="N234" s="11"/>
      <c r="O234" s="11">
        <f>'Résidentiel-tertiaire'!H173</f>
        <v>21.090831873905429</v>
      </c>
      <c r="P234" s="11">
        <f>'Résidentiel-tertiaire'!H174</f>
        <v>231.99915061295974</v>
      </c>
      <c r="Q234" s="11">
        <v>0</v>
      </c>
      <c r="R234" s="11">
        <v>0</v>
      </c>
      <c r="S234" s="11">
        <f>SUM(C234:R234)</f>
        <v>339.67339754816112</v>
      </c>
      <c r="U234" s="22" t="s">
        <v>43</v>
      </c>
      <c r="V234" s="11">
        <v>0</v>
      </c>
      <c r="W234" s="11">
        <v>0</v>
      </c>
      <c r="X234" s="11">
        <f>'Résidentiel-tertiaire'!H187</f>
        <v>15.119</v>
      </c>
      <c r="Y234" s="11">
        <v>0</v>
      </c>
      <c r="Z234" s="11">
        <v>0</v>
      </c>
      <c r="AA234" s="11">
        <f>'Résidentiel-tertiaire'!H188</f>
        <v>37.628865000000005</v>
      </c>
      <c r="AB234" s="11">
        <f>'Résidentiel-tertiaire'!H189</f>
        <v>203.12841700000001</v>
      </c>
      <c r="AC234" s="11">
        <v>0</v>
      </c>
      <c r="AD234" s="11">
        <v>0</v>
      </c>
      <c r="AE234" s="11">
        <f>SUM(V234:AD234)</f>
        <v>255.876282</v>
      </c>
    </row>
    <row r="235" spans="2:32">
      <c r="B235" s="22" t="s">
        <v>44</v>
      </c>
      <c r="C235" s="11">
        <v>0</v>
      </c>
      <c r="D235" s="11">
        <v>0</v>
      </c>
      <c r="E235" s="11">
        <f>'Résidentiel-tertiaire'!H177</f>
        <v>37.741488616462348</v>
      </c>
      <c r="F235" s="11">
        <v>0</v>
      </c>
      <c r="G235" s="11">
        <v>0</v>
      </c>
      <c r="H235" s="11"/>
      <c r="I235" s="11"/>
      <c r="J235" s="11"/>
      <c r="K235" s="11"/>
      <c r="L235" s="11"/>
      <c r="M235" s="11"/>
      <c r="N235" s="11"/>
      <c r="O235" s="11">
        <f>'Résidentiel-tertiaire'!H178</f>
        <v>0</v>
      </c>
      <c r="P235" s="11">
        <f>'Résidentiel-tertiaire'!H180</f>
        <v>110.71803852889667</v>
      </c>
      <c r="Q235" s="11">
        <v>0</v>
      </c>
      <c r="R235" s="11">
        <v>0</v>
      </c>
      <c r="S235" s="11">
        <f>SUM(C235:R235)</f>
        <v>148.459527145359</v>
      </c>
      <c r="U235" s="22" t="s">
        <v>44</v>
      </c>
      <c r="V235" s="11">
        <v>0</v>
      </c>
      <c r="W235" s="11">
        <v>0</v>
      </c>
      <c r="X235" s="11">
        <f>'Résidentiel-tertiaire'!H192</f>
        <v>6.5903333333333336</v>
      </c>
      <c r="Y235" s="11">
        <v>0</v>
      </c>
      <c r="Z235" s="11">
        <v>0</v>
      </c>
      <c r="AA235" s="11">
        <f>'Résidentiel-tertiaire'!H193</f>
        <v>0</v>
      </c>
      <c r="AB235" s="11">
        <f>'Résidentiel-tertiaire'!H194</f>
        <v>107.75295566666667</v>
      </c>
      <c r="AC235" s="11">
        <v>0</v>
      </c>
      <c r="AD235" s="11">
        <v>0</v>
      </c>
      <c r="AE235" s="11">
        <f>SUM(V235:AD235)</f>
        <v>114.343289</v>
      </c>
    </row>
    <row r="236" spans="2:32">
      <c r="B236" s="22" t="s">
        <v>4</v>
      </c>
      <c r="C236" s="11">
        <v>0</v>
      </c>
      <c r="D236" s="11">
        <v>0</v>
      </c>
      <c r="E236" s="11">
        <f>Agriculture!V27</f>
        <v>88.68308639985473</v>
      </c>
      <c r="F236" s="11">
        <v>0</v>
      </c>
      <c r="G236" s="11">
        <v>0</v>
      </c>
      <c r="H236" s="11"/>
      <c r="I236" s="11"/>
      <c r="J236" s="11"/>
      <c r="K236" s="11"/>
      <c r="L236" s="11"/>
      <c r="M236" s="11"/>
      <c r="N236" s="11"/>
      <c r="O236" s="11">
        <v>0</v>
      </c>
      <c r="P236" s="11">
        <f>Agriculture!V28</f>
        <v>0</v>
      </c>
      <c r="Q236" s="11">
        <v>0</v>
      </c>
      <c r="R236" s="11">
        <v>0</v>
      </c>
      <c r="S236" s="11">
        <f>SUM(C236:R236)</f>
        <v>88.68308639985473</v>
      </c>
      <c r="U236" s="22" t="s">
        <v>4</v>
      </c>
      <c r="V236" s="11">
        <v>0</v>
      </c>
      <c r="W236" s="11">
        <v>0</v>
      </c>
      <c r="X236" s="11">
        <f>Agriculture!AC43</f>
        <v>20.446290322580637</v>
      </c>
      <c r="Y236" s="11">
        <v>0</v>
      </c>
      <c r="Z236" s="11">
        <v>0</v>
      </c>
      <c r="AA236" s="11">
        <f>Agriculture!AC45</f>
        <v>146.40361722580647</v>
      </c>
      <c r="AB236" s="11">
        <f>Agriculture!AC44</f>
        <v>0</v>
      </c>
      <c r="AC236" s="11">
        <v>0</v>
      </c>
      <c r="AD236" s="11">
        <v>0</v>
      </c>
      <c r="AE236" s="11">
        <f>SUM(V236:AD236)</f>
        <v>166.84990754838711</v>
      </c>
    </row>
    <row r="237" spans="2:32">
      <c r="B237" s="26" t="s">
        <v>45</v>
      </c>
      <c r="C237" s="19">
        <v>0</v>
      </c>
      <c r="D237" s="19">
        <v>0</v>
      </c>
      <c r="E237" s="19">
        <f t="shared" ref="E237:S237" si="58">SUM(E232:E236)</f>
        <v>1469.0193414122004</v>
      </c>
      <c r="F237" s="19">
        <f t="shared" si="58"/>
        <v>0</v>
      </c>
      <c r="G237" s="19">
        <f t="shared" si="58"/>
        <v>0</v>
      </c>
      <c r="H237" s="19"/>
      <c r="I237" s="19"/>
      <c r="J237" s="19"/>
      <c r="K237" s="19"/>
      <c r="L237" s="19"/>
      <c r="M237" s="19"/>
      <c r="N237" s="19"/>
      <c r="O237" s="19">
        <f t="shared" si="58"/>
        <v>21.090831873905429</v>
      </c>
      <c r="P237" s="19">
        <f t="shared" si="58"/>
        <v>707.4756781898634</v>
      </c>
      <c r="Q237" s="19">
        <f t="shared" si="58"/>
        <v>0</v>
      </c>
      <c r="R237" s="19">
        <f t="shared" si="58"/>
        <v>0</v>
      </c>
      <c r="S237" s="19">
        <f t="shared" si="58"/>
        <v>2197.5858514759693</v>
      </c>
      <c r="U237" s="26" t="s">
        <v>45</v>
      </c>
      <c r="V237" s="19">
        <v>0</v>
      </c>
      <c r="W237" s="19">
        <v>0</v>
      </c>
      <c r="X237" s="19">
        <f t="shared" ref="X237:AE237" si="59">SUM(X232:X236)</f>
        <v>224.9417220761369</v>
      </c>
      <c r="Y237" s="19">
        <f t="shared" si="59"/>
        <v>0</v>
      </c>
      <c r="Z237" s="19">
        <f t="shared" si="59"/>
        <v>0</v>
      </c>
      <c r="AA237" s="19">
        <f t="shared" si="59"/>
        <v>184.03248222580646</v>
      </c>
      <c r="AB237" s="19">
        <f t="shared" si="59"/>
        <v>724.90537302889481</v>
      </c>
      <c r="AC237" s="19">
        <f t="shared" si="59"/>
        <v>0</v>
      </c>
      <c r="AD237" s="19">
        <f t="shared" si="59"/>
        <v>0</v>
      </c>
      <c r="AE237" s="19">
        <f t="shared" si="59"/>
        <v>1133.8795773308382</v>
      </c>
    </row>
    <row r="238" spans="2:32">
      <c r="B238" s="26" t="s">
        <v>46</v>
      </c>
      <c r="C238" s="19">
        <v>0</v>
      </c>
      <c r="D238" s="19">
        <v>0</v>
      </c>
      <c r="E238" s="19">
        <f>Industrie!H37</f>
        <v>0</v>
      </c>
      <c r="F238" s="19">
        <v>0</v>
      </c>
      <c r="G238" s="19">
        <v>0</v>
      </c>
      <c r="H238" s="19"/>
      <c r="I238" s="19"/>
      <c r="J238" s="19"/>
      <c r="K238" s="19"/>
      <c r="L238" s="19"/>
      <c r="M238" s="19"/>
      <c r="N238" s="19"/>
      <c r="O238" s="19">
        <v>0</v>
      </c>
      <c r="P238" s="19">
        <v>0</v>
      </c>
      <c r="Q238" s="19">
        <v>0</v>
      </c>
      <c r="R238" s="19">
        <v>0</v>
      </c>
      <c r="S238" s="19">
        <f>SUM(C238:R238)</f>
        <v>0</v>
      </c>
      <c r="U238" s="26" t="s">
        <v>46</v>
      </c>
      <c r="V238" s="19">
        <v>0</v>
      </c>
      <c r="W238" s="19">
        <v>0</v>
      </c>
      <c r="X238" s="19">
        <f>Industrie!H59</f>
        <v>0</v>
      </c>
      <c r="Y238" s="19">
        <v>0</v>
      </c>
      <c r="Z238" s="19">
        <v>0</v>
      </c>
      <c r="AA238" s="19">
        <f>Industrie!H61</f>
        <v>0</v>
      </c>
      <c r="AB238" s="19">
        <v>0</v>
      </c>
      <c r="AC238" s="19">
        <v>0</v>
      </c>
      <c r="AD238" s="19">
        <v>0</v>
      </c>
      <c r="AE238" s="19">
        <f>SUM(V238:AD238)</f>
        <v>0</v>
      </c>
    </row>
    <row r="239" spans="2:32">
      <c r="B239" s="24" t="s">
        <v>47</v>
      </c>
      <c r="C239" s="15">
        <v>0</v>
      </c>
      <c r="D239" s="15">
        <v>0</v>
      </c>
      <c r="E239" s="15">
        <f t="shared" ref="E239:S239" si="60">SUM(E237:E238)</f>
        <v>1469.0193414122004</v>
      </c>
      <c r="F239" s="15">
        <f t="shared" si="60"/>
        <v>0</v>
      </c>
      <c r="G239" s="15">
        <f t="shared" si="60"/>
        <v>0</v>
      </c>
      <c r="H239" s="15"/>
      <c r="I239" s="15"/>
      <c r="J239" s="15"/>
      <c r="K239" s="15"/>
      <c r="L239" s="15"/>
      <c r="M239" s="15"/>
      <c r="N239" s="15"/>
      <c r="O239" s="15">
        <f t="shared" si="60"/>
        <v>21.090831873905429</v>
      </c>
      <c r="P239" s="15">
        <f t="shared" si="60"/>
        <v>707.4756781898634</v>
      </c>
      <c r="Q239" s="15">
        <f t="shared" si="60"/>
        <v>0</v>
      </c>
      <c r="R239" s="15">
        <f t="shared" si="60"/>
        <v>0</v>
      </c>
      <c r="S239" s="15">
        <f t="shared" si="60"/>
        <v>2197.5858514759693</v>
      </c>
      <c r="T239" s="27">
        <f>SUM(C239:R239)</f>
        <v>2197.5858514759693</v>
      </c>
      <c r="U239" s="24" t="s">
        <v>47</v>
      </c>
      <c r="V239" s="15">
        <v>0</v>
      </c>
      <c r="W239" s="15">
        <v>0</v>
      </c>
      <c r="X239" s="15">
        <f t="shared" ref="X239:AE239" si="61">SUM(X237:X238)</f>
        <v>224.9417220761369</v>
      </c>
      <c r="Y239" s="15">
        <f t="shared" si="61"/>
        <v>0</v>
      </c>
      <c r="Z239" s="15">
        <f t="shared" si="61"/>
        <v>0</v>
      </c>
      <c r="AA239" s="15">
        <f t="shared" si="61"/>
        <v>184.03248222580646</v>
      </c>
      <c r="AB239" s="15">
        <f t="shared" si="61"/>
        <v>724.90537302889481</v>
      </c>
      <c r="AC239" s="15">
        <f t="shared" si="61"/>
        <v>0</v>
      </c>
      <c r="AD239" s="15">
        <f t="shared" si="61"/>
        <v>0</v>
      </c>
      <c r="AE239" s="15">
        <f t="shared" si="61"/>
        <v>1133.8795773308382</v>
      </c>
      <c r="AF239" s="27">
        <f>SUM(V239:AD239)</f>
        <v>1133.8795773308382</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14"/>
      <c r="I243" s="214"/>
      <c r="J243" s="214"/>
      <c r="K243" s="214"/>
      <c r="L243" s="214"/>
      <c r="M243" s="214"/>
      <c r="N243" s="214"/>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1051.9525317037544</v>
      </c>
      <c r="F255" s="11">
        <v>0</v>
      </c>
      <c r="G255" s="11">
        <f>(P255-Q255)*$X$48*('Prod Energie'!I40+'Prod Energie'!D39)</f>
        <v>412.5151390247118</v>
      </c>
      <c r="H255" s="11"/>
      <c r="I255" s="11"/>
      <c r="J255" s="11"/>
      <c r="K255" s="11"/>
      <c r="L255" s="11"/>
      <c r="M255" s="11"/>
      <c r="N255" s="11"/>
      <c r="O255" s="11">
        <f>(P255-Q255)*$X$48*('Prod Energie'!I38)</f>
        <v>0</v>
      </c>
      <c r="P255" s="11">
        <f>P260/(1+$P$48+$Q$48)</f>
        <v>-745.32802176830705</v>
      </c>
      <c r="Q255" s="11">
        <f>Q260/(1+$D$48)</f>
        <v>0</v>
      </c>
      <c r="R255" s="11">
        <v>0</v>
      </c>
      <c r="S255" s="11">
        <f t="shared" si="66"/>
        <v>719.13964896015909</v>
      </c>
      <c r="U255" s="22" t="s">
        <v>35</v>
      </c>
      <c r="V255" s="11">
        <f>(AB255-AC255)*$X$48*('Prod Energie'!I53)</f>
        <v>0</v>
      </c>
      <c r="W255" s="11">
        <v>0</v>
      </c>
      <c r="X255" s="11">
        <f>(AB255-AC255)*$X$48*('Prod Energie'!I54)</f>
        <v>898.53181338632191</v>
      </c>
      <c r="Y255" s="11">
        <v>0</v>
      </c>
      <c r="Z255" s="11">
        <f>(AB255-AC255)*$X$48*('Prod Energie'!I61+'Prod Energie'!D60)</f>
        <v>350.89767994139089</v>
      </c>
      <c r="AA255" s="11">
        <f>(AB255-AC255)*$X$48*('Prod Energie'!I59)</f>
        <v>158.37587012885047</v>
      </c>
      <c r="AB255" s="11">
        <f>AB260/(1+$P$48+$Q$48)</f>
        <v>-732.25213635831676</v>
      </c>
      <c r="AC255" s="11">
        <f>AC260/(1+$D$48)</f>
        <v>0</v>
      </c>
      <c r="AD255" s="11">
        <v>0</v>
      </c>
      <c r="AE255" s="11">
        <f t="shared" si="67"/>
        <v>675.55322709824657</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8.9001828747565526</v>
      </c>
      <c r="Q258" s="11">
        <v>0</v>
      </c>
      <c r="R258" s="11">
        <v>0</v>
      </c>
      <c r="S258" s="11">
        <f t="shared" si="66"/>
        <v>8.9001828747565526</v>
      </c>
      <c r="U258" s="22" t="s">
        <v>38</v>
      </c>
      <c r="V258" s="11">
        <v>0</v>
      </c>
      <c r="W258" s="11">
        <v>0</v>
      </c>
      <c r="X258" s="11">
        <v>0</v>
      </c>
      <c r="Y258" s="11">
        <v>0</v>
      </c>
      <c r="Z258" s="11">
        <v>0</v>
      </c>
      <c r="AA258" s="11">
        <v>0</v>
      </c>
      <c r="AB258" s="11">
        <f>AB255*$P$48</f>
        <v>8.7440398504782415</v>
      </c>
      <c r="AC258" s="11">
        <v>0</v>
      </c>
      <c r="AD258" s="11">
        <v>0</v>
      </c>
      <c r="AE258" s="11">
        <f t="shared" si="67"/>
        <v>8.7440398504782415</v>
      </c>
    </row>
    <row r="259" spans="2:32">
      <c r="B259" s="22" t="s">
        <v>39</v>
      </c>
      <c r="C259" s="11">
        <v>0</v>
      </c>
      <c r="D259" s="11">
        <v>0</v>
      </c>
      <c r="E259" s="11">
        <v>0</v>
      </c>
      <c r="F259" s="11">
        <v>0</v>
      </c>
      <c r="G259" s="11">
        <v>0</v>
      </c>
      <c r="H259" s="11"/>
      <c r="I259" s="11"/>
      <c r="J259" s="11"/>
      <c r="K259" s="11"/>
      <c r="L259" s="11"/>
      <c r="M259" s="11"/>
      <c r="N259" s="11"/>
      <c r="O259" s="11">
        <v>0</v>
      </c>
      <c r="P259" s="11">
        <f>P255*$Q$48</f>
        <v>47.666479760853768</v>
      </c>
      <c r="Q259" s="11">
        <f>Q255*$D$48</f>
        <v>0</v>
      </c>
      <c r="R259" s="11">
        <v>0</v>
      </c>
      <c r="S259" s="11">
        <f t="shared" si="66"/>
        <v>47.666479760853768</v>
      </c>
      <c r="U259" s="22" t="s">
        <v>39</v>
      </c>
      <c r="V259" s="11">
        <v>0</v>
      </c>
      <c r="W259" s="11">
        <v>0</v>
      </c>
      <c r="X259" s="11">
        <v>0</v>
      </c>
      <c r="Y259" s="11">
        <v>0</v>
      </c>
      <c r="Z259" s="11">
        <v>0</v>
      </c>
      <c r="AA259" s="11">
        <v>0</v>
      </c>
      <c r="AB259" s="11">
        <f>AB255*$Q$48</f>
        <v>46.830228594861381</v>
      </c>
      <c r="AC259" s="11">
        <f>AC255*$D$48</f>
        <v>0</v>
      </c>
      <c r="AD259" s="11">
        <v>0</v>
      </c>
      <c r="AE259" s="11">
        <f t="shared" si="67"/>
        <v>46.830228594861381</v>
      </c>
    </row>
    <row r="260" spans="2:32">
      <c r="B260" s="24" t="s">
        <v>40</v>
      </c>
      <c r="C260" s="15">
        <f t="shared" ref="C260:O260" si="68">SUM(C254:C259)</f>
        <v>0</v>
      </c>
      <c r="D260" s="15">
        <f t="shared" si="68"/>
        <v>0</v>
      </c>
      <c r="E260" s="15">
        <f t="shared" si="68"/>
        <v>1051.9525317037544</v>
      </c>
      <c r="F260" s="15">
        <f t="shared" si="68"/>
        <v>0</v>
      </c>
      <c r="G260" s="15">
        <f t="shared" si="68"/>
        <v>412.5151390247118</v>
      </c>
      <c r="H260" s="15"/>
      <c r="I260" s="15"/>
      <c r="J260" s="15"/>
      <c r="K260" s="15"/>
      <c r="L260" s="15"/>
      <c r="M260" s="15"/>
      <c r="N260" s="15"/>
      <c r="O260" s="15">
        <f t="shared" si="68"/>
        <v>0</v>
      </c>
      <c r="P260" s="15">
        <f>-P268</f>
        <v>-688.76135913269673</v>
      </c>
      <c r="Q260" s="15">
        <f>-Q268</f>
        <v>0</v>
      </c>
      <c r="R260" s="15">
        <v>0</v>
      </c>
      <c r="S260" s="15">
        <f t="shared" si="66"/>
        <v>775.70631159576942</v>
      </c>
      <c r="U260" s="24" t="s">
        <v>40</v>
      </c>
      <c r="V260" s="15">
        <f t="shared" ref="V260:AA260" si="69">SUM(V254:V259)</f>
        <v>0</v>
      </c>
      <c r="W260" s="15">
        <f t="shared" si="69"/>
        <v>0</v>
      </c>
      <c r="X260" s="15">
        <f t="shared" si="69"/>
        <v>898.53181338632191</v>
      </c>
      <c r="Y260" s="15">
        <f t="shared" si="69"/>
        <v>0</v>
      </c>
      <c r="Z260" s="15">
        <f t="shared" si="69"/>
        <v>350.89767994139089</v>
      </c>
      <c r="AA260" s="15">
        <f t="shared" si="69"/>
        <v>158.37587012885047</v>
      </c>
      <c r="AB260" s="15">
        <f>-AB268</f>
        <v>-676.67786791297715</v>
      </c>
      <c r="AC260" s="15">
        <f>-AC268</f>
        <v>0</v>
      </c>
      <c r="AD260" s="15">
        <v>0</v>
      </c>
      <c r="AE260" s="15">
        <f t="shared" si="67"/>
        <v>731.12749554358618</v>
      </c>
    </row>
    <row r="261" spans="2:32">
      <c r="B261" s="22" t="s">
        <v>41</v>
      </c>
      <c r="C261" s="11">
        <v>0</v>
      </c>
      <c r="D261" s="11">
        <v>0</v>
      </c>
      <c r="E261" s="11">
        <f>Industrie!I35</f>
        <v>0</v>
      </c>
      <c r="F261" s="11">
        <v>0</v>
      </c>
      <c r="G261" s="11">
        <v>0</v>
      </c>
      <c r="H261" s="11"/>
      <c r="I261" s="11"/>
      <c r="J261" s="11"/>
      <c r="K261" s="11"/>
      <c r="L261" s="11"/>
      <c r="M261" s="11"/>
      <c r="N261" s="11"/>
      <c r="O261" s="11">
        <f>Industrie!I38</f>
        <v>0</v>
      </c>
      <c r="P261" s="11">
        <f>Industrie!I36</f>
        <v>307.46991086346873</v>
      </c>
      <c r="Q261" s="11">
        <f>Industrie!I39</f>
        <v>0</v>
      </c>
      <c r="R261" s="11">
        <v>0</v>
      </c>
      <c r="S261" s="11">
        <f t="shared" si="66"/>
        <v>307.46991086346873</v>
      </c>
      <c r="U261" s="22" t="s">
        <v>41</v>
      </c>
      <c r="V261" s="11">
        <v>0</v>
      </c>
      <c r="W261" s="11">
        <v>0</v>
      </c>
      <c r="X261" s="11">
        <f>Industrie!I56</f>
        <v>0</v>
      </c>
      <c r="Y261" s="11">
        <v>0</v>
      </c>
      <c r="Z261" s="11">
        <v>0</v>
      </c>
      <c r="AA261" s="11">
        <f>Industrie!I62</f>
        <v>0</v>
      </c>
      <c r="AB261" s="11">
        <f>Industrie!I57</f>
        <v>207.64201772597886</v>
      </c>
      <c r="AC261" s="11">
        <f>Industrie!I63</f>
        <v>0</v>
      </c>
      <c r="AD261" s="11">
        <v>0</v>
      </c>
      <c r="AE261" s="11">
        <f t="shared" si="67"/>
        <v>207.64201772597886</v>
      </c>
    </row>
    <row r="262" spans="2:32">
      <c r="B262" s="22" t="s">
        <v>42</v>
      </c>
      <c r="C262" s="11">
        <v>0</v>
      </c>
      <c r="D262" s="11">
        <v>0</v>
      </c>
      <c r="E262" s="11">
        <f>Transports!K49</f>
        <v>1278.4907664942807</v>
      </c>
      <c r="F262" s="11">
        <v>0</v>
      </c>
      <c r="G262" s="11">
        <v>0</v>
      </c>
      <c r="H262" s="11"/>
      <c r="I262" s="11"/>
      <c r="J262" s="11"/>
      <c r="K262" s="11"/>
      <c r="L262" s="11"/>
      <c r="M262" s="11"/>
      <c r="N262" s="11"/>
      <c r="O262" s="11">
        <v>0</v>
      </c>
      <c r="P262" s="11">
        <f>Transports!K50</f>
        <v>41.718453523168328</v>
      </c>
      <c r="Q262" s="11">
        <v>0</v>
      </c>
      <c r="R262" s="11">
        <v>0</v>
      </c>
      <c r="S262" s="11">
        <f>Transports!K51</f>
        <v>1320.2092200174491</v>
      </c>
      <c r="U262" s="22" t="s">
        <v>42</v>
      </c>
      <c r="V262" s="11">
        <v>0</v>
      </c>
      <c r="W262" s="11">
        <v>0</v>
      </c>
      <c r="X262" s="11">
        <f>Transports!K76</f>
        <v>53.494698763789778</v>
      </c>
      <c r="Y262" s="11">
        <v>0</v>
      </c>
      <c r="Z262" s="11">
        <v>0</v>
      </c>
      <c r="AA262" s="11">
        <v>0</v>
      </c>
      <c r="AB262" s="11">
        <f>Transports!K77</f>
        <v>145.23405018699827</v>
      </c>
      <c r="AC262" s="11">
        <v>0</v>
      </c>
      <c r="AD262" s="11">
        <v>0</v>
      </c>
      <c r="AE262" s="11">
        <f>Transports!K78</f>
        <v>198.72874895078806</v>
      </c>
    </row>
    <row r="263" spans="2:32">
      <c r="B263" s="22" t="s">
        <v>43</v>
      </c>
      <c r="C263" s="11">
        <v>0</v>
      </c>
      <c r="D263" s="11">
        <v>0</v>
      </c>
      <c r="E263" s="11">
        <f>'Résidentiel-tertiaire'!I172</f>
        <v>85.789071803852906</v>
      </c>
      <c r="F263" s="11">
        <v>0</v>
      </c>
      <c r="G263" s="11">
        <v>0</v>
      </c>
      <c r="H263" s="11"/>
      <c r="I263" s="11"/>
      <c r="J263" s="11"/>
      <c r="K263" s="11"/>
      <c r="L263" s="11"/>
      <c r="M263" s="11"/>
      <c r="N263" s="11"/>
      <c r="O263" s="11">
        <f>'Résidentiel-tertiaire'!I173</f>
        <v>20.897338003502632</v>
      </c>
      <c r="P263" s="11">
        <f>'Résidentiel-tertiaire'!I174</f>
        <v>229.87071803852893</v>
      </c>
      <c r="Q263" s="11">
        <v>0</v>
      </c>
      <c r="R263" s="11">
        <v>0</v>
      </c>
      <c r="S263" s="11">
        <f>SUM(C263:R263)</f>
        <v>336.55712784588445</v>
      </c>
      <c r="U263" s="22" t="s">
        <v>43</v>
      </c>
      <c r="V263" s="11">
        <v>0</v>
      </c>
      <c r="W263" s="11">
        <v>0</v>
      </c>
      <c r="X263" s="11">
        <f>'Résidentiel-tertiaire'!I187</f>
        <v>0</v>
      </c>
      <c r="Y263" s="11">
        <v>0</v>
      </c>
      <c r="Z263" s="11">
        <v>0</v>
      </c>
      <c r="AA263" s="11">
        <f>'Résidentiel-tertiaire'!I188</f>
        <v>36.634500000000003</v>
      </c>
      <c r="AB263" s="11">
        <f>'Résidentiel-tertiaire'!I189</f>
        <v>212.48010000000002</v>
      </c>
      <c r="AC263" s="11">
        <v>0</v>
      </c>
      <c r="AD263" s="11">
        <v>0</v>
      </c>
      <c r="AE263" s="11">
        <f>SUM(V263:AD263)</f>
        <v>249.11460000000002</v>
      </c>
    </row>
    <row r="264" spans="2:32">
      <c r="B264" s="22" t="s">
        <v>44</v>
      </c>
      <c r="C264" s="11">
        <v>0</v>
      </c>
      <c r="D264" s="11">
        <v>0</v>
      </c>
      <c r="E264" s="11">
        <f>'Résidentiel-tertiaire'!I177</f>
        <v>37.395236427320484</v>
      </c>
      <c r="F264" s="11">
        <v>0</v>
      </c>
      <c r="G264" s="11">
        <v>0</v>
      </c>
      <c r="H264" s="11"/>
      <c r="I264" s="11"/>
      <c r="J264" s="11"/>
      <c r="K264" s="11"/>
      <c r="L264" s="11"/>
      <c r="M264" s="11"/>
      <c r="N264" s="11"/>
      <c r="O264" s="11">
        <f>'Résidentiel-tertiaire'!I178</f>
        <v>0</v>
      </c>
      <c r="P264" s="11">
        <f>'Résidentiel-tertiaire'!I180</f>
        <v>109.70227670753064</v>
      </c>
      <c r="Q264" s="11">
        <v>0</v>
      </c>
      <c r="R264" s="11">
        <v>0</v>
      </c>
      <c r="S264" s="11">
        <f>SUM(C264:R264)</f>
        <v>147.09751313485111</v>
      </c>
      <c r="U264" s="22" t="s">
        <v>44</v>
      </c>
      <c r="V264" s="11">
        <v>0</v>
      </c>
      <c r="W264" s="11">
        <v>0</v>
      </c>
      <c r="X264" s="11">
        <f>'Résidentiel-tertiaire'!I192</f>
        <v>0</v>
      </c>
      <c r="Y264" s="11">
        <v>0</v>
      </c>
      <c r="Z264" s="11">
        <v>0</v>
      </c>
      <c r="AA264" s="11">
        <f>'Résidentiel-tertiaire'!I193</f>
        <v>0</v>
      </c>
      <c r="AB264" s="11">
        <f>'Résidentiel-tertiaire'!I194</f>
        <v>111.32169999999999</v>
      </c>
      <c r="AC264" s="11">
        <v>0</v>
      </c>
      <c r="AD264" s="11">
        <v>0</v>
      </c>
      <c r="AE264" s="11">
        <f>SUM(V264:AD264)</f>
        <v>111.32169999999999</v>
      </c>
    </row>
    <row r="265" spans="2:32">
      <c r="B265" s="22" t="s">
        <v>4</v>
      </c>
      <c r="C265" s="11">
        <v>0</v>
      </c>
      <c r="D265" s="11">
        <v>0</v>
      </c>
      <c r="E265" s="11">
        <f>Agriculture!Y27</f>
        <v>81.359256861365239</v>
      </c>
      <c r="F265" s="11">
        <v>0</v>
      </c>
      <c r="G265" s="11">
        <v>0</v>
      </c>
      <c r="H265" s="11"/>
      <c r="I265" s="11"/>
      <c r="J265" s="11"/>
      <c r="K265" s="11"/>
      <c r="L265" s="11"/>
      <c r="M265" s="11"/>
      <c r="N265" s="11"/>
      <c r="O265" s="11">
        <v>0</v>
      </c>
      <c r="P265" s="11">
        <f>Agriculture!Y28</f>
        <v>0</v>
      </c>
      <c r="Q265" s="11">
        <v>0</v>
      </c>
      <c r="R265" s="11">
        <v>0</v>
      </c>
      <c r="S265" s="11">
        <f>SUM(C265:R265)</f>
        <v>81.359256861365239</v>
      </c>
      <c r="U265" s="22" t="s">
        <v>4</v>
      </c>
      <c r="V265" s="11">
        <v>0</v>
      </c>
      <c r="W265" s="11">
        <v>0</v>
      </c>
      <c r="X265" s="11">
        <f>Agriculture!AG43</f>
        <v>0</v>
      </c>
      <c r="Y265" s="11">
        <v>0</v>
      </c>
      <c r="Z265" s="11">
        <v>0</v>
      </c>
      <c r="AA265" s="11">
        <f>Agriculture!AG45</f>
        <v>174.55815900000002</v>
      </c>
      <c r="AB265" s="11">
        <f>Agriculture!AG44</f>
        <v>0</v>
      </c>
      <c r="AC265" s="11">
        <v>0</v>
      </c>
      <c r="AD265" s="11">
        <v>0</v>
      </c>
      <c r="AE265" s="11">
        <f>SUM(V265:AD265)</f>
        <v>174.55815900000002</v>
      </c>
    </row>
    <row r="266" spans="2:32">
      <c r="B266" s="26" t="s">
        <v>45</v>
      </c>
      <c r="C266" s="19">
        <v>0</v>
      </c>
      <c r="D266" s="19">
        <v>0</v>
      </c>
      <c r="E266" s="19">
        <f t="shared" ref="E266:S266" si="70">SUM(E261:E265)</f>
        <v>1483.0343315868195</v>
      </c>
      <c r="F266" s="19">
        <f t="shared" si="70"/>
        <v>0</v>
      </c>
      <c r="G266" s="19">
        <f t="shared" si="70"/>
        <v>0</v>
      </c>
      <c r="H266" s="19"/>
      <c r="I266" s="19"/>
      <c r="J266" s="19"/>
      <c r="K266" s="19"/>
      <c r="L266" s="19"/>
      <c r="M266" s="19"/>
      <c r="N266" s="19"/>
      <c r="O266" s="19">
        <f t="shared" si="70"/>
        <v>20.897338003502632</v>
      </c>
      <c r="P266" s="19">
        <f t="shared" si="70"/>
        <v>688.76135913269673</v>
      </c>
      <c r="Q266" s="19">
        <f t="shared" si="70"/>
        <v>0</v>
      </c>
      <c r="R266" s="19">
        <f t="shared" si="70"/>
        <v>0</v>
      </c>
      <c r="S266" s="19">
        <f t="shared" si="70"/>
        <v>2192.6930287230189</v>
      </c>
      <c r="U266" s="26" t="s">
        <v>45</v>
      </c>
      <c r="V266" s="19">
        <v>0</v>
      </c>
      <c r="W266" s="19">
        <v>0</v>
      </c>
      <c r="X266" s="19">
        <f t="shared" ref="X266:AE266" si="71">SUM(X261:X265)</f>
        <v>53.494698763789778</v>
      </c>
      <c r="Y266" s="19">
        <f t="shared" si="71"/>
        <v>0</v>
      </c>
      <c r="Z266" s="19">
        <f t="shared" si="71"/>
        <v>0</v>
      </c>
      <c r="AA266" s="19">
        <f t="shared" si="71"/>
        <v>211.19265900000002</v>
      </c>
      <c r="AB266" s="19">
        <f t="shared" si="71"/>
        <v>676.67786791297715</v>
      </c>
      <c r="AC266" s="19">
        <f t="shared" si="71"/>
        <v>0</v>
      </c>
      <c r="AD266" s="19">
        <f t="shared" si="71"/>
        <v>0</v>
      </c>
      <c r="AE266" s="19">
        <f t="shared" si="71"/>
        <v>941.36522567676695</v>
      </c>
    </row>
    <row r="267" spans="2:32">
      <c r="B267" s="26" t="s">
        <v>46</v>
      </c>
      <c r="C267" s="19">
        <v>0</v>
      </c>
      <c r="D267" s="19">
        <v>0</v>
      </c>
      <c r="E267" s="19">
        <f>Industrie!I37</f>
        <v>0</v>
      </c>
      <c r="F267" s="19">
        <v>0</v>
      </c>
      <c r="G267" s="19">
        <v>0</v>
      </c>
      <c r="H267" s="19"/>
      <c r="I267" s="19"/>
      <c r="J267" s="19"/>
      <c r="K267" s="19"/>
      <c r="L267" s="19"/>
      <c r="M267" s="19"/>
      <c r="N267" s="19"/>
      <c r="O267" s="19">
        <v>0</v>
      </c>
      <c r="P267" s="19">
        <v>0</v>
      </c>
      <c r="Q267" s="19">
        <v>0</v>
      </c>
      <c r="R267" s="19">
        <v>0</v>
      </c>
      <c r="S267" s="19">
        <f>SUM(C267:R267)</f>
        <v>0</v>
      </c>
      <c r="U267" s="26" t="s">
        <v>46</v>
      </c>
      <c r="V267" s="19">
        <v>0</v>
      </c>
      <c r="W267" s="19">
        <v>0</v>
      </c>
      <c r="X267" s="19">
        <f>Industrie!I59</f>
        <v>0</v>
      </c>
      <c r="Y267" s="19">
        <v>0</v>
      </c>
      <c r="Z267" s="19">
        <v>0</v>
      </c>
      <c r="AA267" s="19">
        <f>Industrie!I61</f>
        <v>0</v>
      </c>
      <c r="AB267" s="19">
        <v>0</v>
      </c>
      <c r="AC267" s="19">
        <v>0</v>
      </c>
      <c r="AD267" s="19">
        <v>0</v>
      </c>
      <c r="AE267" s="19">
        <f>SUM(V267:AD267)</f>
        <v>0</v>
      </c>
    </row>
    <row r="268" spans="2:32">
      <c r="B268" s="24" t="s">
        <v>47</v>
      </c>
      <c r="C268" s="15">
        <v>0</v>
      </c>
      <c r="D268" s="15">
        <v>0</v>
      </c>
      <c r="E268" s="15">
        <f t="shared" ref="E268:S268" si="72">SUM(E266:E267)</f>
        <v>1483.0343315868195</v>
      </c>
      <c r="F268" s="15">
        <f t="shared" si="72"/>
        <v>0</v>
      </c>
      <c r="G268" s="15">
        <f t="shared" si="72"/>
        <v>0</v>
      </c>
      <c r="H268" s="15"/>
      <c r="I268" s="15"/>
      <c r="J268" s="15"/>
      <c r="K268" s="15"/>
      <c r="L268" s="15"/>
      <c r="M268" s="15"/>
      <c r="N268" s="15"/>
      <c r="O268" s="15">
        <f t="shared" si="72"/>
        <v>20.897338003502632</v>
      </c>
      <c r="P268" s="15">
        <f t="shared" si="72"/>
        <v>688.76135913269673</v>
      </c>
      <c r="Q268" s="15">
        <f t="shared" si="72"/>
        <v>0</v>
      </c>
      <c r="R268" s="15">
        <f t="shared" si="72"/>
        <v>0</v>
      </c>
      <c r="S268" s="15">
        <f t="shared" si="72"/>
        <v>2192.6930287230189</v>
      </c>
      <c r="T268" s="27">
        <f>SUM(C268:R268)</f>
        <v>2192.6930287230189</v>
      </c>
      <c r="U268" s="24" t="s">
        <v>47</v>
      </c>
      <c r="V268" s="15">
        <v>0</v>
      </c>
      <c r="W268" s="15">
        <v>0</v>
      </c>
      <c r="X268" s="15">
        <f t="shared" ref="X268:AE268" si="73">SUM(X266:X267)</f>
        <v>53.494698763789778</v>
      </c>
      <c r="Y268" s="15">
        <f t="shared" si="73"/>
        <v>0</v>
      </c>
      <c r="Z268" s="15">
        <f t="shared" si="73"/>
        <v>0</v>
      </c>
      <c r="AA268" s="15">
        <f t="shared" si="73"/>
        <v>211.19265900000002</v>
      </c>
      <c r="AB268" s="15">
        <f t="shared" si="73"/>
        <v>676.67786791297715</v>
      </c>
      <c r="AC268" s="15">
        <f t="shared" si="73"/>
        <v>0</v>
      </c>
      <c r="AD268" s="15">
        <f t="shared" si="73"/>
        <v>0</v>
      </c>
      <c r="AE268" s="15">
        <f t="shared" si="73"/>
        <v>941.36522567676695</v>
      </c>
      <c r="AF268" s="27">
        <f>SUM(V268:AD268)</f>
        <v>941.36522567676695</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Y195"/>
  <sheetViews>
    <sheetView topLeftCell="A14" zoomScale="70" zoomScaleNormal="70" workbookViewId="0">
      <selection activeCell="D46" sqref="D46:I46"/>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25">
      <c r="A2" s="548" t="s">
        <v>400</v>
      </c>
      <c r="B2" s="548"/>
      <c r="C2" s="548"/>
      <c r="D2" s="548"/>
      <c r="E2" s="548"/>
      <c r="F2" s="548"/>
      <c r="G2" s="548"/>
      <c r="H2" s="548"/>
      <c r="I2" s="548"/>
      <c r="J2" s="548"/>
      <c r="K2" s="548"/>
      <c r="P2" s="237" t="s">
        <v>517</v>
      </c>
      <c r="Q2" s="237">
        <v>2020</v>
      </c>
      <c r="R2" s="237">
        <v>2030</v>
      </c>
      <c r="S2" s="237">
        <v>2050</v>
      </c>
    </row>
    <row r="3" spans="1:25">
      <c r="P3" s="237" t="s">
        <v>518</v>
      </c>
      <c r="Q3" s="237"/>
      <c r="R3" s="339">
        <v>0.97</v>
      </c>
      <c r="S3" s="339">
        <v>1.17</v>
      </c>
    </row>
    <row r="4" spans="1:25" ht="15.6">
      <c r="A4" s="519" t="s">
        <v>55</v>
      </c>
      <c r="B4" s="519"/>
      <c r="C4" s="519"/>
      <c r="D4" s="519"/>
      <c r="E4" s="519"/>
      <c r="F4" s="519"/>
      <c r="G4" s="519"/>
      <c r="H4" s="519"/>
      <c r="I4" s="519"/>
      <c r="J4" s="519"/>
      <c r="K4" s="519"/>
      <c r="W4" s="425"/>
    </row>
    <row r="5" spans="1:25" ht="15.6">
      <c r="W5" s="425"/>
    </row>
    <row r="6" spans="1:25" ht="15.6">
      <c r="A6" s="30"/>
      <c r="B6" s="30">
        <v>2010</v>
      </c>
      <c r="C6" s="30">
        <v>2011</v>
      </c>
      <c r="D6" s="30">
        <v>2012</v>
      </c>
      <c r="E6" s="30">
        <v>2013</v>
      </c>
      <c r="F6" s="30">
        <v>2014</v>
      </c>
      <c r="G6" s="30">
        <v>2015</v>
      </c>
      <c r="H6" s="30">
        <v>2016</v>
      </c>
      <c r="I6" s="30">
        <v>2017</v>
      </c>
      <c r="J6" s="30">
        <v>2018</v>
      </c>
      <c r="K6" s="30">
        <v>2019</v>
      </c>
      <c r="L6" s="30">
        <v>2020</v>
      </c>
      <c r="M6" s="274" t="s">
        <v>389</v>
      </c>
      <c r="W6" s="425"/>
    </row>
    <row r="7" spans="1:25" ht="15.6">
      <c r="A7" s="30" t="s">
        <v>240</v>
      </c>
      <c r="B7" s="43">
        <f>'Cadrage macroéconomique '!B5</f>
        <v>264916</v>
      </c>
      <c r="C7" s="43">
        <f>'Cadrage macroéconomique '!C5</f>
        <v>266639</v>
      </c>
      <c r="D7" s="43">
        <f>'Cadrage macroéconomique '!D5</f>
        <v>268154</v>
      </c>
      <c r="E7" s="43">
        <f>'Cadrage macroéconomique '!E5</f>
        <v>269715</v>
      </c>
      <c r="F7" s="43">
        <f>'Cadrage macroéconomique '!F5</f>
        <v>271440</v>
      </c>
      <c r="G7" s="43">
        <f>'Cadrage macroéconomique '!G5</f>
        <v>273043</v>
      </c>
      <c r="H7" s="43">
        <f>'Cadrage macroéconomique '!H5</f>
        <v>274571</v>
      </c>
      <c r="I7" s="43">
        <f>'Cadrage macroéconomique '!I5</f>
        <v>275822</v>
      </c>
      <c r="J7" s="43">
        <f>'Cadrage macroéconomique '!J5</f>
        <v>276866</v>
      </c>
      <c r="K7" s="43">
        <f>'Cadrage macroéconomique '!K5</f>
        <v>277940</v>
      </c>
      <c r="L7" s="43">
        <f>'Cadrage macroéconomique '!L5</f>
        <v>278890</v>
      </c>
      <c r="M7" s="287" t="s">
        <v>219</v>
      </c>
      <c r="N7" t="s">
        <v>405</v>
      </c>
      <c r="W7" s="425"/>
    </row>
    <row r="8" spans="1:25">
      <c r="A8" s="30" t="s">
        <v>241</v>
      </c>
      <c r="B8" s="30"/>
      <c r="C8" s="145"/>
      <c r="D8" s="145">
        <v>3.69</v>
      </c>
      <c r="E8" s="145"/>
      <c r="F8" s="145"/>
      <c r="G8" s="145"/>
      <c r="H8" s="145"/>
      <c r="I8" s="30">
        <v>3.59</v>
      </c>
      <c r="J8" s="30"/>
      <c r="K8" s="30">
        <v>3.57</v>
      </c>
      <c r="L8" s="30"/>
      <c r="M8" s="287" t="s">
        <v>242</v>
      </c>
      <c r="N8" t="s">
        <v>405</v>
      </c>
      <c r="P8" t="s">
        <v>497</v>
      </c>
    </row>
    <row r="9" spans="1:25">
      <c r="A9" s="30" t="s">
        <v>243</v>
      </c>
      <c r="B9" s="143"/>
      <c r="C9" s="143"/>
      <c r="D9" s="143">
        <f>D7/D8</f>
        <v>72670.460704607045</v>
      </c>
      <c r="E9" s="143"/>
      <c r="F9" s="143"/>
      <c r="G9" s="143"/>
      <c r="H9" s="143"/>
      <c r="I9" s="143">
        <f>I7/I8</f>
        <v>76830.640668523687</v>
      </c>
      <c r="J9" s="43"/>
      <c r="K9" s="30">
        <f>K7/K8</f>
        <v>77854.341736694681</v>
      </c>
      <c r="L9" s="30"/>
      <c r="M9" s="287" t="s">
        <v>242</v>
      </c>
      <c r="N9" t="s">
        <v>405</v>
      </c>
      <c r="P9" s="237"/>
      <c r="Q9" s="237">
        <v>2013</v>
      </c>
      <c r="R9" s="237">
        <v>2018</v>
      </c>
      <c r="S9" s="237">
        <v>2019</v>
      </c>
      <c r="T9" s="237">
        <v>2025</v>
      </c>
      <c r="U9" s="237">
        <v>2030</v>
      </c>
      <c r="V9" s="237">
        <v>2035</v>
      </c>
      <c r="W9" s="237">
        <v>2040</v>
      </c>
      <c r="X9" s="237">
        <v>2045</v>
      </c>
      <c r="Y9" s="237">
        <v>2050</v>
      </c>
    </row>
    <row r="10" spans="1:25">
      <c r="A10" s="30" t="s">
        <v>244</v>
      </c>
      <c r="B10" s="85"/>
      <c r="C10" s="150"/>
      <c r="D10" s="150">
        <v>0.189</v>
      </c>
      <c r="E10" s="150"/>
      <c r="F10" s="150"/>
      <c r="G10" s="150"/>
      <c r="H10" s="150"/>
      <c r="I10" s="80">
        <v>0.23</v>
      </c>
      <c r="J10" s="30"/>
      <c r="K10" s="82">
        <v>0.23</v>
      </c>
      <c r="L10" s="30"/>
      <c r="M10" s="287" t="s">
        <v>485</v>
      </c>
      <c r="N10" t="s">
        <v>405</v>
      </c>
      <c r="P10" s="237" t="s">
        <v>23</v>
      </c>
      <c r="Q10" s="237">
        <v>143</v>
      </c>
      <c r="R10" s="237">
        <v>143</v>
      </c>
      <c r="S10" s="237">
        <f>R10+(U10-R10)*1/12</f>
        <v>142.75</v>
      </c>
      <c r="T10" s="237">
        <f>R10+(U10-R10)*7/12</f>
        <v>141.25</v>
      </c>
      <c r="U10" s="237">
        <v>140</v>
      </c>
      <c r="V10" s="237">
        <f>$U$10+($Y$10-$U$10)*5/20</f>
        <v>138.75</v>
      </c>
      <c r="W10" s="237">
        <f>$U$10+($Y$10-$U$10)*10/20</f>
        <v>137.5</v>
      </c>
      <c r="X10" s="237">
        <f>$U$10+($Y$10-$U$10)*15/20</f>
        <v>136.25</v>
      </c>
      <c r="Y10" s="237">
        <v>135</v>
      </c>
    </row>
    <row r="11" spans="1:25" s="290" customFormat="1">
      <c r="A11" s="289" t="s">
        <v>245</v>
      </c>
      <c r="B11" s="289">
        <v>3</v>
      </c>
      <c r="C11" s="289"/>
      <c r="D11" s="289"/>
      <c r="E11" s="289"/>
      <c r="F11" s="289"/>
      <c r="G11" s="289"/>
      <c r="H11" s="289"/>
      <c r="I11" s="289">
        <v>3</v>
      </c>
      <c r="J11" s="289"/>
      <c r="K11" s="289"/>
      <c r="L11" s="289"/>
      <c r="M11" s="291" t="s">
        <v>246</v>
      </c>
      <c r="N11" s="290" t="s">
        <v>405</v>
      </c>
      <c r="P11" s="237" t="s">
        <v>609</v>
      </c>
      <c r="Q11" s="477">
        <f>'Bilan d''énergie SDES historique'!$Q$30/('Bilan d''énergie SDES historique'!$Q$28+'Bilan d''énergie SDES historique'!$Q$30+'Bilan d''énergie SDES historique'!$Q$31)*Q10</f>
        <v>62.912582255853259</v>
      </c>
      <c r="R11" s="477">
        <f>'Bilan d''énergie SDES historique'!$Q$30/('Bilan d''énergie SDES historique'!$Q$28+'Bilan d''énergie SDES historique'!$Q$30+'Bilan d''énergie SDES historique'!$Q$31)*R10</f>
        <v>62.912582255853259</v>
      </c>
      <c r="S11" s="477">
        <f>'Bilan d''énergie SDES historique'!$Q$30/('Bilan d''énergie SDES historique'!$Q$28+'Bilan d''énergie SDES historique'!$Q$30+'Bilan d''énergie SDES historique'!$Q$31)*S10</f>
        <v>62.802595223937431</v>
      </c>
      <c r="T11" s="477">
        <f>'Bilan d''énergie SDES historique'!$Q$30/('Bilan d''énergie SDES historique'!$Q$28+'Bilan d''énergie SDES historique'!$Q$30+'Bilan d''énergie SDES historique'!$Q$31)*T10</f>
        <v>62.142673032442467</v>
      </c>
      <c r="U11" s="477">
        <f>'Bilan d''énergie SDES historique'!$Q$30/('Bilan d''énergie SDES historique'!$Q$28+'Bilan d''énergie SDES historique'!$Q$30+'Bilan d''énergie SDES historique'!$Q$31)*U10</f>
        <v>61.592737872863324</v>
      </c>
      <c r="V11" s="477">
        <f>'Bilan d''énergie SDES historique'!$Q$30/('Bilan d''énergie SDES historique'!$Q$28+'Bilan d''énergie SDES historique'!$Q$30+'Bilan d''énergie SDES historique'!$Q$31)*V10</f>
        <v>61.042802713284189</v>
      </c>
      <c r="W11" s="477">
        <f>'Bilan d''énergie SDES historique'!$Q$30/('Bilan d''énergie SDES historique'!$Q$28+'Bilan d''énergie SDES historique'!$Q$30+'Bilan d''énergie SDES historique'!$Q$31)*W10</f>
        <v>60.492867553705054</v>
      </c>
      <c r="X11" s="477">
        <f>'Bilan d''énergie SDES historique'!$Q$30/('Bilan d''énergie SDES historique'!$Q$28+'Bilan d''énergie SDES historique'!$Q$30+'Bilan d''énergie SDES historique'!$Q$31)*X10</f>
        <v>59.942932394125918</v>
      </c>
      <c r="Y11" s="477">
        <f>'Bilan d''énergie SDES historique'!$Q$30/('Bilan d''énergie SDES historique'!$Q$28+'Bilan d''énergie SDES historique'!$Q$30+'Bilan d''énergie SDES historique'!$Q$31)*Y10</f>
        <v>59.392997234546783</v>
      </c>
    </row>
    <row r="12" spans="1:25" s="290" customFormat="1">
      <c r="A12" s="289" t="s">
        <v>247</v>
      </c>
      <c r="B12" s="289">
        <v>1</v>
      </c>
      <c r="C12" s="289"/>
      <c r="D12" s="289"/>
      <c r="E12" s="289"/>
      <c r="F12" s="289"/>
      <c r="G12" s="289"/>
      <c r="H12" s="289"/>
      <c r="I12" s="289">
        <v>1</v>
      </c>
      <c r="J12" s="289"/>
      <c r="K12" s="289"/>
      <c r="L12" s="289"/>
      <c r="M12" s="291" t="s">
        <v>246</v>
      </c>
      <c r="N12" s="290" t="s">
        <v>405</v>
      </c>
      <c r="P12" s="477" t="s">
        <v>498</v>
      </c>
      <c r="Q12" s="477"/>
      <c r="R12" s="477">
        <f>R11/Q11</f>
        <v>1</v>
      </c>
      <c r="S12" s="477">
        <f>S11/R11</f>
        <v>0.99825174825174823</v>
      </c>
      <c r="T12" s="477">
        <f t="shared" ref="T12:Y12" si="0">T11/S11</f>
        <v>0.989492119089317</v>
      </c>
      <c r="U12" s="477">
        <f t="shared" si="0"/>
        <v>0.99115044247787598</v>
      </c>
      <c r="V12" s="477">
        <f t="shared" si="0"/>
        <v>0.9910714285714286</v>
      </c>
      <c r="W12" s="477">
        <f t="shared" si="0"/>
        <v>0.99099099099099097</v>
      </c>
      <c r="X12" s="477">
        <f t="shared" si="0"/>
        <v>0.99090909090909096</v>
      </c>
      <c r="Y12" s="477">
        <f t="shared" si="0"/>
        <v>0.99082568807339455</v>
      </c>
    </row>
    <row r="13" spans="1:25">
      <c r="A13" s="1" t="s">
        <v>248</v>
      </c>
      <c r="B13" s="39">
        <f>HFC!W10/1000</f>
        <v>11.999332837104623</v>
      </c>
      <c r="C13" s="160">
        <f>HFC!X10/1000</f>
        <v>12.752253675791295</v>
      </c>
      <c r="D13" s="160">
        <f>HFC!Y10/1000</f>
        <v>12.83994359070163</v>
      </c>
      <c r="E13" s="160">
        <f>HFC!Z10/1000</f>
        <v>13.412859175259481</v>
      </c>
      <c r="F13" s="160">
        <f>HFC!AA10/1000</f>
        <v>13.994346815088138</v>
      </c>
      <c r="G13" s="160">
        <f>HFC!AB10/1000</f>
        <v>14.719510247096816</v>
      </c>
      <c r="H13" s="160">
        <f>HFC!AC10/1000</f>
        <v>15.593127756277543</v>
      </c>
      <c r="I13" s="160">
        <f>HFC!AD10/1000</f>
        <v>16.831351234310656</v>
      </c>
      <c r="J13" s="160">
        <f>HFC!AE10/1000</f>
        <v>12.628509517561398</v>
      </c>
      <c r="K13" s="160">
        <f>HFC!AF10/1000</f>
        <v>12.377710126800389</v>
      </c>
      <c r="L13" s="30"/>
      <c r="M13" s="287" t="s">
        <v>213</v>
      </c>
      <c r="N13" t="s">
        <v>405</v>
      </c>
      <c r="P13" s="477" t="s">
        <v>44</v>
      </c>
      <c r="Q13" s="477">
        <f>'Bilan d''énergie SDES historique'!$Q$31/('Bilan d''énergie SDES historique'!$Q$28+'Bilan d''énergie SDES historique'!$Q$30+'Bilan d''énergie SDES historique'!$Q$31)*Q10</f>
        <v>28.113709947596082</v>
      </c>
      <c r="R13" s="477">
        <f>'Bilan d''énergie SDES historique'!$Q$31/('Bilan d''énergie SDES historique'!$Q$28+'Bilan d''énergie SDES historique'!$Q$30+'Bilan d''énergie SDES historique'!$Q$31)*R10</f>
        <v>28.113709947596082</v>
      </c>
      <c r="S13" s="477">
        <f>'Bilan d''énergie SDES historique'!$Q$31/('Bilan d''énergie SDES historique'!$Q$28+'Bilan d''énergie SDES historique'!$Q$30+'Bilan d''énergie SDES historique'!$Q$31)*S10</f>
        <v>28.064560105030353</v>
      </c>
      <c r="T13" s="477">
        <f>'Bilan d''énergie SDES historique'!$Q$31/('Bilan d''énergie SDES historique'!$Q$28+'Bilan d''énergie SDES historique'!$Q$30+'Bilan d''énergie SDES historique'!$Q$31)*T10</f>
        <v>27.769661049635989</v>
      </c>
      <c r="U13" s="477">
        <f>'Bilan d''énergie SDES historique'!$Q$31/('Bilan d''énergie SDES historique'!$Q$28+'Bilan d''énergie SDES historique'!$Q$30+'Bilan d''énergie SDES historique'!$Q$31)*U10</f>
        <v>27.523911836807354</v>
      </c>
      <c r="V13" s="477">
        <f>'Bilan d''énergie SDES historique'!$Q$31/('Bilan d''énergie SDES historique'!$Q$28+'Bilan d''énergie SDES historique'!$Q$30+'Bilan d''énergie SDES historique'!$Q$31)*V10</f>
        <v>27.278162623978716</v>
      </c>
      <c r="W13" s="477">
        <f>'Bilan d''énergie SDES historique'!$Q$31/('Bilan d''énergie SDES historique'!$Q$28+'Bilan d''énergie SDES historique'!$Q$30+'Bilan d''énergie SDES historique'!$Q$31)*W10</f>
        <v>27.032413411150078</v>
      </c>
      <c r="X13" s="477">
        <f>'Bilan d''énergie SDES historique'!$Q$31/('Bilan d''énergie SDES historique'!$Q$28+'Bilan d''énergie SDES historique'!$Q$30+'Bilan d''énergie SDES historique'!$Q$31)*X10</f>
        <v>26.786664198321443</v>
      </c>
      <c r="Y13" s="477">
        <f>'Bilan d''énergie SDES historique'!$Q$31/('Bilan d''énergie SDES historique'!$Q$28+'Bilan d''énergie SDES historique'!$Q$30+'Bilan d''énergie SDES historique'!$Q$31)*Y10</f>
        <v>26.540914985492805</v>
      </c>
    </row>
    <row r="14" spans="1:25">
      <c r="A14" s="1" t="s">
        <v>249</v>
      </c>
      <c r="B14" s="30">
        <f>'CO2'!W10</f>
        <v>27.386518500595919</v>
      </c>
      <c r="C14" s="30">
        <f>'CO2'!X10</f>
        <v>31.4711036136252</v>
      </c>
      <c r="D14" s="30">
        <f>'CO2'!Y10</f>
        <v>29.812029923200523</v>
      </c>
      <c r="E14" s="30">
        <f>'CO2'!Z10</f>
        <v>33.113883684557152</v>
      </c>
      <c r="F14" s="30">
        <f>'CO2'!AA10</f>
        <v>29.073912065819364</v>
      </c>
      <c r="G14" s="30">
        <f>'CO2'!AB10</f>
        <v>28.603015047116852</v>
      </c>
      <c r="H14" s="30">
        <f>'CO2'!AC10</f>
        <v>23.238947290964848</v>
      </c>
      <c r="I14" s="30">
        <f>'CO2'!AD10</f>
        <v>23.966827198956878</v>
      </c>
      <c r="J14" s="30">
        <f>'CO2'!AE10</f>
        <v>28.421669575291137</v>
      </c>
      <c r="K14" s="30">
        <f>'CO2'!AF10</f>
        <v>25.30735523766031</v>
      </c>
      <c r="L14" s="30"/>
      <c r="M14" s="287" t="s">
        <v>213</v>
      </c>
      <c r="N14" t="s">
        <v>405</v>
      </c>
      <c r="P14" s="237" t="s">
        <v>498</v>
      </c>
      <c r="Q14" s="237"/>
      <c r="R14" s="237"/>
      <c r="S14" s="237">
        <f>S13/R13</f>
        <v>0.99825174825174823</v>
      </c>
      <c r="T14" s="237">
        <f t="shared" ref="T14:Y14" si="1">T13/S13</f>
        <v>0.989492119089317</v>
      </c>
      <c r="U14" s="237">
        <f t="shared" si="1"/>
        <v>0.9911504424778762</v>
      </c>
      <c r="V14" s="237">
        <f t="shared" si="1"/>
        <v>0.99107142857142849</v>
      </c>
      <c r="W14" s="237">
        <f t="shared" si="1"/>
        <v>0.99099099099099097</v>
      </c>
      <c r="X14" s="237">
        <f t="shared" si="1"/>
        <v>0.99090909090909096</v>
      </c>
      <c r="Y14" s="237">
        <f t="shared" si="1"/>
        <v>0.99082568807339444</v>
      </c>
    </row>
    <row r="15" spans="1:25">
      <c r="A15" s="1" t="s">
        <v>23</v>
      </c>
      <c r="B15" s="39">
        <f t="shared" ref="B15:K15" si="2">SUM(B13:B14)</f>
        <v>39.385851337700544</v>
      </c>
      <c r="C15" s="39">
        <f t="shared" si="2"/>
        <v>44.223357289416498</v>
      </c>
      <c r="D15" s="39">
        <f t="shared" si="2"/>
        <v>42.651973513902149</v>
      </c>
      <c r="E15" s="39">
        <f t="shared" si="2"/>
        <v>46.526742859816636</v>
      </c>
      <c r="F15" s="39">
        <f t="shared" si="2"/>
        <v>43.0682588809075</v>
      </c>
      <c r="G15" s="39">
        <f t="shared" si="2"/>
        <v>43.322525294213669</v>
      </c>
      <c r="H15" s="39">
        <f t="shared" si="2"/>
        <v>38.832075047242391</v>
      </c>
      <c r="I15" s="39">
        <f t="shared" si="2"/>
        <v>40.798178433267537</v>
      </c>
      <c r="J15" s="39">
        <f t="shared" si="2"/>
        <v>41.050179092852531</v>
      </c>
      <c r="K15" s="39">
        <f t="shared" si="2"/>
        <v>37.685065364460698</v>
      </c>
      <c r="L15" s="30"/>
      <c r="M15" s="287"/>
      <c r="N15" t="s">
        <v>405</v>
      </c>
      <c r="P15" s="477" t="s">
        <v>41</v>
      </c>
      <c r="Q15" s="477">
        <f>'Bilan d''énergie SDES historique'!$Q$28/('Bilan d''énergie SDES historique'!$Q$28+'Bilan d''énergie SDES historique'!$Q$30+'Bilan d''énergie SDES historique'!$Q$31)*Q10</f>
        <v>51.973707796550656</v>
      </c>
      <c r="R15" s="477">
        <f>'Bilan d''énergie SDES historique'!$Q$28/('Bilan d''énergie SDES historique'!$Q$28+'Bilan d''énergie SDES historique'!$Q$30+'Bilan d''énergie SDES historique'!$Q$31)*R10</f>
        <v>51.973707796550656</v>
      </c>
      <c r="S15" s="477">
        <f>'Bilan d''énergie SDES historique'!$Q$28/('Bilan d''énergie SDES historique'!$Q$28+'Bilan d''énergie SDES historique'!$Q$30+'Bilan d''énergie SDES historique'!$Q$31)*S10</f>
        <v>51.88284467103221</v>
      </c>
      <c r="T15" s="477">
        <f>'Bilan d''énergie SDES historique'!$Q$28/('Bilan d''énergie SDES historique'!$Q$28+'Bilan d''énergie SDES historique'!$Q$30+'Bilan d''énergie SDES historique'!$Q$31)*T10</f>
        <v>51.337665917921541</v>
      </c>
      <c r="U15" s="477">
        <f>'Bilan d''énergie SDES historique'!$Q$28/('Bilan d''énergie SDES historique'!$Q$28+'Bilan d''énergie SDES historique'!$Q$30+'Bilan d''énergie SDES historique'!$Q$31)*U10</f>
        <v>50.883350290329318</v>
      </c>
      <c r="V15" s="477">
        <f>'Bilan d''énergie SDES historique'!$Q$28/('Bilan d''énergie SDES historique'!$Q$28+'Bilan d''énergie SDES historique'!$Q$30+'Bilan d''énergie SDES historique'!$Q$31)*V10</f>
        <v>50.429034662737088</v>
      </c>
      <c r="W15" s="477">
        <f>'Bilan d''énergie SDES historique'!$Q$28/('Bilan d''énergie SDES historique'!$Q$28+'Bilan d''énergie SDES historique'!$Q$30+'Bilan d''énergie SDES historique'!$Q$31)*W10</f>
        <v>49.974719035144865</v>
      </c>
      <c r="X15" s="477">
        <f>'Bilan d''énergie SDES historique'!$Q$28/('Bilan d''énergie SDES historique'!$Q$28+'Bilan d''énergie SDES historique'!$Q$30+'Bilan d''énergie SDES historique'!$Q$31)*X10</f>
        <v>49.520403407552635</v>
      </c>
      <c r="Y15" s="477">
        <f>'Bilan d''énergie SDES historique'!$Q$28/('Bilan d''énergie SDES historique'!$Q$28+'Bilan d''énergie SDES historique'!$Q$30+'Bilan d''énergie SDES historique'!$Q$31)*Y10</f>
        <v>49.066087779960412</v>
      </c>
    </row>
    <row r="16" spans="1:25">
      <c r="A16" s="1" t="s">
        <v>250</v>
      </c>
      <c r="B16" s="30"/>
      <c r="C16" s="30"/>
      <c r="D16" s="30"/>
      <c r="E16" s="143"/>
      <c r="F16" s="143"/>
      <c r="G16" s="143"/>
      <c r="H16" s="143"/>
      <c r="I16" s="143"/>
      <c r="J16" s="143"/>
      <c r="K16" s="143">
        <f>'Bilan d''énergie SDES historique'!N30</f>
        <v>243.06700000000001</v>
      </c>
      <c r="L16" s="143"/>
      <c r="M16" s="287" t="s">
        <v>251</v>
      </c>
      <c r="N16" t="s">
        <v>405</v>
      </c>
      <c r="P16" s="477" t="s">
        <v>498</v>
      </c>
      <c r="Q16" s="237"/>
      <c r="R16" s="237"/>
      <c r="S16" s="237">
        <f>S15/R15</f>
        <v>0.99825174825174823</v>
      </c>
      <c r="T16" s="237">
        <f t="shared" ref="T16:Y16" si="3">T15/S15</f>
        <v>0.989492119089317</v>
      </c>
      <c r="U16" s="237">
        <f t="shared" si="3"/>
        <v>0.9911504424778762</v>
      </c>
      <c r="V16" s="237">
        <f t="shared" si="3"/>
        <v>0.99107142857142849</v>
      </c>
      <c r="W16" s="237">
        <f t="shared" si="3"/>
        <v>0.99099099099099108</v>
      </c>
      <c r="X16" s="237">
        <f t="shared" si="3"/>
        <v>0.99090909090909085</v>
      </c>
      <c r="Y16" s="237">
        <f t="shared" si="3"/>
        <v>0.99082568807339455</v>
      </c>
    </row>
    <row r="17" spans="1:21">
      <c r="A17" s="1" t="s">
        <v>252</v>
      </c>
      <c r="B17" s="30">
        <f>'Cadrage macroéconomique '!B6</f>
        <v>4591.2092599999996</v>
      </c>
      <c r="C17" s="30">
        <f>'Cadrage macroéconomique '!C6</f>
        <v>4456.9951799999999</v>
      </c>
      <c r="D17" s="30">
        <f>'Cadrage macroéconomique '!D6</f>
        <v>4430.9669000000004</v>
      </c>
      <c r="E17" s="30">
        <f>'Cadrage macroéconomique '!E6</f>
        <v>4541.6331799999998</v>
      </c>
      <c r="F17" s="30">
        <f>'Cadrage macroéconomique '!F6</f>
        <v>4630.7796200000003</v>
      </c>
      <c r="G17" s="30">
        <f>'Cadrage macroéconomique '!G6</f>
        <v>4800.1645600000002</v>
      </c>
      <c r="H17" s="30">
        <f>'Cadrage macroéconomique '!H6</f>
        <v>4966.1388399999996</v>
      </c>
      <c r="I17" s="30">
        <f>'Cadrage macroéconomique '!I6</f>
        <v>5163.7141000000001</v>
      </c>
      <c r="J17" s="30">
        <f>'Cadrage macroéconomique '!J6</f>
        <v>5195.0469199999998</v>
      </c>
      <c r="K17" s="30">
        <f>'Cadrage macroéconomique '!K6</f>
        <v>5360.5267800000001</v>
      </c>
      <c r="L17" s="143"/>
      <c r="M17" s="287" t="s">
        <v>219</v>
      </c>
      <c r="N17" t="s">
        <v>405</v>
      </c>
    </row>
    <row r="18" spans="1:21">
      <c r="A18" s="1" t="s">
        <v>253</v>
      </c>
      <c r="B18" s="30"/>
      <c r="C18" s="30"/>
      <c r="D18" s="30"/>
      <c r="E18" s="143"/>
      <c r="F18" s="143"/>
      <c r="G18" s="143"/>
      <c r="H18" s="143"/>
      <c r="I18" s="143"/>
      <c r="J18" s="143"/>
      <c r="K18" s="143">
        <f>'Bilan d''énergie SDES historique'!D30</f>
        <v>90.713999999999999</v>
      </c>
      <c r="L18" s="143"/>
      <c r="M18" s="287" t="s">
        <v>254</v>
      </c>
      <c r="N18" t="s">
        <v>405</v>
      </c>
    </row>
    <row r="19" spans="1:21">
      <c r="A19" s="1" t="s">
        <v>255</v>
      </c>
      <c r="B19" s="30"/>
      <c r="C19" s="30"/>
      <c r="D19" s="30"/>
      <c r="E19" s="143"/>
      <c r="F19" s="143"/>
      <c r="G19" s="143"/>
      <c r="H19" s="143"/>
      <c r="I19" s="143"/>
      <c r="J19" s="143"/>
      <c r="K19" s="143">
        <f>'Bilan d''énergie SDES historique'!M30</f>
        <v>22.097000000000001</v>
      </c>
      <c r="L19" s="143"/>
      <c r="M19" s="287" t="s">
        <v>254</v>
      </c>
      <c r="N19" t="s">
        <v>405</v>
      </c>
    </row>
    <row r="22" spans="1:21">
      <c r="A22" s="519" t="s">
        <v>140</v>
      </c>
      <c r="B22" s="519"/>
      <c r="C22" s="519"/>
      <c r="D22" s="519"/>
      <c r="E22" s="519"/>
      <c r="F22" s="519"/>
      <c r="G22" s="519"/>
      <c r="H22" s="519"/>
      <c r="I22" s="519"/>
      <c r="J22" s="519"/>
      <c r="K22" s="519"/>
      <c r="M22" s="519" t="s">
        <v>141</v>
      </c>
      <c r="N22" s="519"/>
      <c r="O22" s="519"/>
      <c r="P22" s="519"/>
      <c r="Q22" s="519"/>
      <c r="R22" s="519"/>
      <c r="S22" s="519"/>
      <c r="T22" s="519"/>
      <c r="U22" s="519"/>
    </row>
    <row r="24" spans="1:21">
      <c r="A24" s="30"/>
      <c r="B24" s="1">
        <v>2015</v>
      </c>
      <c r="C24" s="30">
        <v>2019</v>
      </c>
      <c r="D24" s="30">
        <v>2025</v>
      </c>
      <c r="E24" s="30">
        <v>2030</v>
      </c>
      <c r="F24" s="30">
        <v>2035</v>
      </c>
      <c r="G24" s="30">
        <v>2040</v>
      </c>
      <c r="H24" s="30">
        <v>2045</v>
      </c>
      <c r="I24" s="30">
        <v>2050</v>
      </c>
      <c r="J24" s="292" t="s">
        <v>389</v>
      </c>
      <c r="M24" s="30"/>
      <c r="N24" s="73">
        <v>2017</v>
      </c>
      <c r="O24" s="73">
        <v>2018</v>
      </c>
      <c r="P24" s="30">
        <v>2025</v>
      </c>
      <c r="Q24" s="30">
        <v>2030</v>
      </c>
      <c r="R24" s="30">
        <v>2035</v>
      </c>
      <c r="S24" s="30">
        <v>2040</v>
      </c>
      <c r="T24" s="30">
        <v>2045</v>
      </c>
      <c r="U24" s="30">
        <v>2050</v>
      </c>
    </row>
    <row r="25" spans="1:21">
      <c r="A25" s="30" t="s">
        <v>240</v>
      </c>
      <c r="B25" s="316">
        <f>G7</f>
        <v>273043</v>
      </c>
      <c r="C25" s="316">
        <f>K7</f>
        <v>277940</v>
      </c>
      <c r="D25" s="143">
        <f>'Cadrage macroéconomique '!$C$15*1000000</f>
        <v>288155</v>
      </c>
      <c r="E25" s="143">
        <f>'Cadrage macroéconomique '!$D$15*1000000</f>
        <v>295803</v>
      </c>
      <c r="F25" s="143">
        <f>'Cadrage macroéconomique '!$E$15*1000000</f>
        <v>303451</v>
      </c>
      <c r="G25" s="143">
        <f>'Cadrage macroéconomique '!$F$15*1000000</f>
        <v>311099</v>
      </c>
      <c r="H25" s="143">
        <f>'Cadrage macroéconomique '!$G$15*1000000</f>
        <v>318747</v>
      </c>
      <c r="I25" s="143">
        <f>'Cadrage macroéconomique '!$H$15*1000000</f>
        <v>326395</v>
      </c>
      <c r="J25" s="287" t="s">
        <v>256</v>
      </c>
      <c r="K25" t="s">
        <v>405</v>
      </c>
      <c r="M25" s="30" t="s">
        <v>240</v>
      </c>
      <c r="N25" s="30">
        <v>854</v>
      </c>
      <c r="O25" s="30"/>
      <c r="P25" s="30"/>
      <c r="Q25" s="30"/>
      <c r="R25" s="30"/>
      <c r="S25" s="30"/>
      <c r="T25" s="30"/>
      <c r="U25" s="30">
        <v>873</v>
      </c>
    </row>
    <row r="26" spans="1:21">
      <c r="A26" s="30" t="s">
        <v>241</v>
      </c>
      <c r="B26" s="145">
        <f>G8</f>
        <v>0</v>
      </c>
      <c r="C26" s="30">
        <f>K8</f>
        <v>3.57</v>
      </c>
      <c r="D26" s="146">
        <f>$C$26+($E$26-$C$26)*6/11</f>
        <v>3.2955850991738052</v>
      </c>
      <c r="E26" s="146">
        <f>3.15*288000/E25</f>
        <v>3.066906015151976</v>
      </c>
      <c r="F26" s="146">
        <f>$C$26+($I$26-$C$26)*16/31</f>
        <v>3.0220999776781823</v>
      </c>
      <c r="G26" s="146">
        <f>$C$26+($I$26-$C$26)*21/31</f>
        <v>2.8508812207026146</v>
      </c>
      <c r="H26" s="146">
        <f>$C$26+($I$26-$C$26)*26/31</f>
        <v>2.6796624637270465</v>
      </c>
      <c r="I26" s="146">
        <f>E26*((1-1%)^(I24-E24))</f>
        <v>2.5084437067514784</v>
      </c>
      <c r="J26" s="287" t="s">
        <v>496</v>
      </c>
      <c r="K26" t="s">
        <v>405</v>
      </c>
      <c r="M26" s="30" t="s">
        <v>241</v>
      </c>
      <c r="N26" s="30">
        <v>2.6</v>
      </c>
      <c r="O26" s="30"/>
      <c r="P26" s="30"/>
      <c r="Q26" s="30"/>
      <c r="R26" s="30"/>
      <c r="S26" s="30"/>
      <c r="T26" s="30"/>
      <c r="U26" s="30">
        <v>2.2000000000000002</v>
      </c>
    </row>
    <row r="27" spans="1:21">
      <c r="A27" s="30" t="s">
        <v>243</v>
      </c>
      <c r="B27" s="143" t="e">
        <f t="shared" ref="B27:I27" si="4">B25/B26</f>
        <v>#DIV/0!</v>
      </c>
      <c r="C27" s="143">
        <f t="shared" si="4"/>
        <v>77854.341736694681</v>
      </c>
      <c r="D27" s="143">
        <f t="shared" si="4"/>
        <v>87436.674013436859</v>
      </c>
      <c r="E27" s="143">
        <f t="shared" si="4"/>
        <v>96449.972232142856</v>
      </c>
      <c r="F27" s="143">
        <f t="shared" si="4"/>
        <v>100410.6423484822</v>
      </c>
      <c r="G27" s="143">
        <f t="shared" si="4"/>
        <v>109123.80275293547</v>
      </c>
      <c r="H27" s="143">
        <f t="shared" si="4"/>
        <v>118950.42913601373</v>
      </c>
      <c r="I27" s="143">
        <f t="shared" si="4"/>
        <v>130118.52692628006</v>
      </c>
      <c r="J27" s="287" t="s">
        <v>257</v>
      </c>
      <c r="K27" t="s">
        <v>405</v>
      </c>
      <c r="M27" s="30" t="s">
        <v>243</v>
      </c>
      <c r="N27" s="30">
        <v>328</v>
      </c>
      <c r="O27" s="30"/>
      <c r="P27" s="30"/>
      <c r="Q27" s="30"/>
      <c r="R27" s="30"/>
      <c r="S27" s="30"/>
      <c r="T27" s="30"/>
      <c r="U27" s="30">
        <v>397</v>
      </c>
    </row>
    <row r="28" spans="1:21">
      <c r="A28" s="30" t="s">
        <v>244</v>
      </c>
      <c r="B28" s="85">
        <f>G10</f>
        <v>0</v>
      </c>
      <c r="C28" s="80">
        <f>K10</f>
        <v>0.23</v>
      </c>
      <c r="D28" s="151">
        <f>$C$28+($I$28-$C$28)*5/30</f>
        <v>0.33200000000000002</v>
      </c>
      <c r="E28" s="151">
        <f>$C$28+($I$28-$C$28)*10/30</f>
        <v>0.43400000000000005</v>
      </c>
      <c r="F28" s="151">
        <f>$C$28+($I$28-$C$28)*15/30</f>
        <v>0.53600000000000003</v>
      </c>
      <c r="G28" s="151">
        <f>$C$28+($I$28-$C$28)*20/30</f>
        <v>0.63800000000000001</v>
      </c>
      <c r="H28" s="151">
        <f>$C$28+($I$28-$C$28)*25/30</f>
        <v>0.74</v>
      </c>
      <c r="I28" s="85">
        <v>0.84199999999999997</v>
      </c>
      <c r="J28" s="302" t="s">
        <v>519</v>
      </c>
      <c r="K28" t="s">
        <v>405</v>
      </c>
      <c r="M28" s="30" t="s">
        <v>244</v>
      </c>
      <c r="N28" s="80">
        <v>0.26</v>
      </c>
      <c r="O28" s="30"/>
      <c r="P28" s="30"/>
      <c r="Q28" s="30"/>
      <c r="R28" s="30"/>
      <c r="S28" s="30"/>
      <c r="T28" s="30"/>
      <c r="U28" s="80">
        <v>0.63</v>
      </c>
    </row>
    <row r="29" spans="1:21" s="290" customFormat="1" ht="12.6" customHeight="1">
      <c r="A29" s="289" t="s">
        <v>245</v>
      </c>
      <c r="B29" s="289">
        <v>3</v>
      </c>
      <c r="C29" s="289">
        <f>+I11</f>
        <v>3</v>
      </c>
      <c r="D29" s="289"/>
      <c r="E29" s="289"/>
      <c r="F29" s="289"/>
      <c r="G29" s="289"/>
      <c r="H29" s="289"/>
      <c r="I29" s="289">
        <f>U29</f>
        <v>5</v>
      </c>
      <c r="J29" s="291" t="s">
        <v>258</v>
      </c>
      <c r="K29" s="290" t="s">
        <v>405</v>
      </c>
      <c r="M29" s="289" t="s">
        <v>245</v>
      </c>
      <c r="N29" s="289">
        <v>3</v>
      </c>
      <c r="O29" s="289"/>
      <c r="P29" s="289"/>
      <c r="Q29" s="289"/>
      <c r="R29" s="289"/>
      <c r="S29" s="289"/>
      <c r="T29" s="289"/>
      <c r="U29" s="289">
        <v>5</v>
      </c>
    </row>
    <row r="30" spans="1:21" s="290" customFormat="1">
      <c r="A30" s="289" t="s">
        <v>247</v>
      </c>
      <c r="B30" s="289">
        <v>1</v>
      </c>
      <c r="C30" s="289">
        <f>+I12</f>
        <v>1</v>
      </c>
      <c r="D30" s="289"/>
      <c r="E30" s="289"/>
      <c r="F30" s="289"/>
      <c r="G30" s="289"/>
      <c r="H30" s="289"/>
      <c r="I30" s="289">
        <f>U30</f>
        <v>1</v>
      </c>
      <c r="J30" s="291" t="s">
        <v>259</v>
      </c>
      <c r="K30" s="430"/>
      <c r="M30" s="289" t="s">
        <v>247</v>
      </c>
      <c r="N30" s="289">
        <v>1</v>
      </c>
      <c r="O30" s="289"/>
      <c r="P30" s="289"/>
      <c r="Q30" s="289"/>
      <c r="R30" s="289"/>
      <c r="S30" s="289"/>
      <c r="T30" s="289"/>
      <c r="U30" s="289">
        <v>1</v>
      </c>
    </row>
    <row r="31" spans="1:21">
      <c r="A31" s="1" t="s">
        <v>248</v>
      </c>
      <c r="B31" s="160">
        <f>G13</f>
        <v>14.719510247096816</v>
      </c>
      <c r="C31" s="39">
        <f>K13</f>
        <v>12.377710126800389</v>
      </c>
      <c r="D31" s="146">
        <f>$C$31+($I$31-$C$31)*6/31</f>
        <v>16.16158800775866</v>
      </c>
      <c r="E31" s="146">
        <f>$C$31+($I$31-$C$31)*11/31</f>
        <v>19.314819575223883</v>
      </c>
      <c r="F31" s="146">
        <f>$C$31+($I$31-$C$31)*16/31</f>
        <v>22.468051142689106</v>
      </c>
      <c r="G31" s="146">
        <f>$C$31+($I$31-$C$31)*21/31</f>
        <v>25.621282710154333</v>
      </c>
      <c r="H31" s="146">
        <f>$C$31+($I$31-$C$31)*26/31</f>
        <v>28.774514277619559</v>
      </c>
      <c r="I31" s="146">
        <f>I25*C31*I30*I28*C29/(C28*I29*C25)</f>
        <v>31.927745845084779</v>
      </c>
      <c r="J31" s="287" t="s">
        <v>260</v>
      </c>
      <c r="M31" s="30" t="s">
        <v>248</v>
      </c>
      <c r="N31" s="30">
        <v>273</v>
      </c>
      <c r="O31" s="30"/>
      <c r="P31" s="30"/>
      <c r="Q31" s="30"/>
      <c r="R31" s="30"/>
      <c r="S31" s="30"/>
      <c r="T31" s="30"/>
      <c r="U31" s="30">
        <v>406</v>
      </c>
    </row>
    <row r="32" spans="1:21">
      <c r="A32" s="289" t="s">
        <v>249</v>
      </c>
      <c r="B32" s="289">
        <f>G14</f>
        <v>28.603015047116852</v>
      </c>
      <c r="C32" s="289">
        <f>K14</f>
        <v>25.30735523766031</v>
      </c>
      <c r="D32" s="293">
        <f>$C$32+($I$32-$C$32)*6/31</f>
        <v>26.161288366444776</v>
      </c>
      <c r="E32" s="293">
        <f>$C$32+($I$32-$C$32)*11/31</f>
        <v>26.872899307098496</v>
      </c>
      <c r="F32" s="293">
        <f>$C$32+($I$32-$C$32)*16/31</f>
        <v>27.584510247752217</v>
      </c>
      <c r="G32" s="293">
        <f>$C$32+($I$32-$C$32)*21/31</f>
        <v>28.296121188405937</v>
      </c>
      <c r="H32" s="293">
        <f>$C$32+($I$32-$C$32)*26/31</f>
        <v>29.007732129059658</v>
      </c>
      <c r="I32" s="293">
        <f>(I25*C32)/C25</f>
        <v>29.719343069713378</v>
      </c>
      <c r="J32" s="291" t="s">
        <v>260</v>
      </c>
      <c r="K32" t="s">
        <v>405</v>
      </c>
      <c r="M32" s="30" t="s">
        <v>261</v>
      </c>
      <c r="N32" s="30">
        <v>67</v>
      </c>
      <c r="O32" s="30"/>
      <c r="P32" s="30"/>
      <c r="Q32" s="30"/>
      <c r="R32" s="30"/>
      <c r="S32" s="30"/>
      <c r="T32" s="30"/>
      <c r="U32" s="30">
        <v>71</v>
      </c>
    </row>
    <row r="33" spans="1:21">
      <c r="A33" s="1" t="s">
        <v>23</v>
      </c>
      <c r="B33" s="160">
        <f>G15</f>
        <v>43.322525294213669</v>
      </c>
      <c r="C33" s="39">
        <f>SUM(C31:C32)</f>
        <v>37.685065364460698</v>
      </c>
      <c r="D33" s="146">
        <f t="shared" ref="D33:I33" si="5">SUM(D31:D32)</f>
        <v>42.322876374203432</v>
      </c>
      <c r="E33" s="146">
        <f t="shared" si="5"/>
        <v>46.187718882322379</v>
      </c>
      <c r="F33" s="146">
        <f t="shared" si="5"/>
        <v>50.052561390441326</v>
      </c>
      <c r="G33" s="146">
        <f t="shared" si="5"/>
        <v>53.917403898560266</v>
      </c>
      <c r="H33" s="146">
        <f t="shared" si="5"/>
        <v>57.782246406679221</v>
      </c>
      <c r="I33" s="146">
        <f t="shared" si="5"/>
        <v>61.647088914798161</v>
      </c>
      <c r="J33" s="287"/>
      <c r="K33" t="s">
        <v>405</v>
      </c>
      <c r="M33" s="30" t="s">
        <v>23</v>
      </c>
      <c r="N33" s="30">
        <v>340</v>
      </c>
      <c r="O33" s="30"/>
      <c r="P33" s="30"/>
      <c r="Q33" s="30"/>
      <c r="R33" s="30"/>
      <c r="S33" s="30"/>
      <c r="T33" s="30"/>
      <c r="U33" s="30">
        <v>477</v>
      </c>
    </row>
    <row r="34" spans="1:21">
      <c r="A34" s="1" t="s">
        <v>252</v>
      </c>
      <c r="B34" s="30">
        <f>'Cadrage macroéconomique '!G6</f>
        <v>4800.1645600000002</v>
      </c>
      <c r="C34" s="30">
        <f>'Cadrage macroéconomique '!B16</f>
        <v>5360.5267800000001</v>
      </c>
      <c r="D34" s="43">
        <f>'Cadrage macroéconomique '!C16</f>
        <v>5903.6793298107114</v>
      </c>
      <c r="E34" s="43">
        <f>'Cadrage macroéconomique '!D16</f>
        <v>6356.4759659205911</v>
      </c>
      <c r="F34" s="43">
        <f>'Cadrage macroéconomique '!E16</f>
        <v>6824.5842434018341</v>
      </c>
      <c r="G34" s="43">
        <f>'Cadrage macroéconomique '!F16</f>
        <v>7308.0041622544413</v>
      </c>
      <c r="H34" s="43">
        <f>'Cadrage macroéconomique '!G16</f>
        <v>7806.7357224784091</v>
      </c>
      <c r="I34" s="43">
        <f>'Cadrage macroéconomique '!H16</f>
        <v>8320.7789240737402</v>
      </c>
      <c r="J34" s="287" t="s">
        <v>256</v>
      </c>
      <c r="K34" t="s">
        <v>405</v>
      </c>
      <c r="M34" s="30" t="s">
        <v>262</v>
      </c>
      <c r="N34" s="74" t="s">
        <v>263</v>
      </c>
      <c r="O34" s="30"/>
      <c r="P34" s="30"/>
      <c r="Q34" s="30"/>
      <c r="R34" s="30"/>
      <c r="S34" s="30"/>
      <c r="T34" s="30"/>
      <c r="U34" s="74" t="s">
        <v>146</v>
      </c>
    </row>
    <row r="35" spans="1:21">
      <c r="A35" s="540"/>
      <c r="B35" s="540"/>
      <c r="C35" s="540"/>
      <c r="D35" s="540"/>
      <c r="E35" s="540"/>
      <c r="F35" s="540"/>
      <c r="G35" s="540"/>
      <c r="H35" s="540"/>
      <c r="I35" s="540"/>
      <c r="J35" s="540"/>
      <c r="K35" t="s">
        <v>405</v>
      </c>
      <c r="O35">
        <v>30.35</v>
      </c>
      <c r="U35">
        <v>31.02</v>
      </c>
    </row>
    <row r="37" spans="1:21">
      <c r="A37" s="519" t="s">
        <v>144</v>
      </c>
      <c r="B37" s="519"/>
      <c r="C37" s="519"/>
      <c r="D37" s="519"/>
      <c r="E37" s="519"/>
      <c r="F37" s="519"/>
      <c r="G37" s="519"/>
      <c r="H37" s="519"/>
      <c r="I37" s="519"/>
      <c r="J37" s="519"/>
      <c r="K37" s="519"/>
      <c r="M37" s="519" t="s">
        <v>145</v>
      </c>
      <c r="N37" s="519"/>
      <c r="O37" s="519"/>
      <c r="P37" s="519"/>
      <c r="Q37" s="519"/>
      <c r="R37" s="519"/>
      <c r="S37" s="519"/>
      <c r="T37" s="519"/>
      <c r="U37" s="519"/>
    </row>
    <row r="38" spans="1:21">
      <c r="I38" t="s">
        <v>611</v>
      </c>
    </row>
    <row r="39" spans="1:21">
      <c r="A39" s="30"/>
      <c r="B39" s="1">
        <v>2015</v>
      </c>
      <c r="C39" s="30">
        <v>2019</v>
      </c>
      <c r="D39" s="30">
        <v>2025</v>
      </c>
      <c r="E39" s="30">
        <v>2030</v>
      </c>
      <c r="F39" s="30">
        <v>2035</v>
      </c>
      <c r="G39" s="30">
        <v>2040</v>
      </c>
      <c r="H39" s="30">
        <v>2045</v>
      </c>
      <c r="I39" s="30">
        <v>2050</v>
      </c>
      <c r="J39" s="274" t="s">
        <v>389</v>
      </c>
      <c r="K39" t="s">
        <v>405</v>
      </c>
      <c r="M39" s="30"/>
      <c r="N39" s="73">
        <v>2010</v>
      </c>
      <c r="O39" s="30">
        <v>2020</v>
      </c>
      <c r="P39" s="30">
        <v>2025</v>
      </c>
      <c r="Q39" s="30">
        <v>2030</v>
      </c>
      <c r="R39" s="30">
        <v>2035</v>
      </c>
      <c r="S39" s="30">
        <v>2040</v>
      </c>
      <c r="T39" s="30">
        <v>2045</v>
      </c>
      <c r="U39" s="30">
        <v>2050</v>
      </c>
    </row>
    <row r="40" spans="1:21">
      <c r="A40" s="30" t="s">
        <v>240</v>
      </c>
      <c r="B40" s="300">
        <f>B25</f>
        <v>273043</v>
      </c>
      <c r="C40" s="300">
        <f>C25</f>
        <v>277940</v>
      </c>
      <c r="D40" s="163">
        <f>'Cadrage macroéconomique '!$C$15*1000000</f>
        <v>288155</v>
      </c>
      <c r="E40" s="163">
        <f>'Cadrage macroéconomique '!$D$15*1000000</f>
        <v>295803</v>
      </c>
      <c r="F40" s="163">
        <f>'Cadrage macroéconomique '!$E$15*1000000</f>
        <v>303451</v>
      </c>
      <c r="G40" s="163">
        <f>'Cadrage macroéconomique '!$F$15*1000000</f>
        <v>311099</v>
      </c>
      <c r="H40" s="163">
        <f>'Cadrage macroéconomique '!$G$15*1000000</f>
        <v>318747</v>
      </c>
      <c r="I40" s="163">
        <f>'Cadrage macroéconomique '!$H$15*1000000</f>
        <v>326395</v>
      </c>
      <c r="J40" s="287" t="s">
        <v>256</v>
      </c>
      <c r="K40" t="s">
        <v>405</v>
      </c>
      <c r="M40" s="30" t="s">
        <v>240</v>
      </c>
      <c r="N40" s="30">
        <v>825</v>
      </c>
      <c r="O40" s="30"/>
      <c r="P40" s="30"/>
      <c r="Q40" s="30"/>
      <c r="R40" s="30"/>
      <c r="S40" s="30"/>
      <c r="T40" s="30"/>
      <c r="U40" s="30">
        <v>910</v>
      </c>
    </row>
    <row r="41" spans="1:21">
      <c r="A41" s="30" t="s">
        <v>241</v>
      </c>
      <c r="B41" s="300">
        <f t="shared" ref="B41:C49" si="6">B26</f>
        <v>0</v>
      </c>
      <c r="C41" s="300">
        <f t="shared" si="6"/>
        <v>3.57</v>
      </c>
      <c r="D41" s="152">
        <f t="shared" ref="D41:I41" si="7">D26</f>
        <v>3.2955850991738052</v>
      </c>
      <c r="E41" s="152">
        <f t="shared" si="7"/>
        <v>3.066906015151976</v>
      </c>
      <c r="F41" s="152">
        <f t="shared" si="7"/>
        <v>3.0220999776781823</v>
      </c>
      <c r="G41" s="152">
        <f t="shared" si="7"/>
        <v>2.8508812207026146</v>
      </c>
      <c r="H41" s="152">
        <f t="shared" si="7"/>
        <v>2.6796624637270465</v>
      </c>
      <c r="I41" s="152">
        <f t="shared" si="7"/>
        <v>2.5084437067514784</v>
      </c>
      <c r="J41" s="287" t="s">
        <v>257</v>
      </c>
      <c r="K41" t="s">
        <v>405</v>
      </c>
      <c r="M41" s="30" t="s">
        <v>241</v>
      </c>
      <c r="N41" s="30">
        <v>2.7</v>
      </c>
      <c r="O41" s="30"/>
      <c r="P41" s="30"/>
      <c r="Q41" s="30"/>
      <c r="R41" s="30"/>
      <c r="S41" s="30"/>
      <c r="T41" s="30"/>
      <c r="U41" s="30">
        <v>2.2000000000000002</v>
      </c>
    </row>
    <row r="42" spans="1:21">
      <c r="A42" s="30" t="s">
        <v>243</v>
      </c>
      <c r="B42" s="300" t="e">
        <f t="shared" si="6"/>
        <v>#DIV/0!</v>
      </c>
      <c r="C42" s="300">
        <f t="shared" si="6"/>
        <v>77854.341736694681</v>
      </c>
      <c r="D42" s="143">
        <f t="shared" ref="D42:I42" si="8">D40/D41</f>
        <v>87436.674013436859</v>
      </c>
      <c r="E42" s="143">
        <f t="shared" si="8"/>
        <v>96449.972232142856</v>
      </c>
      <c r="F42" s="143">
        <f t="shared" si="8"/>
        <v>100410.6423484822</v>
      </c>
      <c r="G42" s="143">
        <f t="shared" si="8"/>
        <v>109123.80275293547</v>
      </c>
      <c r="H42" s="143">
        <f t="shared" si="8"/>
        <v>118950.42913601373</v>
      </c>
      <c r="I42" s="143">
        <f t="shared" si="8"/>
        <v>130118.52692628006</v>
      </c>
      <c r="J42" s="287" t="s">
        <v>257</v>
      </c>
      <c r="K42" t="s">
        <v>405</v>
      </c>
      <c r="M42" s="30" t="s">
        <v>243</v>
      </c>
      <c r="N42" s="30">
        <v>305.555555555556</v>
      </c>
      <c r="O42" s="30"/>
      <c r="P42" s="30"/>
      <c r="Q42" s="30"/>
      <c r="R42" s="30"/>
      <c r="S42" s="30"/>
      <c r="T42" s="30"/>
      <c r="U42" s="30">
        <v>413.63636363636402</v>
      </c>
    </row>
    <row r="43" spans="1:21">
      <c r="A43" s="30" t="s">
        <v>244</v>
      </c>
      <c r="B43" s="299">
        <f t="shared" si="6"/>
        <v>0</v>
      </c>
      <c r="C43" s="300">
        <f t="shared" si="6"/>
        <v>0.23</v>
      </c>
      <c r="D43" s="120">
        <f>$C$43+($I$43-$C$43)*5/30</f>
        <v>0.27500000000000002</v>
      </c>
      <c r="E43" s="120">
        <f>$C$43+($I$43-$C$43)*10/30</f>
        <v>0.32</v>
      </c>
      <c r="F43" s="120">
        <f>$C$43+($I$43-$C$43)*15/30</f>
        <v>0.36500000000000005</v>
      </c>
      <c r="G43" s="120">
        <f>$C$43+($I$43-$C$43)*20/30</f>
        <v>0.41000000000000003</v>
      </c>
      <c r="H43" s="120">
        <f>$C$43+($I$43-$C$43)*25/30</f>
        <v>0.45500000000000002</v>
      </c>
      <c r="I43" s="85">
        <f>U43</f>
        <v>0.5</v>
      </c>
      <c r="J43" s="302" t="s">
        <v>264</v>
      </c>
      <c r="K43" t="s">
        <v>405</v>
      </c>
      <c r="M43" s="30" t="s">
        <v>244</v>
      </c>
      <c r="N43" s="30">
        <v>0.23</v>
      </c>
      <c r="O43" s="30"/>
      <c r="P43" s="30"/>
      <c r="Q43" s="30"/>
      <c r="R43" s="30"/>
      <c r="S43" s="30"/>
      <c r="T43" s="30"/>
      <c r="U43" s="30">
        <v>0.5</v>
      </c>
    </row>
    <row r="44" spans="1:21" s="290" customFormat="1">
      <c r="A44" s="289" t="s">
        <v>245</v>
      </c>
      <c r="B44" s="300">
        <f t="shared" si="6"/>
        <v>3</v>
      </c>
      <c r="C44" s="300">
        <f t="shared" si="6"/>
        <v>3</v>
      </c>
      <c r="D44" s="289"/>
      <c r="E44" s="289"/>
      <c r="F44" s="289"/>
      <c r="G44" s="289"/>
      <c r="H44" s="289"/>
      <c r="I44" s="289">
        <v>6</v>
      </c>
      <c r="J44" s="291" t="s">
        <v>259</v>
      </c>
      <c r="K44" s="290" t="s">
        <v>405</v>
      </c>
      <c r="M44" s="289" t="s">
        <v>245</v>
      </c>
      <c r="N44" s="289">
        <v>3</v>
      </c>
      <c r="O44" s="289"/>
      <c r="P44" s="289"/>
      <c r="Q44" s="289">
        <v>6</v>
      </c>
      <c r="R44" s="289"/>
      <c r="S44" s="289"/>
      <c r="T44" s="289"/>
      <c r="U44" s="289">
        <v>6</v>
      </c>
    </row>
    <row r="45" spans="1:21" s="290" customFormat="1">
      <c r="A45" s="289" t="s">
        <v>247</v>
      </c>
      <c r="B45" s="300">
        <f t="shared" si="6"/>
        <v>1</v>
      </c>
      <c r="C45" s="300">
        <f t="shared" si="6"/>
        <v>1</v>
      </c>
      <c r="D45" s="289"/>
      <c r="E45" s="289"/>
      <c r="F45" s="289"/>
      <c r="G45" s="289"/>
      <c r="H45" s="289"/>
      <c r="I45" s="289">
        <f>U45</f>
        <v>1</v>
      </c>
      <c r="J45" s="291" t="s">
        <v>259</v>
      </c>
      <c r="K45" s="290" t="s">
        <v>405</v>
      </c>
      <c r="M45" s="289" t="s">
        <v>247</v>
      </c>
      <c r="N45" s="289">
        <v>1</v>
      </c>
      <c r="O45" s="289"/>
      <c r="P45" s="289"/>
      <c r="Q45" s="289">
        <v>1</v>
      </c>
      <c r="R45" s="289"/>
      <c r="S45" s="289"/>
      <c r="T45" s="289"/>
      <c r="U45" s="289">
        <v>1</v>
      </c>
    </row>
    <row r="46" spans="1:21">
      <c r="A46" s="1" t="s">
        <v>248</v>
      </c>
      <c r="B46" s="300">
        <f t="shared" si="6"/>
        <v>14.719510247096816</v>
      </c>
      <c r="C46" s="300">
        <f t="shared" si="6"/>
        <v>12.377710126800389</v>
      </c>
      <c r="D46" s="146">
        <f>$C$46+($I$46-$C$46)*6/31</f>
        <v>13.040003171475755</v>
      </c>
      <c r="E46" s="146">
        <f>$C$46+($I$46-$C$46)*11/31</f>
        <v>13.59191404203856</v>
      </c>
      <c r="F46" s="146">
        <f>$C$46+($I$46-$C$46)*16/31</f>
        <v>14.143824912601364</v>
      </c>
      <c r="G46" s="146">
        <f>$C$46+($I$46-$C$46)*21/31</f>
        <v>14.695735783164169</v>
      </c>
      <c r="H46" s="146">
        <f>$C$46+($I$46-$C$46)*26/31</f>
        <v>15.247646653726973</v>
      </c>
      <c r="I46" s="146">
        <f>I40*C46*I45*I43*C44/(C43*I44*C40)</f>
        <v>15.799557524289778</v>
      </c>
      <c r="J46" s="287" t="s">
        <v>260</v>
      </c>
      <c r="K46" t="s">
        <v>405</v>
      </c>
      <c r="M46" s="30" t="s">
        <v>248</v>
      </c>
      <c r="N46" s="30">
        <v>134.80000000000001</v>
      </c>
      <c r="O46" s="30"/>
      <c r="P46" s="30"/>
      <c r="Q46" s="30"/>
      <c r="R46" s="30"/>
      <c r="S46" s="30"/>
      <c r="T46" s="30"/>
      <c r="U46" s="30">
        <v>16.1617918313571</v>
      </c>
    </row>
    <row r="47" spans="1:21">
      <c r="A47" s="1" t="s">
        <v>249</v>
      </c>
      <c r="B47" s="300">
        <f t="shared" si="6"/>
        <v>28.603015047116852</v>
      </c>
      <c r="C47" s="300">
        <f t="shared" si="6"/>
        <v>25.30735523766031</v>
      </c>
      <c r="D47" s="146">
        <f>$C$47+($I$47-$C$47)*6/31</f>
        <v>26.161288366444776</v>
      </c>
      <c r="E47" s="146">
        <f>$C$47+($I$47-$C$47)*11/31</f>
        <v>26.872899307098496</v>
      </c>
      <c r="F47" s="146">
        <f>$C$47+($I$47-$C$47)*16/31</f>
        <v>27.584510247752217</v>
      </c>
      <c r="G47" s="146">
        <f>$C$47+($I$47-$C$47)*21/31</f>
        <v>28.296121188405937</v>
      </c>
      <c r="H47" s="146">
        <f>$C$47+($I$47-$C$47)*26/31</f>
        <v>29.007732129059658</v>
      </c>
      <c r="I47" s="146">
        <f>(I40*C47)/C40</f>
        <v>29.719343069713378</v>
      </c>
      <c r="J47" s="287" t="s">
        <v>260</v>
      </c>
      <c r="K47" t="s">
        <v>405</v>
      </c>
      <c r="M47" s="30" t="s">
        <v>261</v>
      </c>
      <c r="N47" s="30">
        <v>89</v>
      </c>
      <c r="O47" s="30"/>
      <c r="P47" s="30"/>
      <c r="Q47" s="30"/>
      <c r="R47" s="30"/>
      <c r="S47" s="30"/>
      <c r="T47" s="30"/>
      <c r="U47" s="30">
        <v>0</v>
      </c>
    </row>
    <row r="48" spans="1:21">
      <c r="A48" s="1" t="s">
        <v>23</v>
      </c>
      <c r="B48" s="300">
        <f t="shared" si="6"/>
        <v>43.322525294213669</v>
      </c>
      <c r="C48" s="300">
        <f t="shared" si="6"/>
        <v>37.685065364460698</v>
      </c>
      <c r="D48" s="146">
        <f t="shared" ref="D48:I48" si="9">SUM(D46:D47)</f>
        <v>39.201291537920532</v>
      </c>
      <c r="E48" s="146">
        <f t="shared" si="9"/>
        <v>40.46481334913706</v>
      </c>
      <c r="F48" s="146">
        <f t="shared" si="9"/>
        <v>41.728335160353581</v>
      </c>
      <c r="G48" s="146">
        <f t="shared" si="9"/>
        <v>42.991856971570108</v>
      </c>
      <c r="H48" s="146">
        <f t="shared" si="9"/>
        <v>44.255378782786629</v>
      </c>
      <c r="I48" s="146">
        <f t="shared" si="9"/>
        <v>45.518900594003156</v>
      </c>
      <c r="J48" s="287"/>
      <c r="K48" t="s">
        <v>405</v>
      </c>
      <c r="M48" s="30" t="s">
        <v>23</v>
      </c>
      <c r="N48" s="30">
        <v>223.8</v>
      </c>
      <c r="O48" s="30"/>
      <c r="P48" s="30"/>
      <c r="Q48" s="30"/>
      <c r="R48" s="30"/>
      <c r="S48" s="30"/>
      <c r="T48" s="30"/>
      <c r="U48" s="30">
        <v>16.1617918313571</v>
      </c>
    </row>
    <row r="49" spans="1:21" ht="17.399999999999999" customHeight="1">
      <c r="A49" s="1" t="s">
        <v>252</v>
      </c>
      <c r="B49" s="300">
        <f t="shared" si="6"/>
        <v>4800.1645600000002</v>
      </c>
      <c r="C49" s="300">
        <f t="shared" si="6"/>
        <v>5360.5267800000001</v>
      </c>
      <c r="D49" s="143">
        <f t="shared" ref="D49:I49" si="10">D34</f>
        <v>5903.6793298107114</v>
      </c>
      <c r="E49" s="163">
        <f t="shared" si="10"/>
        <v>6356.4759659205911</v>
      </c>
      <c r="F49" s="163">
        <f t="shared" si="10"/>
        <v>6824.5842434018341</v>
      </c>
      <c r="G49" s="163">
        <f t="shared" si="10"/>
        <v>7308.0041622544413</v>
      </c>
      <c r="H49" s="163">
        <f t="shared" si="10"/>
        <v>7806.7357224784091</v>
      </c>
      <c r="I49" s="163">
        <f t="shared" si="10"/>
        <v>8320.7789240737402</v>
      </c>
      <c r="J49" s="287" t="s">
        <v>256</v>
      </c>
      <c r="K49" t="s">
        <v>405</v>
      </c>
      <c r="M49" s="30" t="s">
        <v>262</v>
      </c>
      <c r="N49" s="30">
        <v>15395.9448738097</v>
      </c>
      <c r="O49" s="30"/>
      <c r="P49" s="30"/>
      <c r="Q49" s="30"/>
      <c r="R49" s="30"/>
      <c r="S49" s="30"/>
      <c r="T49" s="30"/>
      <c r="U49" s="30">
        <v>40188</v>
      </c>
    </row>
    <row r="50" spans="1:21">
      <c r="A50" s="540" t="s">
        <v>409</v>
      </c>
      <c r="B50" s="540"/>
      <c r="C50" s="540"/>
      <c r="D50" s="540"/>
      <c r="E50" s="540"/>
      <c r="F50" s="540"/>
      <c r="G50" s="540"/>
      <c r="H50" s="540"/>
      <c r="I50" s="540"/>
      <c r="J50" s="540"/>
      <c r="K50" t="s">
        <v>405</v>
      </c>
    </row>
    <row r="52" spans="1:21">
      <c r="A52" s="543" t="s">
        <v>265</v>
      </c>
      <c r="B52" s="543"/>
      <c r="C52" s="543"/>
      <c r="D52" s="543"/>
      <c r="E52" s="543"/>
      <c r="F52" s="543"/>
      <c r="G52" s="543"/>
      <c r="H52" s="543"/>
      <c r="I52" s="543"/>
      <c r="J52" s="543"/>
      <c r="K52" s="543"/>
    </row>
    <row r="54" spans="1:21">
      <c r="A54" s="519" t="s">
        <v>55</v>
      </c>
      <c r="B54" s="519"/>
      <c r="C54" s="519"/>
      <c r="D54" s="519"/>
      <c r="E54" s="519"/>
      <c r="F54" s="519"/>
      <c r="G54" s="519"/>
      <c r="H54" s="519"/>
      <c r="I54" s="519"/>
      <c r="J54" s="519"/>
      <c r="K54" s="519"/>
    </row>
    <row r="55" spans="1:21">
      <c r="B55" t="s">
        <v>266</v>
      </c>
      <c r="C55" t="s">
        <v>267</v>
      </c>
    </row>
    <row r="56" spans="1:21">
      <c r="A56" s="153" t="s">
        <v>268</v>
      </c>
      <c r="B56" s="1">
        <v>2010</v>
      </c>
      <c r="C56" s="1">
        <v>2010</v>
      </c>
      <c r="E56" s="237" t="s">
        <v>429</v>
      </c>
      <c r="F56" s="237" t="s">
        <v>430</v>
      </c>
      <c r="G56" t="s">
        <v>405</v>
      </c>
      <c r="H56" s="237" t="s">
        <v>268</v>
      </c>
      <c r="I56" s="237" t="s">
        <v>431</v>
      </c>
    </row>
    <row r="57" spans="1:21">
      <c r="A57" s="1" t="s">
        <v>269</v>
      </c>
      <c r="B57" s="154">
        <v>0.04</v>
      </c>
      <c r="C57" s="155">
        <f>B57/B$64</f>
        <v>5.4794520547945209E-2</v>
      </c>
      <c r="E57" s="237" t="s">
        <v>43</v>
      </c>
      <c r="F57" s="338">
        <f>22%+34%</f>
        <v>0.56000000000000005</v>
      </c>
      <c r="H57" s="237" t="s">
        <v>432</v>
      </c>
      <c r="I57" s="339">
        <v>0.3</v>
      </c>
    </row>
    <row r="58" spans="1:21">
      <c r="A58" s="1" t="s">
        <v>270</v>
      </c>
      <c r="B58" s="154">
        <v>0.14000000000000001</v>
      </c>
      <c r="C58" s="155">
        <f>B58/B$64</f>
        <v>0.19178082191780824</v>
      </c>
      <c r="E58" s="237" t="s">
        <v>44</v>
      </c>
      <c r="F58" s="338">
        <v>0.44</v>
      </c>
      <c r="H58" s="237" t="s">
        <v>270</v>
      </c>
      <c r="I58" s="339">
        <v>0.31</v>
      </c>
    </row>
    <row r="59" spans="1:21">
      <c r="A59" s="1" t="s">
        <v>271</v>
      </c>
      <c r="B59" s="154">
        <v>0.28999999999999998</v>
      </c>
      <c r="C59" s="155">
        <f>B59/B$64</f>
        <v>0.39726027397260272</v>
      </c>
      <c r="E59" s="237" t="s">
        <v>41</v>
      </c>
      <c r="F59" s="338">
        <v>0</v>
      </c>
      <c r="H59" s="237" t="s">
        <v>433</v>
      </c>
      <c r="I59" s="339">
        <v>0.17</v>
      </c>
    </row>
    <row r="60" spans="1:21">
      <c r="A60" s="1" t="s">
        <v>272</v>
      </c>
      <c r="B60" s="154">
        <v>0.13</v>
      </c>
      <c r="C60" s="155">
        <f>B60/B$64</f>
        <v>0.17808219178082194</v>
      </c>
      <c r="G60" s="340"/>
      <c r="H60" s="237" t="s">
        <v>434</v>
      </c>
      <c r="I60" s="339">
        <v>0.05</v>
      </c>
    </row>
    <row r="61" spans="1:21">
      <c r="A61" s="1" t="s">
        <v>273</v>
      </c>
      <c r="B61" s="154">
        <v>0.13</v>
      </c>
      <c r="C61" s="155">
        <f>B61/B$64</f>
        <v>0.17808219178082194</v>
      </c>
      <c r="H61" s="237" t="s">
        <v>435</v>
      </c>
      <c r="I61" s="339">
        <v>0.02</v>
      </c>
    </row>
    <row r="62" spans="1:21">
      <c r="A62" s="1" t="s">
        <v>274</v>
      </c>
      <c r="B62" s="154">
        <v>0.25</v>
      </c>
      <c r="C62" s="1"/>
      <c r="H62" s="237" t="s">
        <v>436</v>
      </c>
      <c r="I62" s="339">
        <v>0.15</v>
      </c>
    </row>
    <row r="63" spans="1:21">
      <c r="A63" s="156" t="s">
        <v>23</v>
      </c>
      <c r="B63" s="157">
        <f>SUM(B57:B62)</f>
        <v>0.98</v>
      </c>
      <c r="C63" s="157">
        <f>SUM(C57:C62)</f>
        <v>1</v>
      </c>
    </row>
    <row r="64" spans="1:21">
      <c r="A64" s="158" t="s">
        <v>275</v>
      </c>
      <c r="B64" s="159">
        <f>SUM(B57:B61)</f>
        <v>0.73</v>
      </c>
      <c r="C64" s="158"/>
      <c r="D64" s="35"/>
      <c r="E64" s="35"/>
      <c r="F64" s="35"/>
      <c r="G64" s="35"/>
      <c r="H64" s="35"/>
      <c r="I64" s="35"/>
      <c r="J64" s="35"/>
      <c r="K64" s="35"/>
      <c r="L64" s="35"/>
    </row>
    <row r="65" spans="1:24">
      <c r="A65" s="158"/>
      <c r="B65" s="159"/>
      <c r="C65" s="158"/>
      <c r="D65" s="35"/>
      <c r="E65" s="35"/>
      <c r="F65" s="35"/>
      <c r="G65" s="35"/>
      <c r="H65" s="35"/>
      <c r="I65" s="35"/>
      <c r="J65" s="35"/>
      <c r="K65" s="35"/>
      <c r="L65" s="35"/>
    </row>
    <row r="66" spans="1:24">
      <c r="A66" s="519" t="s">
        <v>140</v>
      </c>
      <c r="B66" s="519"/>
      <c r="C66" s="519"/>
      <c r="D66" s="519"/>
      <c r="E66" s="519"/>
      <c r="F66" s="519"/>
      <c r="G66" s="519"/>
      <c r="H66" s="519"/>
      <c r="I66" s="519"/>
      <c r="J66" s="519"/>
      <c r="K66" s="519"/>
      <c r="M66" s="519" t="s">
        <v>141</v>
      </c>
      <c r="N66" s="519"/>
      <c r="O66" s="519"/>
      <c r="P66" s="519"/>
      <c r="Q66" s="519"/>
      <c r="R66" s="519"/>
      <c r="S66" s="519"/>
      <c r="T66" s="519"/>
      <c r="U66" s="519"/>
    </row>
    <row r="68" spans="1:24">
      <c r="A68" s="345" t="s">
        <v>268</v>
      </c>
      <c r="B68" s="346">
        <v>2019</v>
      </c>
      <c r="C68" s="346">
        <v>2020</v>
      </c>
      <c r="D68" s="346">
        <v>2025</v>
      </c>
      <c r="E68" s="346">
        <v>2030</v>
      </c>
      <c r="F68" s="346">
        <v>2035</v>
      </c>
      <c r="G68" s="346">
        <v>2040</v>
      </c>
      <c r="H68" s="346">
        <v>2045</v>
      </c>
      <c r="I68" s="346">
        <v>2050</v>
      </c>
      <c r="J68" s="346" t="s">
        <v>276</v>
      </c>
      <c r="K68" s="346" t="s">
        <v>277</v>
      </c>
      <c r="M68" s="89" t="s">
        <v>268</v>
      </c>
      <c r="N68" s="30">
        <v>2015</v>
      </c>
      <c r="O68" s="30">
        <v>2020</v>
      </c>
      <c r="P68" s="30">
        <v>2025</v>
      </c>
      <c r="Q68" s="30">
        <v>2030</v>
      </c>
      <c r="R68" s="30">
        <v>2035</v>
      </c>
      <c r="S68" s="30">
        <v>2040</v>
      </c>
      <c r="T68" s="30">
        <v>2045</v>
      </c>
      <c r="U68" s="30">
        <v>2050</v>
      </c>
      <c r="W68" t="s">
        <v>276</v>
      </c>
      <c r="X68" t="s">
        <v>277</v>
      </c>
    </row>
    <row r="69" spans="1:24">
      <c r="A69" s="346" t="s">
        <v>269</v>
      </c>
      <c r="B69" s="347" t="e">
        <f>B$74*$C57</f>
        <v>#REF!</v>
      </c>
      <c r="C69" s="347" t="e">
        <f>C$74*$C57</f>
        <v>#REF!</v>
      </c>
      <c r="D69" s="347" t="e">
        <f>$B69+($I69-$B69)*6/31</f>
        <v>#REF!</v>
      </c>
      <c r="E69" s="347" t="e">
        <f>$B69+($I69-$B69)*11/31</f>
        <v>#REF!</v>
      </c>
      <c r="F69" s="347" t="e">
        <f>$B69+($I69-$B69)*16/31</f>
        <v>#REF!</v>
      </c>
      <c r="G69" s="347" t="e">
        <f>$B69+($I69-$B69)*21/31</f>
        <v>#REF!</v>
      </c>
      <c r="H69" s="347" t="e">
        <f>$B69+($I69-$B69)*26/31</f>
        <v>#REF!</v>
      </c>
      <c r="I69" s="347" t="e">
        <f>B69*J69*K69</f>
        <v>#REF!</v>
      </c>
      <c r="J69" s="346">
        <v>0.6</v>
      </c>
      <c r="K69" s="348" t="e">
        <f>I27/B27</f>
        <v>#DIV/0!</v>
      </c>
      <c r="M69" s="30" t="s">
        <v>269</v>
      </c>
      <c r="N69" s="30">
        <v>51</v>
      </c>
      <c r="O69" s="30"/>
      <c r="P69" s="30"/>
      <c r="Q69" s="30"/>
      <c r="R69" s="30"/>
      <c r="S69" s="30"/>
      <c r="T69" s="30"/>
      <c r="U69" s="30">
        <v>17</v>
      </c>
      <c r="W69">
        <v>0.25</v>
      </c>
      <c r="X69">
        <v>1.29812437895094</v>
      </c>
    </row>
    <row r="70" spans="1:24">
      <c r="A70" s="346" t="s">
        <v>270</v>
      </c>
      <c r="B70" s="347" t="e">
        <f>B$74*C58</f>
        <v>#REF!</v>
      </c>
      <c r="C70" s="347" t="e">
        <f>C$74*$C58</f>
        <v>#REF!</v>
      </c>
      <c r="D70" s="347" t="e">
        <f>$B70+($I70-$B70)*6/31</f>
        <v>#REF!</v>
      </c>
      <c r="E70" s="347" t="e">
        <f>$B70+($I70-$B70)*11/31</f>
        <v>#REF!</v>
      </c>
      <c r="F70" s="347" t="e">
        <f>$B70+($I70-$B70)*16/31</f>
        <v>#REF!</v>
      </c>
      <c r="G70" s="347" t="e">
        <f>$B70+($I70-$B70)*21/31</f>
        <v>#REF!</v>
      </c>
      <c r="H70" s="347" t="e">
        <f>$B70+($I70-$B70)*26/31</f>
        <v>#REF!</v>
      </c>
      <c r="I70" s="347" t="e">
        <f>B70*J70*K70</f>
        <v>#REF!</v>
      </c>
      <c r="J70" s="346">
        <v>1</v>
      </c>
      <c r="K70" s="348" t="e">
        <f>0.8*I27/B27</f>
        <v>#DIV/0!</v>
      </c>
      <c r="M70" s="30" t="s">
        <v>270</v>
      </c>
      <c r="N70" s="30">
        <v>175</v>
      </c>
      <c r="O70" s="30"/>
      <c r="P70" s="30"/>
      <c r="Q70" s="30"/>
      <c r="R70" s="30"/>
      <c r="S70" s="30"/>
      <c r="T70" s="30"/>
      <c r="U70" s="30">
        <v>133</v>
      </c>
      <c r="W70">
        <v>0.9</v>
      </c>
      <c r="X70">
        <v>0.84618478035320199</v>
      </c>
    </row>
    <row r="71" spans="1:24">
      <c r="A71" s="346" t="s">
        <v>271</v>
      </c>
      <c r="B71" s="347" t="e">
        <f>B$74*C59</f>
        <v>#REF!</v>
      </c>
      <c r="C71" s="347" t="e">
        <f>C$74*$C59</f>
        <v>#REF!</v>
      </c>
      <c r="D71" s="347" t="e">
        <f>$B71+($I71-$B71)*6/31</f>
        <v>#REF!</v>
      </c>
      <c r="E71" s="347" t="e">
        <f>$B71+($I71-$B71)*11/31</f>
        <v>#REF!</v>
      </c>
      <c r="F71" s="347" t="e">
        <f>$B71+($I71-$B71)*16/31</f>
        <v>#REF!</v>
      </c>
      <c r="G71" s="347" t="e">
        <f>$B71+($I71-$B71)*21/31</f>
        <v>#REF!</v>
      </c>
      <c r="H71" s="347" t="e">
        <f>$B71+($I71-$B71)*26/31</f>
        <v>#REF!</v>
      </c>
      <c r="I71" s="347" t="e">
        <f>B71*J71*K71</f>
        <v>#REF!</v>
      </c>
      <c r="J71" s="346">
        <v>1</v>
      </c>
      <c r="K71" s="348" t="e">
        <f>1.2*I27/B27</f>
        <v>#DIV/0!</v>
      </c>
      <c r="M71" s="30" t="s">
        <v>271</v>
      </c>
      <c r="N71" s="30">
        <v>360</v>
      </c>
      <c r="O71" s="30"/>
      <c r="P71" s="30"/>
      <c r="Q71" s="30"/>
      <c r="R71" s="30"/>
      <c r="S71" s="30"/>
      <c r="T71" s="30"/>
      <c r="U71" s="30">
        <v>224</v>
      </c>
      <c r="W71">
        <v>0.4</v>
      </c>
      <c r="X71">
        <v>1.55774925474112</v>
      </c>
    </row>
    <row r="72" spans="1:24">
      <c r="A72" s="346" t="s">
        <v>278</v>
      </c>
      <c r="B72" s="347" t="e">
        <f>B$74*C60</f>
        <v>#REF!</v>
      </c>
      <c r="C72" s="347" t="e">
        <f>C$74*$C60</f>
        <v>#REF!</v>
      </c>
      <c r="D72" s="347" t="e">
        <f>$B72+($I72-$B72)*6/31</f>
        <v>#REF!</v>
      </c>
      <c r="E72" s="347" t="e">
        <f>$B72+($I72-$B72)*11/31</f>
        <v>#REF!</v>
      </c>
      <c r="F72" s="347" t="e">
        <f>$B72+($I72-$B72)*16/31</f>
        <v>#REF!</v>
      </c>
      <c r="G72" s="347" t="e">
        <f>$B72+($I72-$B72)*21/31</f>
        <v>#REF!</v>
      </c>
      <c r="H72" s="347" t="e">
        <f>$B72+($I72-$B72)*26/31</f>
        <v>#REF!</v>
      </c>
      <c r="I72" s="347" t="e">
        <f>B72*J72*K72</f>
        <v>#REF!</v>
      </c>
      <c r="J72" s="346">
        <v>1</v>
      </c>
      <c r="K72" s="348" t="e">
        <f>1.1*I27/B27</f>
        <v>#DIV/0!</v>
      </c>
      <c r="M72" s="30" t="s">
        <v>278</v>
      </c>
      <c r="N72" s="30">
        <v>164</v>
      </c>
      <c r="O72" s="30"/>
      <c r="P72" s="30"/>
      <c r="Q72" s="30"/>
      <c r="R72" s="30"/>
      <c r="S72" s="30"/>
      <c r="T72" s="30"/>
      <c r="U72" s="30">
        <v>117</v>
      </c>
      <c r="W72">
        <v>0.5</v>
      </c>
      <c r="X72">
        <v>1.42793681684603</v>
      </c>
    </row>
    <row r="73" spans="1:24">
      <c r="A73" s="346" t="s">
        <v>273</v>
      </c>
      <c r="B73" s="347" t="e">
        <f>B$74*C61</f>
        <v>#REF!</v>
      </c>
      <c r="C73" s="347" t="e">
        <f>C$74*$C61</f>
        <v>#REF!</v>
      </c>
      <c r="D73" s="347" t="e">
        <f>$B73+($I73-$B73)*6/31</f>
        <v>#REF!</v>
      </c>
      <c r="E73" s="347" t="e">
        <f>$B73+($I73-$B73)*11/31</f>
        <v>#REF!</v>
      </c>
      <c r="F73" s="347" t="e">
        <f>$B73+($I73-$B73)*16/31</f>
        <v>#REF!</v>
      </c>
      <c r="G73" s="347" t="e">
        <f>$B73+($I73-$B73)*21/31</f>
        <v>#REF!</v>
      </c>
      <c r="H73" s="347" t="e">
        <f>$B73+($I73-$B73)*26/31</f>
        <v>#REF!</v>
      </c>
      <c r="I73" s="347" t="e">
        <f>B73*J73*K73</f>
        <v>#REF!</v>
      </c>
      <c r="J73" s="346">
        <v>1</v>
      </c>
      <c r="K73" s="348">
        <f>I25/B25</f>
        <v>1.1953977944865828</v>
      </c>
      <c r="M73" s="30" t="s">
        <v>273</v>
      </c>
      <c r="N73" s="30">
        <v>164</v>
      </c>
      <c r="O73" s="30"/>
      <c r="P73" s="30"/>
      <c r="Q73" s="30"/>
      <c r="R73" s="30"/>
      <c r="S73" s="30"/>
      <c r="T73" s="30"/>
      <c r="U73" s="30">
        <v>139</v>
      </c>
      <c r="W73">
        <v>0.8</v>
      </c>
      <c r="X73">
        <v>1.0577309754415001</v>
      </c>
    </row>
    <row r="74" spans="1:24">
      <c r="A74" s="349" t="s">
        <v>23</v>
      </c>
      <c r="B74" s="350" t="e">
        <f>#REF!-B146</f>
        <v>#REF!</v>
      </c>
      <c r="C74" s="351" t="e">
        <f>#REF!-'Résidentiel-tertiaire'!C146</f>
        <v>#REF!</v>
      </c>
      <c r="D74" s="351" t="e">
        <f t="shared" ref="D74:I74" si="11">SUM(D69:D73)</f>
        <v>#REF!</v>
      </c>
      <c r="E74" s="351" t="e">
        <f t="shared" si="11"/>
        <v>#REF!</v>
      </c>
      <c r="F74" s="351" t="e">
        <f t="shared" si="11"/>
        <v>#REF!</v>
      </c>
      <c r="G74" s="351" t="e">
        <f t="shared" si="11"/>
        <v>#REF!</v>
      </c>
      <c r="H74" s="351" t="e">
        <f t="shared" si="11"/>
        <v>#REF!</v>
      </c>
      <c r="I74" s="351" t="e">
        <f t="shared" si="11"/>
        <v>#REF!</v>
      </c>
      <c r="J74" s="346"/>
      <c r="K74" s="346"/>
      <c r="M74" s="72" t="s">
        <v>23</v>
      </c>
      <c r="N74" s="88" t="s">
        <v>147</v>
      </c>
      <c r="O74" s="72"/>
      <c r="P74" s="72"/>
      <c r="Q74" s="72"/>
      <c r="R74" s="72"/>
      <c r="S74" s="72"/>
      <c r="T74" s="72"/>
      <c r="U74" s="88" t="s">
        <v>279</v>
      </c>
    </row>
    <row r="75" spans="1:24" ht="27" customHeight="1">
      <c r="A75" s="545" t="s">
        <v>410</v>
      </c>
      <c r="B75" s="545"/>
      <c r="C75" s="545"/>
      <c r="D75" s="545"/>
      <c r="E75" s="545"/>
      <c r="F75" s="545"/>
      <c r="G75" s="545"/>
      <c r="H75" s="545"/>
      <c r="I75" s="545"/>
      <c r="J75" s="545"/>
      <c r="K75" s="545"/>
      <c r="W75" t="s">
        <v>280</v>
      </c>
      <c r="X75" t="s">
        <v>281</v>
      </c>
    </row>
    <row r="76" spans="1:24">
      <c r="A76" s="301"/>
      <c r="B76" s="301"/>
      <c r="C76" s="301"/>
      <c r="D76" s="301"/>
      <c r="E76" s="301"/>
      <c r="F76" s="301"/>
      <c r="G76" s="301"/>
      <c r="H76" s="301"/>
      <c r="I76" s="301"/>
      <c r="J76" s="301"/>
      <c r="K76" s="301"/>
    </row>
    <row r="77" spans="1:24">
      <c r="A77" s="237" t="s">
        <v>614</v>
      </c>
      <c r="B77" s="237">
        <v>2019</v>
      </c>
      <c r="C77" s="237">
        <v>2020</v>
      </c>
      <c r="D77" s="237">
        <v>2025</v>
      </c>
      <c r="E77" s="237">
        <v>2030</v>
      </c>
      <c r="F77" s="237">
        <v>2035</v>
      </c>
      <c r="G77" s="237">
        <v>2040</v>
      </c>
      <c r="H77" s="237">
        <v>2045</v>
      </c>
      <c r="I77" s="237">
        <v>2050</v>
      </c>
      <c r="J77" s="237" t="s">
        <v>389</v>
      </c>
      <c r="K77" s="301"/>
    </row>
    <row r="78" spans="1:24">
      <c r="A78" s="237" t="s">
        <v>437</v>
      </c>
      <c r="B78" s="237">
        <v>0</v>
      </c>
      <c r="C78" s="237">
        <v>0</v>
      </c>
      <c r="D78" s="237">
        <v>0</v>
      </c>
      <c r="E78" s="237">
        <v>0</v>
      </c>
      <c r="F78" s="237">
        <v>0</v>
      </c>
      <c r="G78" s="237">
        <v>0</v>
      </c>
      <c r="H78" s="237">
        <v>0</v>
      </c>
      <c r="I78" s="237">
        <v>0</v>
      </c>
      <c r="J78" s="237"/>
      <c r="K78" s="301"/>
    </row>
    <row r="79" spans="1:24">
      <c r="A79" s="341" t="s">
        <v>438</v>
      </c>
      <c r="B79" s="342">
        <f>'Bilan d''énergie SDES historique'!Q30</f>
        <v>355.87800000000004</v>
      </c>
      <c r="C79" s="342">
        <f>B79</f>
        <v>355.87800000000004</v>
      </c>
      <c r="D79" s="342">
        <f t="shared" ref="D79:I79" si="12">C79*T12</f>
        <v>352.13847635726802</v>
      </c>
      <c r="E79" s="342">
        <f t="shared" si="12"/>
        <v>349.02220665499129</v>
      </c>
      <c r="F79" s="342">
        <f t="shared" si="12"/>
        <v>345.90593695271457</v>
      </c>
      <c r="G79" s="342">
        <f t="shared" si="12"/>
        <v>342.78966725043784</v>
      </c>
      <c r="H79" s="342">
        <f t="shared" si="12"/>
        <v>339.67339754816118</v>
      </c>
      <c r="I79" s="342">
        <f t="shared" si="12"/>
        <v>336.55712784588451</v>
      </c>
      <c r="J79" s="237"/>
      <c r="K79" s="301"/>
    </row>
    <row r="80" spans="1:24" ht="45" customHeight="1">
      <c r="A80" s="547" t="s">
        <v>500</v>
      </c>
      <c r="B80" s="547"/>
      <c r="C80" s="547"/>
      <c r="D80" s="547"/>
      <c r="E80" s="547"/>
      <c r="F80" s="547"/>
      <c r="G80" s="547"/>
      <c r="H80" s="547"/>
      <c r="I80" s="547"/>
      <c r="J80" s="547"/>
      <c r="K80" s="301"/>
    </row>
    <row r="81" spans="1:24">
      <c r="A81" s="301"/>
      <c r="B81" s="301"/>
      <c r="C81" s="301"/>
      <c r="D81" s="301"/>
      <c r="E81" s="301"/>
      <c r="F81" s="301"/>
      <c r="G81" s="301"/>
      <c r="H81" s="301"/>
      <c r="I81" s="301"/>
      <c r="J81" s="301"/>
      <c r="K81" s="301"/>
    </row>
    <row r="82" spans="1:24">
      <c r="A82" s="519" t="s">
        <v>144</v>
      </c>
      <c r="B82" s="519"/>
      <c r="C82" s="519"/>
      <c r="D82" s="519"/>
      <c r="E82" s="519"/>
      <c r="F82" s="519"/>
      <c r="G82" s="519"/>
      <c r="H82" s="519"/>
      <c r="I82" s="519"/>
      <c r="J82" s="519"/>
      <c r="K82" s="519"/>
      <c r="M82" s="519" t="s">
        <v>145</v>
      </c>
      <c r="N82" s="519"/>
      <c r="O82" s="519"/>
      <c r="P82" s="519"/>
      <c r="Q82" s="519"/>
      <c r="R82" s="519"/>
      <c r="S82" s="519"/>
      <c r="T82" s="519"/>
      <c r="U82" s="519"/>
    </row>
    <row r="84" spans="1:24">
      <c r="A84" s="481" t="s">
        <v>268</v>
      </c>
      <c r="B84" s="482">
        <v>2019</v>
      </c>
      <c r="C84" s="482">
        <v>2020</v>
      </c>
      <c r="D84" s="482">
        <v>2025</v>
      </c>
      <c r="E84" s="482">
        <v>2030</v>
      </c>
      <c r="F84" s="482">
        <v>2035</v>
      </c>
      <c r="G84" s="482">
        <v>2040</v>
      </c>
      <c r="H84" s="482">
        <v>2045</v>
      </c>
      <c r="I84" s="482">
        <v>2050</v>
      </c>
      <c r="J84" s="482" t="s">
        <v>276</v>
      </c>
      <c r="K84" s="482" t="s">
        <v>277</v>
      </c>
      <c r="M84" s="89" t="s">
        <v>268</v>
      </c>
      <c r="N84" s="30">
        <v>2015</v>
      </c>
      <c r="O84" s="30">
        <v>2020</v>
      </c>
      <c r="P84" s="30">
        <v>2025</v>
      </c>
      <c r="Q84" s="30">
        <v>2030</v>
      </c>
      <c r="R84" s="30">
        <v>2035</v>
      </c>
      <c r="S84" s="30">
        <v>2040</v>
      </c>
      <c r="T84" s="30">
        <v>2045</v>
      </c>
      <c r="U84" s="30">
        <v>2050</v>
      </c>
      <c r="W84" t="s">
        <v>276</v>
      </c>
      <c r="X84" t="s">
        <v>277</v>
      </c>
    </row>
    <row r="85" spans="1:24">
      <c r="A85" s="482" t="s">
        <v>269</v>
      </c>
      <c r="B85" s="483" t="e">
        <f>B$90*$C57</f>
        <v>#REF!</v>
      </c>
      <c r="C85" s="483" t="e">
        <f>$B85+($I85-$B85)*5/35</f>
        <v>#REF!</v>
      </c>
      <c r="D85" s="483" t="e">
        <f>$B85+($I85-$B85)*6/31</f>
        <v>#REF!</v>
      </c>
      <c r="E85" s="483" t="e">
        <f>$B85+($I85-$B85)*11/31</f>
        <v>#REF!</v>
      </c>
      <c r="F85" s="483" t="e">
        <f>$B85+($I85-$B85)*16/31</f>
        <v>#REF!</v>
      </c>
      <c r="G85" s="483" t="e">
        <f>$B85+($I85-$B85)*21/31</f>
        <v>#REF!</v>
      </c>
      <c r="H85" s="483" t="e">
        <f>$B85+($I85-$B85)*26/31</f>
        <v>#REF!</v>
      </c>
      <c r="I85" s="484" t="e">
        <f>B85*J85*K85</f>
        <v>#REF!</v>
      </c>
      <c r="J85" s="482">
        <v>0.25</v>
      </c>
      <c r="K85" s="484" t="e">
        <f>I42/B42</f>
        <v>#DIV/0!</v>
      </c>
      <c r="M85" s="30" t="s">
        <v>269</v>
      </c>
      <c r="N85" s="30">
        <v>51.404494382022499</v>
      </c>
      <c r="O85" s="30"/>
      <c r="P85" s="30"/>
      <c r="Q85" s="30"/>
      <c r="R85" s="30"/>
      <c r="S85" s="30"/>
      <c r="T85" s="30"/>
      <c r="U85" s="30">
        <v>17.396810288791901</v>
      </c>
      <c r="W85">
        <v>0.25</v>
      </c>
      <c r="X85">
        <v>1.3537190082644599</v>
      </c>
    </row>
    <row r="86" spans="1:24">
      <c r="A86" s="482" t="s">
        <v>270</v>
      </c>
      <c r="B86" s="483" t="e">
        <f>B$90*$C58</f>
        <v>#REF!</v>
      </c>
      <c r="C86" s="483" t="e">
        <f>$B86+($I86-$B86)*5/35</f>
        <v>#REF!</v>
      </c>
      <c r="D86" s="483" t="e">
        <f>$B86+($I86-$B86)*6/31</f>
        <v>#REF!</v>
      </c>
      <c r="E86" s="483" t="e">
        <f>$B86+($I86-$B86)*11/31</f>
        <v>#REF!</v>
      </c>
      <c r="F86" s="483" t="e">
        <f>$B86+($I86-$B86)*16/31</f>
        <v>#REF!</v>
      </c>
      <c r="G86" s="483" t="e">
        <f>$B86+($I86-$B86)*21/31</f>
        <v>#REF!</v>
      </c>
      <c r="H86" s="483" t="e">
        <f>$B86+($I86-$B86)*26/31</f>
        <v>#REF!</v>
      </c>
      <c r="I86" s="484" t="e">
        <f>B86*J86*K86</f>
        <v>#REF!</v>
      </c>
      <c r="J86" s="482">
        <v>0.9</v>
      </c>
      <c r="K86" s="484" t="e">
        <f>0.8*I42/B42</f>
        <v>#DIV/0!</v>
      </c>
      <c r="M86" s="30" t="s">
        <v>270</v>
      </c>
      <c r="N86" s="30">
        <v>174.77528089887599</v>
      </c>
      <c r="O86" s="30"/>
      <c r="P86" s="30"/>
      <c r="Q86" s="30"/>
      <c r="R86" s="30"/>
      <c r="S86" s="30"/>
      <c r="T86" s="30"/>
      <c r="U86" s="30">
        <v>138.80335035750801</v>
      </c>
      <c r="W86">
        <v>0.9</v>
      </c>
      <c r="X86">
        <v>0.882424242424242</v>
      </c>
    </row>
    <row r="87" spans="1:24">
      <c r="A87" s="482" t="s">
        <v>271</v>
      </c>
      <c r="B87" s="483" t="e">
        <f>B$90*$C59</f>
        <v>#REF!</v>
      </c>
      <c r="C87" s="483" t="e">
        <f>$B87+($I87-$B87)*5/35</f>
        <v>#REF!</v>
      </c>
      <c r="D87" s="483" t="e">
        <f>$B87+($I87-$B87)*6/31</f>
        <v>#REF!</v>
      </c>
      <c r="E87" s="483" t="e">
        <f>$B87+($I87-$B87)*11/31</f>
        <v>#REF!</v>
      </c>
      <c r="F87" s="483" t="e">
        <f>$B87+($I87-$B87)*16/31</f>
        <v>#REF!</v>
      </c>
      <c r="G87" s="483" t="e">
        <f>$B87+($I87-$B87)*21/31</f>
        <v>#REF!</v>
      </c>
      <c r="H87" s="483" t="e">
        <f>$B87+($I87-$B87)*26/31</f>
        <v>#REF!</v>
      </c>
      <c r="I87" s="484" t="e">
        <f>B87*J87*K87</f>
        <v>#REF!</v>
      </c>
      <c r="J87" s="482">
        <v>0.4</v>
      </c>
      <c r="K87" s="484" t="e">
        <f>1.2*I42/B42</f>
        <v>#DIV/0!</v>
      </c>
      <c r="M87" s="30" t="s">
        <v>271</v>
      </c>
      <c r="N87" s="30">
        <v>359.83146067415697</v>
      </c>
      <c r="O87" s="30"/>
      <c r="P87" s="30"/>
      <c r="Q87" s="30"/>
      <c r="R87" s="30"/>
      <c r="S87" s="30"/>
      <c r="T87" s="30"/>
      <c r="U87" s="30">
        <v>233.81313028136401</v>
      </c>
      <c r="W87">
        <v>0.4</v>
      </c>
      <c r="X87">
        <v>1.6244628099173599</v>
      </c>
    </row>
    <row r="88" spans="1:24">
      <c r="A88" s="482" t="s">
        <v>278</v>
      </c>
      <c r="B88" s="483" t="e">
        <f>B$90*$C60</f>
        <v>#REF!</v>
      </c>
      <c r="C88" s="483" t="e">
        <f>$B88+($I88-$B88)*5/35</f>
        <v>#REF!</v>
      </c>
      <c r="D88" s="483" t="e">
        <f>$B88+($I88-$B88)*6/31</f>
        <v>#REF!</v>
      </c>
      <c r="E88" s="483" t="e">
        <f>$B88+($I88-$B88)*11/31</f>
        <v>#REF!</v>
      </c>
      <c r="F88" s="483" t="e">
        <f>$B88+($I88-$B88)*16/31</f>
        <v>#REF!</v>
      </c>
      <c r="G88" s="483" t="e">
        <f>$B88+($I88-$B88)*21/31</f>
        <v>#REF!</v>
      </c>
      <c r="H88" s="483" t="e">
        <f>$B88+($I88-$B88)*26/31</f>
        <v>#REF!</v>
      </c>
      <c r="I88" s="484" t="e">
        <f>B88*J88*K88</f>
        <v>#REF!</v>
      </c>
      <c r="J88" s="482">
        <v>0.5</v>
      </c>
      <c r="K88" s="484" t="e">
        <f>1.1*I42/B42</f>
        <v>#DIV/0!</v>
      </c>
      <c r="M88" s="30" t="s">
        <v>278</v>
      </c>
      <c r="N88" s="30">
        <v>164.494382022472</v>
      </c>
      <c r="O88" s="30"/>
      <c r="P88" s="30"/>
      <c r="Q88" s="30"/>
      <c r="R88" s="30"/>
      <c r="S88" s="30"/>
      <c r="T88" s="30"/>
      <c r="U88" s="30">
        <v>122.473544433095</v>
      </c>
      <c r="W88">
        <v>0.5</v>
      </c>
      <c r="X88">
        <v>1.4890909090909099</v>
      </c>
    </row>
    <row r="89" spans="1:24">
      <c r="A89" s="482" t="s">
        <v>273</v>
      </c>
      <c r="B89" s="483" t="e">
        <f>B$90*$C61</f>
        <v>#REF!</v>
      </c>
      <c r="C89" s="483" t="e">
        <f>$B89+($I89-$B89)*5/35</f>
        <v>#REF!</v>
      </c>
      <c r="D89" s="483" t="e">
        <f>$B89+($I89-$B89)*6/31</f>
        <v>#REF!</v>
      </c>
      <c r="E89" s="483" t="e">
        <f>$B89+($I89-$B89)*11/31</f>
        <v>#REF!</v>
      </c>
      <c r="F89" s="483" t="e">
        <f>$B89+($I89-$B89)*16/31</f>
        <v>#REF!</v>
      </c>
      <c r="G89" s="483" t="e">
        <f>$B89+($I89-$B89)*21/31</f>
        <v>#REF!</v>
      </c>
      <c r="H89" s="483" t="e">
        <f>$B89+($I89-$B89)*26/31</f>
        <v>#REF!</v>
      </c>
      <c r="I89" s="484" t="e">
        <f>B89*J89*K89</f>
        <v>#REF!</v>
      </c>
      <c r="J89" s="482">
        <v>0.8</v>
      </c>
      <c r="K89" s="484">
        <f>I40/B40</f>
        <v>1.1953977944865828</v>
      </c>
      <c r="M89" s="30" t="s">
        <v>273</v>
      </c>
      <c r="N89" s="30">
        <v>164.494382022472</v>
      </c>
      <c r="O89" s="30"/>
      <c r="P89" s="30"/>
      <c r="Q89" s="30"/>
      <c r="R89" s="30"/>
      <c r="S89" s="30"/>
      <c r="T89" s="30"/>
      <c r="U89" s="30">
        <v>145.15383043922299</v>
      </c>
      <c r="W89">
        <v>0.8</v>
      </c>
      <c r="X89">
        <v>1.1030303030302999</v>
      </c>
    </row>
    <row r="90" spans="1:24">
      <c r="A90" s="485" t="s">
        <v>23</v>
      </c>
      <c r="B90" s="486" t="e">
        <f>B74</f>
        <v>#REF!</v>
      </c>
      <c r="C90" s="487" t="e">
        <f>C74</f>
        <v>#REF!</v>
      </c>
      <c r="D90" s="487" t="e">
        <f t="shared" ref="D90:I90" si="13">SUM(D85:D89)</f>
        <v>#REF!</v>
      </c>
      <c r="E90" s="487" t="e">
        <f t="shared" si="13"/>
        <v>#REF!</v>
      </c>
      <c r="F90" s="487" t="e">
        <f t="shared" si="13"/>
        <v>#REF!</v>
      </c>
      <c r="G90" s="487" t="e">
        <f t="shared" si="13"/>
        <v>#REF!</v>
      </c>
      <c r="H90" s="487" t="e">
        <f t="shared" si="13"/>
        <v>#REF!</v>
      </c>
      <c r="I90" s="487" t="e">
        <f t="shared" si="13"/>
        <v>#REF!</v>
      </c>
      <c r="J90" s="482"/>
      <c r="K90" s="482"/>
      <c r="M90" s="72" t="s">
        <v>23</v>
      </c>
      <c r="N90" s="72">
        <v>1220</v>
      </c>
      <c r="O90" s="72"/>
      <c r="P90" s="72"/>
      <c r="Q90" s="72"/>
      <c r="R90" s="72"/>
      <c r="S90" s="72"/>
      <c r="T90" s="72"/>
      <c r="U90" s="72">
        <v>967.624595356236</v>
      </c>
      <c r="V90" t="s">
        <v>282</v>
      </c>
    </row>
    <row r="91" spans="1:24" ht="27.6" customHeight="1">
      <c r="A91" s="544" t="s">
        <v>411</v>
      </c>
      <c r="B91" s="544"/>
      <c r="C91" s="544"/>
      <c r="D91" s="544"/>
      <c r="E91" s="544"/>
      <c r="F91" s="544"/>
      <c r="G91" s="544"/>
      <c r="H91" s="544"/>
      <c r="I91" s="544"/>
      <c r="J91" s="544"/>
      <c r="K91" s="544"/>
      <c r="W91" t="s">
        <v>280</v>
      </c>
      <c r="X91" t="s">
        <v>281</v>
      </c>
    </row>
    <row r="93" spans="1:24" s="478" customFormat="1">
      <c r="A93" s="237" t="s">
        <v>614</v>
      </c>
      <c r="B93" s="237">
        <v>2019</v>
      </c>
      <c r="C93" s="237">
        <v>2020</v>
      </c>
      <c r="D93" s="237">
        <v>2025</v>
      </c>
      <c r="E93" s="237">
        <v>2030</v>
      </c>
      <c r="F93" s="237">
        <v>2035</v>
      </c>
      <c r="G93" s="237">
        <v>2040</v>
      </c>
      <c r="H93" s="237">
        <v>2045</v>
      </c>
      <c r="I93" s="237">
        <v>2050</v>
      </c>
      <c r="J93" s="237" t="s">
        <v>389</v>
      </c>
    </row>
    <row r="94" spans="1:24" s="478" customFormat="1">
      <c r="A94" s="237" t="s">
        <v>437</v>
      </c>
      <c r="B94" s="237">
        <v>0</v>
      </c>
      <c r="C94" s="237">
        <v>0</v>
      </c>
      <c r="D94" s="237">
        <v>0</v>
      </c>
      <c r="E94" s="237">
        <v>0</v>
      </c>
      <c r="F94" s="237">
        <v>0</v>
      </c>
      <c r="G94" s="237">
        <v>0</v>
      </c>
      <c r="H94" s="237">
        <v>0</v>
      </c>
      <c r="I94" s="237">
        <v>0</v>
      </c>
      <c r="J94" s="237"/>
    </row>
    <row r="95" spans="1:24" s="478" customFormat="1">
      <c r="A95" s="341" t="s">
        <v>438</v>
      </c>
      <c r="B95" s="342">
        <f>B79</f>
        <v>355.87800000000004</v>
      </c>
      <c r="C95" s="342">
        <f>C79</f>
        <v>355.87800000000004</v>
      </c>
      <c r="D95" s="342">
        <f>B95+(E95-B95)/2</f>
        <v>316.01966400000003</v>
      </c>
      <c r="E95" s="342">
        <f>0.776*B95</f>
        <v>276.16132800000003</v>
      </c>
      <c r="F95" s="342">
        <f>$E$95+($I$95-$E$95)/4</f>
        <v>269.39964600000002</v>
      </c>
      <c r="G95" s="342">
        <f>$E$95+($I$95-$E$95)*2/4</f>
        <v>262.63796400000001</v>
      </c>
      <c r="H95" s="342">
        <f>$E$95+($I$95-$E$95)*3/4</f>
        <v>255.87628200000003</v>
      </c>
      <c r="I95" s="342">
        <f>B95*0.7</f>
        <v>249.11460000000002</v>
      </c>
      <c r="J95" s="237"/>
    </row>
    <row r="96" spans="1:24" s="478" customFormat="1">
      <c r="A96" s="547" t="s">
        <v>621</v>
      </c>
      <c r="B96" s="547"/>
      <c r="C96" s="547"/>
      <c r="D96" s="547"/>
      <c r="E96" s="547"/>
      <c r="F96" s="547"/>
      <c r="G96" s="547"/>
      <c r="H96" s="547"/>
      <c r="I96" s="547"/>
      <c r="J96" s="547"/>
    </row>
    <row r="97" spans="1:24" s="478" customFormat="1"/>
    <row r="98" spans="1:24">
      <c r="A98" s="543" t="s">
        <v>283</v>
      </c>
      <c r="B98" s="543"/>
      <c r="C98" s="543"/>
      <c r="D98" s="543"/>
      <c r="E98" s="543"/>
      <c r="F98" s="543"/>
      <c r="G98" s="543"/>
      <c r="H98" s="543"/>
      <c r="I98" s="543"/>
      <c r="J98" s="543"/>
      <c r="K98" s="543"/>
    </row>
    <row r="100" spans="1:24">
      <c r="A100" s="519" t="s">
        <v>55</v>
      </c>
      <c r="B100" s="519"/>
      <c r="C100" s="519"/>
      <c r="D100" s="519"/>
      <c r="E100" s="519"/>
      <c r="F100" s="519"/>
      <c r="G100" s="519"/>
      <c r="H100" s="519"/>
      <c r="I100" s="519"/>
      <c r="J100" s="519"/>
      <c r="K100" s="519"/>
    </row>
    <row r="101" spans="1:24">
      <c r="B101" t="s">
        <v>284</v>
      </c>
    </row>
    <row r="102" spans="1:24">
      <c r="A102" s="153" t="s">
        <v>44</v>
      </c>
      <c r="B102" s="1" t="s">
        <v>285</v>
      </c>
      <c r="C102" s="1" t="s">
        <v>267</v>
      </c>
    </row>
    <row r="103" spans="1:24">
      <c r="A103" s="1" t="s">
        <v>269</v>
      </c>
      <c r="B103" s="154">
        <v>0.13</v>
      </c>
      <c r="C103" s="120">
        <f>B103/B$107</f>
        <v>0.25490196078431371</v>
      </c>
    </row>
    <row r="104" spans="1:24">
      <c r="A104" s="1" t="s">
        <v>286</v>
      </c>
      <c r="B104" s="154">
        <v>7.0000000000000007E-2</v>
      </c>
      <c r="C104" s="120">
        <f>B104/B$107</f>
        <v>0.13725490196078433</v>
      </c>
    </row>
    <row r="105" spans="1:24">
      <c r="A105" s="1" t="s">
        <v>270</v>
      </c>
      <c r="B105" s="161">
        <v>0.04</v>
      </c>
      <c r="C105" s="120">
        <f>B105/B$107</f>
        <v>7.8431372549019607E-2</v>
      </c>
    </row>
    <row r="106" spans="1:24">
      <c r="A106" s="1" t="s">
        <v>287</v>
      </c>
      <c r="B106" s="161">
        <v>0.27</v>
      </c>
      <c r="C106" s="120">
        <f>B106/B$107</f>
        <v>0.52941176470588236</v>
      </c>
    </row>
    <row r="107" spans="1:24">
      <c r="A107" s="156" t="s">
        <v>288</v>
      </c>
      <c r="B107" s="157">
        <f>SUM(B103:B106)</f>
        <v>0.51</v>
      </c>
      <c r="C107" s="157">
        <f>SUM(C103:C106)</f>
        <v>1</v>
      </c>
    </row>
    <row r="109" spans="1:24">
      <c r="A109" s="519" t="s">
        <v>140</v>
      </c>
      <c r="B109" s="519"/>
      <c r="C109" s="519"/>
      <c r="D109" s="519"/>
      <c r="E109" s="519"/>
      <c r="F109" s="519"/>
      <c r="G109" s="519"/>
      <c r="H109" s="519"/>
      <c r="I109" s="519"/>
      <c r="J109" s="519"/>
      <c r="K109" s="519"/>
      <c r="M109" s="519" t="s">
        <v>141</v>
      </c>
      <c r="N109" s="519"/>
      <c r="O109" s="519"/>
      <c r="P109" s="519"/>
      <c r="Q109" s="519"/>
      <c r="R109" s="519"/>
      <c r="S109" s="519"/>
      <c r="T109" s="519"/>
      <c r="U109" s="519"/>
    </row>
    <row r="111" spans="1:24">
      <c r="A111" s="345" t="s">
        <v>44</v>
      </c>
      <c r="B111" s="346">
        <v>2019</v>
      </c>
      <c r="C111" s="346">
        <v>2020</v>
      </c>
      <c r="D111" s="346">
        <v>2025</v>
      </c>
      <c r="E111" s="346">
        <v>2030</v>
      </c>
      <c r="F111" s="346">
        <v>2035</v>
      </c>
      <c r="G111" s="346">
        <v>2040</v>
      </c>
      <c r="H111" s="346">
        <v>2045</v>
      </c>
      <c r="I111" s="346">
        <v>2050</v>
      </c>
      <c r="J111" s="346" t="s">
        <v>276</v>
      </c>
      <c r="K111" s="346" t="s">
        <v>277</v>
      </c>
      <c r="M111" s="89" t="s">
        <v>44</v>
      </c>
      <c r="N111" s="30">
        <v>2015</v>
      </c>
      <c r="O111" s="30">
        <v>2020</v>
      </c>
      <c r="P111" s="30">
        <v>2025</v>
      </c>
      <c r="Q111" s="30">
        <v>2030</v>
      </c>
      <c r="R111" s="30">
        <v>2035</v>
      </c>
      <c r="S111" s="30">
        <v>2040</v>
      </c>
      <c r="T111" s="30">
        <v>2045</v>
      </c>
      <c r="U111" s="30">
        <v>2050</v>
      </c>
      <c r="W111" t="s">
        <v>276</v>
      </c>
      <c r="X111" t="s">
        <v>277</v>
      </c>
    </row>
    <row r="112" spans="1:24">
      <c r="A112" s="346" t="s">
        <v>269</v>
      </c>
      <c r="B112" s="347" t="e">
        <f t="shared" ref="B112:C115" si="14">B$116*$C103</f>
        <v>#REF!</v>
      </c>
      <c r="C112" s="347" t="e">
        <f t="shared" si="14"/>
        <v>#REF!</v>
      </c>
      <c r="D112" s="347" t="e">
        <f>$B112+($I112-$B112)*6/31</f>
        <v>#REF!</v>
      </c>
      <c r="E112" s="347" t="e">
        <f>$B112+($I112-$B112)*11/31</f>
        <v>#REF!</v>
      </c>
      <c r="F112" s="347" t="e">
        <f>$B112+($I112-$B112)*16/31</f>
        <v>#REF!</v>
      </c>
      <c r="G112" s="347" t="e">
        <f>$B112+($I112-$B112)*21/31</f>
        <v>#REF!</v>
      </c>
      <c r="H112" s="347" t="e">
        <f>$B112+($I112-$B112)*26/31</f>
        <v>#REF!</v>
      </c>
      <c r="I112" s="348" t="e">
        <f>B112*J112*K112</f>
        <v>#REF!</v>
      </c>
      <c r="J112" s="346">
        <f>J85</f>
        <v>0.25</v>
      </c>
      <c r="K112" s="348">
        <f>$I$34/$B$34</f>
        <v>1.7334361812116166</v>
      </c>
      <c r="M112" s="30" t="s">
        <v>269</v>
      </c>
      <c r="N112" s="30">
        <v>146</v>
      </c>
      <c r="O112" s="30"/>
      <c r="P112" s="30"/>
      <c r="Q112" s="30"/>
      <c r="R112" s="30"/>
      <c r="S112" s="30"/>
      <c r="T112" s="30"/>
      <c r="U112" s="30">
        <v>95</v>
      </c>
      <c r="W112">
        <v>0.25</v>
      </c>
      <c r="X112">
        <v>2.6102977329026702</v>
      </c>
    </row>
    <row r="113" spans="1:24">
      <c r="A113" s="346" t="s">
        <v>286</v>
      </c>
      <c r="B113" s="347" t="e">
        <f t="shared" si="14"/>
        <v>#REF!</v>
      </c>
      <c r="C113" s="347" t="e">
        <f t="shared" si="14"/>
        <v>#REF!</v>
      </c>
      <c r="D113" s="347" t="e">
        <f>$B113+($I113-$B113)*6/31</f>
        <v>#REF!</v>
      </c>
      <c r="E113" s="347" t="e">
        <f>$B113+($I113-$B113)*11/31</f>
        <v>#REF!</v>
      </c>
      <c r="F113" s="347" t="e">
        <f>$B113+($I113-$B113)*16/31</f>
        <v>#REF!</v>
      </c>
      <c r="G113" s="347" t="e">
        <f>$B113+($I113-$B113)*21/31</f>
        <v>#REF!</v>
      </c>
      <c r="H113" s="347" t="e">
        <f>$B113+($I113-$B113)*26/31</f>
        <v>#REF!</v>
      </c>
      <c r="I113" s="348" t="e">
        <f>B113*J113*K113</f>
        <v>#REF!</v>
      </c>
      <c r="J113" s="346">
        <v>0.4</v>
      </c>
      <c r="K113" s="348">
        <f>$I$34/$B$34</f>
        <v>1.7334361812116166</v>
      </c>
      <c r="M113" s="30" t="s">
        <v>286</v>
      </c>
      <c r="N113" s="30">
        <v>78</v>
      </c>
      <c r="O113" s="30"/>
      <c r="P113" s="30"/>
      <c r="Q113" s="30"/>
      <c r="R113" s="30"/>
      <c r="S113" s="30"/>
      <c r="T113" s="30"/>
      <c r="U113" s="30">
        <v>82</v>
      </c>
      <c r="W113">
        <v>0.4</v>
      </c>
      <c r="X113">
        <v>2.6102977329026702</v>
      </c>
    </row>
    <row r="114" spans="1:24">
      <c r="A114" s="346" t="s">
        <v>270</v>
      </c>
      <c r="B114" s="347" t="e">
        <f t="shared" si="14"/>
        <v>#REF!</v>
      </c>
      <c r="C114" s="347" t="e">
        <f t="shared" si="14"/>
        <v>#REF!</v>
      </c>
      <c r="D114" s="347" t="e">
        <f>$B114+($I114-$B114)*6/31</f>
        <v>#REF!</v>
      </c>
      <c r="E114" s="347" t="e">
        <f>$B114+($I114-$B114)*11/31</f>
        <v>#REF!</v>
      </c>
      <c r="F114" s="347" t="e">
        <f>$B114+($I114-$B114)*16/31</f>
        <v>#REF!</v>
      </c>
      <c r="G114" s="347" t="e">
        <f>$B114+($I114-$B114)*21/31</f>
        <v>#REF!</v>
      </c>
      <c r="H114" s="347" t="e">
        <f>$B114+($I114-$B114)*26/31</f>
        <v>#REF!</v>
      </c>
      <c r="I114" s="348" t="e">
        <f>B114*J114*K114</f>
        <v>#REF!</v>
      </c>
      <c r="J114" s="346">
        <f>J86</f>
        <v>0.9</v>
      </c>
      <c r="K114" s="348">
        <f>$I$34/$B$34</f>
        <v>1.7334361812116166</v>
      </c>
      <c r="M114" s="30" t="s">
        <v>270</v>
      </c>
      <c r="N114" s="30">
        <v>45</v>
      </c>
      <c r="O114" s="30"/>
      <c r="P114" s="30"/>
      <c r="Q114" s="30"/>
      <c r="R114" s="30"/>
      <c r="S114" s="30"/>
      <c r="T114" s="30"/>
      <c r="U114" s="30">
        <v>105</v>
      </c>
      <c r="W114">
        <v>0.9</v>
      </c>
      <c r="X114">
        <v>2.6102977329026702</v>
      </c>
    </row>
    <row r="115" spans="1:24">
      <c r="A115" s="346" t="s">
        <v>287</v>
      </c>
      <c r="B115" s="347" t="e">
        <f t="shared" si="14"/>
        <v>#REF!</v>
      </c>
      <c r="C115" s="347" t="e">
        <f t="shared" si="14"/>
        <v>#REF!</v>
      </c>
      <c r="D115" s="347" t="e">
        <f>$B115+($I115-$B115)*6/31</f>
        <v>#REF!</v>
      </c>
      <c r="E115" s="347" t="e">
        <f>$B115+($I115-$B115)*11/31</f>
        <v>#REF!</v>
      </c>
      <c r="F115" s="347" t="e">
        <f>$B115+($I115-$B115)*16/31</f>
        <v>#REF!</v>
      </c>
      <c r="G115" s="347" t="e">
        <f>$B115+($I115-$B115)*21/31</f>
        <v>#REF!</v>
      </c>
      <c r="H115" s="347" t="e">
        <f>$B115+($I115-$B115)*26/31</f>
        <v>#REF!</v>
      </c>
      <c r="I115" s="348" t="e">
        <f>B115*J115*K115</f>
        <v>#REF!</v>
      </c>
      <c r="J115" s="346">
        <v>0.5</v>
      </c>
      <c r="K115" s="348">
        <f>$I$34/$B$34</f>
        <v>1.7334361812116166</v>
      </c>
      <c r="M115" s="30" t="s">
        <v>287</v>
      </c>
      <c r="N115" s="30">
        <v>302</v>
      </c>
      <c r="O115" s="30"/>
      <c r="P115" s="30"/>
      <c r="Q115" s="30"/>
      <c r="R115" s="30"/>
      <c r="S115" s="30"/>
      <c r="T115" s="30"/>
      <c r="U115" s="30">
        <v>395</v>
      </c>
      <c r="W115">
        <v>0.5</v>
      </c>
      <c r="X115">
        <v>2.6102977329026702</v>
      </c>
    </row>
    <row r="116" spans="1:24">
      <c r="A116" s="349" t="s">
        <v>288</v>
      </c>
      <c r="B116" s="350" t="e">
        <f>#REF!-'Résidentiel-tertiaire'!B158</f>
        <v>#REF!</v>
      </c>
      <c r="C116" s="352" t="e">
        <f>#REF!-'Résidentiel-tertiaire'!C158</f>
        <v>#REF!</v>
      </c>
      <c r="D116" s="352" t="e">
        <f t="shared" ref="D116:I116" si="15">SUM(D112:D115)</f>
        <v>#REF!</v>
      </c>
      <c r="E116" s="352" t="e">
        <f t="shared" si="15"/>
        <v>#REF!</v>
      </c>
      <c r="F116" s="352" t="e">
        <f t="shared" si="15"/>
        <v>#REF!</v>
      </c>
      <c r="G116" s="352" t="e">
        <f t="shared" si="15"/>
        <v>#REF!</v>
      </c>
      <c r="H116" s="352" t="e">
        <f t="shared" si="15"/>
        <v>#REF!</v>
      </c>
      <c r="I116" s="352" t="e">
        <f t="shared" si="15"/>
        <v>#REF!</v>
      </c>
      <c r="J116" s="346"/>
      <c r="K116" s="346"/>
      <c r="M116" s="72" t="s">
        <v>288</v>
      </c>
      <c r="N116" s="88" t="s">
        <v>148</v>
      </c>
      <c r="O116" s="72"/>
      <c r="P116" s="72"/>
      <c r="Q116" s="72"/>
      <c r="R116" s="72"/>
      <c r="S116" s="72"/>
      <c r="T116" s="72"/>
      <c r="U116" s="88" t="s">
        <v>289</v>
      </c>
    </row>
    <row r="117" spans="1:24">
      <c r="A117" s="545" t="s">
        <v>412</v>
      </c>
      <c r="B117" s="545"/>
      <c r="C117" s="545"/>
      <c r="D117" s="545"/>
      <c r="E117" s="545"/>
      <c r="F117" s="545"/>
      <c r="G117" s="545"/>
      <c r="H117" s="545"/>
      <c r="I117" s="545"/>
      <c r="J117" s="545"/>
      <c r="K117" s="545"/>
      <c r="N117" t="s">
        <v>290</v>
      </c>
      <c r="W117" t="s">
        <v>291</v>
      </c>
      <c r="X117" t="s">
        <v>292</v>
      </c>
    </row>
    <row r="119" spans="1:24">
      <c r="A119" s="237" t="s">
        <v>614</v>
      </c>
      <c r="B119" s="237">
        <v>2019</v>
      </c>
      <c r="C119" s="237">
        <v>2020</v>
      </c>
      <c r="D119" s="237">
        <v>2025</v>
      </c>
      <c r="E119" s="237">
        <v>2030</v>
      </c>
      <c r="F119" s="237">
        <v>2035</v>
      </c>
      <c r="G119" s="237">
        <v>2040</v>
      </c>
      <c r="H119" s="237">
        <v>2045</v>
      </c>
      <c r="I119" s="237">
        <v>2050</v>
      </c>
      <c r="J119" s="237" t="s">
        <v>389</v>
      </c>
    </row>
    <row r="120" spans="1:24">
      <c r="A120" s="237" t="s">
        <v>437</v>
      </c>
      <c r="B120" s="237"/>
      <c r="C120" s="237"/>
      <c r="D120" s="237"/>
      <c r="E120" s="237"/>
      <c r="F120" s="237"/>
      <c r="G120" s="237"/>
      <c r="H120" s="237"/>
      <c r="I120" s="237"/>
      <c r="J120" s="237"/>
    </row>
    <row r="121" spans="1:24">
      <c r="A121" s="341" t="s">
        <v>438</v>
      </c>
      <c r="B121" s="342">
        <f>'Bilan d''énergie SDES historique'!Q31</f>
        <v>159.03100000000001</v>
      </c>
      <c r="C121" s="342">
        <f>B121</f>
        <v>159.03100000000001</v>
      </c>
      <c r="D121" s="342">
        <f t="shared" ref="D121:I121" si="16">C121*T14</f>
        <v>157.35992119089317</v>
      </c>
      <c r="E121" s="342">
        <f t="shared" si="16"/>
        <v>155.9673555166375</v>
      </c>
      <c r="F121" s="342">
        <f t="shared" si="16"/>
        <v>154.57478984238179</v>
      </c>
      <c r="G121" s="342">
        <f t="shared" si="16"/>
        <v>153.18222416812608</v>
      </c>
      <c r="H121" s="342">
        <f t="shared" si="16"/>
        <v>151.78965849387041</v>
      </c>
      <c r="I121" s="342">
        <f t="shared" si="16"/>
        <v>150.3970928196147</v>
      </c>
      <c r="J121" s="237"/>
    </row>
    <row r="122" spans="1:24" ht="30.6" customHeight="1">
      <c r="A122" s="547" t="s">
        <v>499</v>
      </c>
      <c r="B122" s="547"/>
      <c r="C122" s="547"/>
      <c r="D122" s="547"/>
      <c r="E122" s="547"/>
      <c r="F122" s="547"/>
      <c r="G122" s="547"/>
      <c r="H122" s="547"/>
      <c r="I122" s="547"/>
      <c r="J122" s="547"/>
    </row>
    <row r="124" spans="1:24">
      <c r="A124" s="519" t="s">
        <v>144</v>
      </c>
      <c r="B124" s="519"/>
      <c r="C124" s="519"/>
      <c r="D124" s="519"/>
      <c r="E124" s="519"/>
      <c r="F124" s="519"/>
      <c r="G124" s="519"/>
      <c r="H124" s="519"/>
      <c r="I124" s="519"/>
      <c r="J124" s="519"/>
      <c r="K124" s="519"/>
      <c r="M124" s="519" t="s">
        <v>145</v>
      </c>
      <c r="N124" s="519"/>
      <c r="O124" s="519"/>
      <c r="P124" s="519"/>
      <c r="Q124" s="519"/>
      <c r="R124" s="519"/>
      <c r="S124" s="519"/>
      <c r="T124" s="519"/>
      <c r="U124" s="519"/>
    </row>
    <row r="126" spans="1:24">
      <c r="A126" s="490" t="s">
        <v>44</v>
      </c>
      <c r="B126" s="491">
        <v>2019</v>
      </c>
      <c r="C126" s="491">
        <v>2020</v>
      </c>
      <c r="D126" s="491">
        <v>2025</v>
      </c>
      <c r="E126" s="491">
        <v>2030</v>
      </c>
      <c r="F126" s="491">
        <v>2035</v>
      </c>
      <c r="G126" s="491">
        <v>2040</v>
      </c>
      <c r="H126" s="491">
        <v>2045</v>
      </c>
      <c r="I126" s="491">
        <v>2050</v>
      </c>
      <c r="J126" s="491" t="s">
        <v>276</v>
      </c>
      <c r="K126" s="491" t="s">
        <v>277</v>
      </c>
      <c r="M126" s="89" t="s">
        <v>44</v>
      </c>
      <c r="N126" s="30">
        <v>2015</v>
      </c>
      <c r="O126" s="30">
        <v>2020</v>
      </c>
      <c r="P126" s="30">
        <v>2025</v>
      </c>
      <c r="Q126" s="30">
        <v>2030</v>
      </c>
      <c r="R126" s="30">
        <v>2035</v>
      </c>
      <c r="S126" s="30">
        <v>2040</v>
      </c>
      <c r="T126" s="30">
        <v>2045</v>
      </c>
      <c r="U126" s="30">
        <v>2050</v>
      </c>
      <c r="W126" t="s">
        <v>276</v>
      </c>
      <c r="X126" t="s">
        <v>277</v>
      </c>
    </row>
    <row r="127" spans="1:24">
      <c r="A127" s="491" t="s">
        <v>269</v>
      </c>
      <c r="B127" s="492" t="e">
        <f t="shared" ref="B127:C130" si="17">B$131*$C103</f>
        <v>#REF!</v>
      </c>
      <c r="C127" s="492" t="e">
        <f t="shared" si="17"/>
        <v>#REF!</v>
      </c>
      <c r="D127" s="492" t="e">
        <f>$B127+($I127-$B127)*6/31</f>
        <v>#REF!</v>
      </c>
      <c r="E127" s="492" t="e">
        <f>$B127+($I127-$B127)*11/31</f>
        <v>#REF!</v>
      </c>
      <c r="F127" s="492" t="e">
        <f>$B127+($I127-$B127)*16/31</f>
        <v>#REF!</v>
      </c>
      <c r="G127" s="492" t="e">
        <f>$B127+($I127-$B127)*21/31</f>
        <v>#REF!</v>
      </c>
      <c r="H127" s="492" t="e">
        <f>$B127+($I127-$B127)*26/31</f>
        <v>#REF!</v>
      </c>
      <c r="I127" s="493" t="e">
        <f>B127*J127*K127</f>
        <v>#REF!</v>
      </c>
      <c r="J127" s="491">
        <f>J85</f>
        <v>0.25</v>
      </c>
      <c r="K127" s="493">
        <f>$I$34/$B$34</f>
        <v>1.7334361812116166</v>
      </c>
      <c r="M127" s="30" t="s">
        <v>269</v>
      </c>
      <c r="N127" s="30">
        <v>145.6</v>
      </c>
      <c r="O127" s="30"/>
      <c r="P127" s="30"/>
      <c r="Q127" s="30"/>
      <c r="R127" s="30"/>
      <c r="S127" s="30"/>
      <c r="T127" s="30"/>
      <c r="U127" s="30">
        <v>95.014837477657295</v>
      </c>
      <c r="W127">
        <v>0.25</v>
      </c>
      <c r="X127">
        <v>2.6102977329026702</v>
      </c>
    </row>
    <row r="128" spans="1:24">
      <c r="A128" s="491" t="s">
        <v>286</v>
      </c>
      <c r="B128" s="492" t="e">
        <f t="shared" si="17"/>
        <v>#REF!</v>
      </c>
      <c r="C128" s="492" t="e">
        <f t="shared" si="17"/>
        <v>#REF!</v>
      </c>
      <c r="D128" s="492" t="e">
        <f>$B128+($I128-$B128)*6/31</f>
        <v>#REF!</v>
      </c>
      <c r="E128" s="492" t="e">
        <f>$B128+($I128-$B128)*11/31</f>
        <v>#REF!</v>
      </c>
      <c r="F128" s="492" t="e">
        <f>$B128+($I128-$B128)*16/31</f>
        <v>#REF!</v>
      </c>
      <c r="G128" s="492" t="e">
        <f>$B128+($I128-$B128)*21/31</f>
        <v>#REF!</v>
      </c>
      <c r="H128" s="492" t="e">
        <f>$B128+($I128-$B128)*26/31</f>
        <v>#REF!</v>
      </c>
      <c r="I128" s="493" t="e">
        <f>B128*J128*K128</f>
        <v>#REF!</v>
      </c>
      <c r="J128" s="491">
        <v>0.4</v>
      </c>
      <c r="K128" s="493">
        <f>$I$34/$B$34</f>
        <v>1.7334361812116166</v>
      </c>
      <c r="M128" s="30" t="s">
        <v>286</v>
      </c>
      <c r="N128" s="30">
        <v>78.400000000000006</v>
      </c>
      <c r="O128" s="30"/>
      <c r="P128" s="30"/>
      <c r="Q128" s="30"/>
      <c r="R128" s="30"/>
      <c r="S128" s="30"/>
      <c r="T128" s="30"/>
      <c r="U128" s="30">
        <v>81.858936903827896</v>
      </c>
      <c r="W128">
        <v>0.4</v>
      </c>
      <c r="X128">
        <v>2.6102977329026702</v>
      </c>
    </row>
    <row r="129" spans="1:24">
      <c r="A129" s="491" t="s">
        <v>270</v>
      </c>
      <c r="B129" s="492" t="e">
        <f t="shared" si="17"/>
        <v>#REF!</v>
      </c>
      <c r="C129" s="492" t="e">
        <f t="shared" si="17"/>
        <v>#REF!</v>
      </c>
      <c r="D129" s="492" t="e">
        <f>$B129+($I129-$B129)*6/31</f>
        <v>#REF!</v>
      </c>
      <c r="E129" s="492" t="e">
        <f>$B129+($I129-$B129)*11/31</f>
        <v>#REF!</v>
      </c>
      <c r="F129" s="492" t="e">
        <f>$B129+($I129-$B129)*16/31</f>
        <v>#REF!</v>
      </c>
      <c r="G129" s="492" t="e">
        <f>$B129+($I129-$B129)*21/31</f>
        <v>#REF!</v>
      </c>
      <c r="H129" s="492" t="e">
        <f>$B129+($I129-$B129)*26/31</f>
        <v>#REF!</v>
      </c>
      <c r="I129" s="493" t="e">
        <f>B129*J129*K129</f>
        <v>#REF!</v>
      </c>
      <c r="J129" s="491">
        <v>0.9</v>
      </c>
      <c r="K129" s="493">
        <f>$I$34/$B$34</f>
        <v>1.7334361812116166</v>
      </c>
      <c r="M129" s="30" t="s">
        <v>270</v>
      </c>
      <c r="N129" s="30">
        <v>44.8</v>
      </c>
      <c r="O129" s="30"/>
      <c r="P129" s="30"/>
      <c r="Q129" s="30"/>
      <c r="R129" s="30"/>
      <c r="S129" s="30"/>
      <c r="T129" s="30"/>
      <c r="U129" s="30">
        <v>105.247204590636</v>
      </c>
      <c r="W129">
        <v>0.9</v>
      </c>
      <c r="X129">
        <v>2.6102977329026702</v>
      </c>
    </row>
    <row r="130" spans="1:24">
      <c r="A130" s="491" t="s">
        <v>287</v>
      </c>
      <c r="B130" s="492" t="e">
        <f t="shared" si="17"/>
        <v>#REF!</v>
      </c>
      <c r="C130" s="492" t="e">
        <f t="shared" si="17"/>
        <v>#REF!</v>
      </c>
      <c r="D130" s="492" t="e">
        <f>$B130+($I130-$B130)*6/31</f>
        <v>#REF!</v>
      </c>
      <c r="E130" s="492" t="e">
        <f>$B130+($I130-$B130)*11/31</f>
        <v>#REF!</v>
      </c>
      <c r="F130" s="492" t="e">
        <f>$B130+($I130-$B130)*16/31</f>
        <v>#REF!</v>
      </c>
      <c r="G130" s="492" t="e">
        <f>$B130+($I130-$B130)*21/31</f>
        <v>#REF!</v>
      </c>
      <c r="H130" s="492" t="e">
        <f>$B130+($I130-$B130)*26/31</f>
        <v>#REF!</v>
      </c>
      <c r="I130" s="493" t="e">
        <f>B130*J130*K130</f>
        <v>#REF!</v>
      </c>
      <c r="J130" s="491">
        <v>0.5</v>
      </c>
      <c r="K130" s="493">
        <f>$I$34/$B$34</f>
        <v>1.7334361812116166</v>
      </c>
      <c r="M130" s="30" t="s">
        <v>287</v>
      </c>
      <c r="N130" s="30">
        <v>302.39999999999998</v>
      </c>
      <c r="O130" s="30"/>
      <c r="P130" s="30"/>
      <c r="Q130" s="30"/>
      <c r="R130" s="30"/>
      <c r="S130" s="30"/>
      <c r="T130" s="30"/>
      <c r="U130" s="30">
        <v>394.67701721488402</v>
      </c>
      <c r="W130">
        <v>0.5</v>
      </c>
      <c r="X130">
        <v>2.6102977329026702</v>
      </c>
    </row>
    <row r="131" spans="1:24">
      <c r="A131" s="494" t="s">
        <v>288</v>
      </c>
      <c r="B131" s="495" t="e">
        <f>B116</f>
        <v>#REF!</v>
      </c>
      <c r="C131" s="496" t="e">
        <f>C116</f>
        <v>#REF!</v>
      </c>
      <c r="D131" s="496" t="e">
        <f t="shared" ref="D131:I131" si="18">SUM(D127:D130)</f>
        <v>#REF!</v>
      </c>
      <c r="E131" s="496" t="e">
        <f t="shared" si="18"/>
        <v>#REF!</v>
      </c>
      <c r="F131" s="496" t="e">
        <f t="shared" si="18"/>
        <v>#REF!</v>
      </c>
      <c r="G131" s="496" t="e">
        <f t="shared" si="18"/>
        <v>#REF!</v>
      </c>
      <c r="H131" s="496" t="e">
        <f t="shared" si="18"/>
        <v>#REF!</v>
      </c>
      <c r="I131" s="496" t="e">
        <f t="shared" si="18"/>
        <v>#REF!</v>
      </c>
      <c r="J131" s="491"/>
      <c r="K131" s="491"/>
      <c r="M131" s="72" t="s">
        <v>288</v>
      </c>
      <c r="N131" s="72">
        <v>1120</v>
      </c>
      <c r="O131" s="72"/>
      <c r="P131" s="72"/>
      <c r="Q131" s="72"/>
      <c r="R131" s="72"/>
      <c r="S131" s="72"/>
      <c r="T131" s="72"/>
      <c r="U131" s="72">
        <v>1287.8164895048601</v>
      </c>
      <c r="V131" t="s">
        <v>282</v>
      </c>
    </row>
    <row r="132" spans="1:24">
      <c r="A132" s="546" t="s">
        <v>413</v>
      </c>
      <c r="B132" s="546"/>
      <c r="C132" s="546"/>
      <c r="D132" s="546"/>
      <c r="E132" s="546"/>
      <c r="F132" s="546"/>
      <c r="G132" s="546"/>
      <c r="H132" s="546"/>
      <c r="I132" s="546"/>
      <c r="J132" s="546"/>
      <c r="K132" s="546"/>
      <c r="N132" t="s">
        <v>290</v>
      </c>
      <c r="W132" t="s">
        <v>291</v>
      </c>
      <c r="X132" t="s">
        <v>292</v>
      </c>
    </row>
    <row r="133" spans="1:24">
      <c r="N133" t="s">
        <v>293</v>
      </c>
    </row>
    <row r="134" spans="1:24" s="478" customFormat="1">
      <c r="A134" s="237" t="s">
        <v>614</v>
      </c>
      <c r="B134" s="237">
        <v>2019</v>
      </c>
      <c r="C134" s="237">
        <v>2020</v>
      </c>
      <c r="D134" s="237">
        <v>2025</v>
      </c>
      <c r="E134" s="237">
        <v>2030</v>
      </c>
      <c r="F134" s="237">
        <v>2035</v>
      </c>
      <c r="G134" s="237">
        <v>2040</v>
      </c>
      <c r="H134" s="237">
        <v>2045</v>
      </c>
      <c r="I134" s="237">
        <v>2050</v>
      </c>
      <c r="J134" s="237" t="s">
        <v>389</v>
      </c>
    </row>
    <row r="135" spans="1:24" s="478" customFormat="1">
      <c r="A135" s="237" t="s">
        <v>437</v>
      </c>
      <c r="B135" s="237"/>
      <c r="C135" s="237"/>
      <c r="D135" s="237"/>
      <c r="E135" s="237"/>
      <c r="F135" s="237"/>
      <c r="G135" s="237"/>
      <c r="H135" s="237"/>
      <c r="I135" s="237"/>
      <c r="J135" s="237"/>
    </row>
    <row r="136" spans="1:24" s="478" customFormat="1">
      <c r="A136" s="341" t="s">
        <v>438</v>
      </c>
      <c r="B136" s="342">
        <f>B121</f>
        <v>159.03100000000001</v>
      </c>
      <c r="C136" s="342">
        <f>C121</f>
        <v>159.03100000000001</v>
      </c>
      <c r="D136" s="342">
        <f>B136+(E136-B136)/2</f>
        <v>141.219528</v>
      </c>
      <c r="E136" s="342">
        <f>0.776*B136</f>
        <v>123.408056</v>
      </c>
      <c r="F136" s="342">
        <f>$E$136+($I$136-$E$136)*1/4</f>
        <v>120.386467</v>
      </c>
      <c r="G136" s="342">
        <f>$E$136+($I$136-$E$136)*2/4</f>
        <v>117.364878</v>
      </c>
      <c r="H136" s="342">
        <f>$E$136+($I$136-$E$136)*3/4</f>
        <v>114.343289</v>
      </c>
      <c r="I136" s="342">
        <f>C136*0.7</f>
        <v>111.32169999999999</v>
      </c>
      <c r="J136" s="237"/>
    </row>
    <row r="137" spans="1:24" s="478" customFormat="1">
      <c r="A137" s="547" t="s">
        <v>620</v>
      </c>
      <c r="B137" s="547"/>
      <c r="C137" s="547"/>
      <c r="D137" s="547"/>
      <c r="E137" s="547"/>
      <c r="F137" s="547"/>
      <c r="G137" s="547"/>
      <c r="H137" s="547"/>
      <c r="I137" s="547"/>
      <c r="J137" s="547"/>
    </row>
    <row r="139" spans="1:24">
      <c r="A139" s="543" t="s">
        <v>294</v>
      </c>
      <c r="B139" s="543"/>
      <c r="C139" s="543"/>
      <c r="D139" s="543"/>
      <c r="E139" s="543"/>
      <c r="F139" s="543"/>
      <c r="G139" s="543"/>
      <c r="H139" s="543"/>
      <c r="I139" s="543"/>
      <c r="J139" s="543"/>
      <c r="K139" s="543"/>
    </row>
    <row r="141" spans="1:24">
      <c r="A141" s="542" t="s">
        <v>295</v>
      </c>
      <c r="B141" s="542"/>
      <c r="C141" s="542"/>
      <c r="D141" s="542"/>
      <c r="E141" s="542"/>
      <c r="F141" s="542"/>
      <c r="G141" s="542"/>
      <c r="H141" s="542"/>
      <c r="I141" s="542"/>
      <c r="J141" s="162"/>
      <c r="K141" s="162"/>
    </row>
    <row r="143" spans="1:24">
      <c r="A143" s="519" t="s">
        <v>296</v>
      </c>
      <c r="B143" s="519"/>
      <c r="C143" s="519"/>
      <c r="D143" s="519"/>
      <c r="E143" s="519"/>
      <c r="F143" s="519"/>
      <c r="G143" s="519"/>
      <c r="H143" s="519"/>
      <c r="I143" s="519"/>
      <c r="J143" s="519"/>
      <c r="M143" s="519" t="s">
        <v>297</v>
      </c>
      <c r="N143" s="519"/>
      <c r="O143" s="519"/>
      <c r="P143" s="519"/>
      <c r="Q143" s="519"/>
      <c r="R143" s="519"/>
      <c r="S143" s="519"/>
      <c r="T143" s="519"/>
      <c r="U143" s="519"/>
    </row>
    <row r="145" spans="1:21">
      <c r="A145" s="1" t="s">
        <v>298</v>
      </c>
      <c r="B145" s="1">
        <v>2019</v>
      </c>
      <c r="C145" s="1">
        <v>2020</v>
      </c>
      <c r="D145" s="1">
        <v>2025</v>
      </c>
      <c r="E145" s="1">
        <v>2030</v>
      </c>
      <c r="F145" s="1">
        <v>2035</v>
      </c>
      <c r="G145" s="1">
        <v>2040</v>
      </c>
      <c r="H145" s="1">
        <v>2045</v>
      </c>
      <c r="I145" s="1">
        <v>2050</v>
      </c>
      <c r="J145" s="237" t="s">
        <v>389</v>
      </c>
      <c r="M145" s="1"/>
      <c r="N145" s="1">
        <v>2015</v>
      </c>
      <c r="O145" s="1">
        <v>2020</v>
      </c>
      <c r="P145" s="1">
        <v>2025</v>
      </c>
      <c r="Q145" s="1">
        <v>2030</v>
      </c>
      <c r="R145" s="1">
        <v>2035</v>
      </c>
      <c r="S145" s="1">
        <v>2040</v>
      </c>
      <c r="T145" s="1">
        <v>2045</v>
      </c>
      <c r="U145" s="1">
        <v>2050</v>
      </c>
    </row>
    <row r="146" spans="1:21">
      <c r="A146" s="1" t="s">
        <v>274</v>
      </c>
      <c r="B146" s="163">
        <v>0</v>
      </c>
      <c r="C146" s="163">
        <v>0</v>
      </c>
      <c r="D146" s="164">
        <v>0</v>
      </c>
      <c r="E146" s="163">
        <v>0</v>
      </c>
      <c r="F146" s="164">
        <v>0</v>
      </c>
      <c r="G146" s="163">
        <v>0</v>
      </c>
      <c r="H146" s="164">
        <v>0</v>
      </c>
      <c r="I146" s="163">
        <v>0</v>
      </c>
      <c r="J146" s="287" t="s">
        <v>414</v>
      </c>
      <c r="K146" t="s">
        <v>405</v>
      </c>
      <c r="M146" s="1" t="s">
        <v>299</v>
      </c>
      <c r="N146" s="1">
        <v>40</v>
      </c>
      <c r="O146" s="1"/>
      <c r="P146" s="1"/>
      <c r="Q146" s="1"/>
      <c r="R146" s="1"/>
      <c r="S146" s="1"/>
      <c r="T146" s="1"/>
      <c r="U146" s="1">
        <v>10</v>
      </c>
    </row>
    <row r="148" spans="1:21">
      <c r="A148" s="519" t="s">
        <v>300</v>
      </c>
      <c r="B148" s="519"/>
      <c r="C148" s="519"/>
      <c r="D148" s="519"/>
      <c r="E148" s="519"/>
      <c r="F148" s="519"/>
      <c r="G148" s="519"/>
      <c r="H148" s="519"/>
      <c r="I148" s="519"/>
      <c r="J148" s="519"/>
      <c r="M148" s="519" t="s">
        <v>301</v>
      </c>
      <c r="N148" s="519"/>
      <c r="O148" s="519"/>
      <c r="P148" s="519"/>
      <c r="Q148" s="519"/>
      <c r="R148" s="519"/>
      <c r="S148" s="519"/>
      <c r="T148" s="519"/>
      <c r="U148" s="519"/>
    </row>
    <row r="150" spans="1:21">
      <c r="A150" s="1" t="s">
        <v>298</v>
      </c>
      <c r="B150" s="1">
        <v>2019</v>
      </c>
      <c r="C150" s="1">
        <v>2020</v>
      </c>
      <c r="D150" s="1">
        <v>2025</v>
      </c>
      <c r="E150" s="1">
        <v>2030</v>
      </c>
      <c r="F150" s="1">
        <v>2035</v>
      </c>
      <c r="G150" s="1">
        <v>2040</v>
      </c>
      <c r="H150" s="1">
        <v>2045</v>
      </c>
      <c r="I150" s="1">
        <v>2050</v>
      </c>
      <c r="J150" s="237" t="s">
        <v>389</v>
      </c>
      <c r="M150" s="1"/>
      <c r="N150" s="1">
        <v>2015</v>
      </c>
      <c r="O150" s="1">
        <v>2020</v>
      </c>
      <c r="P150" s="1">
        <v>2025</v>
      </c>
      <c r="Q150" s="1">
        <v>2030</v>
      </c>
      <c r="R150" s="1">
        <v>2035</v>
      </c>
      <c r="S150" s="1">
        <v>2040</v>
      </c>
      <c r="T150" s="1">
        <v>2045</v>
      </c>
      <c r="U150" s="1">
        <v>2050</v>
      </c>
    </row>
    <row r="151" spans="1:21">
      <c r="A151" s="1" t="s">
        <v>274</v>
      </c>
      <c r="B151" s="163">
        <v>0</v>
      </c>
      <c r="C151" s="163">
        <v>0</v>
      </c>
      <c r="D151" s="164">
        <v>0</v>
      </c>
      <c r="E151" s="163">
        <v>0</v>
      </c>
      <c r="F151" s="164">
        <v>0</v>
      </c>
      <c r="G151" s="163">
        <v>0</v>
      </c>
      <c r="H151" s="164">
        <v>0</v>
      </c>
      <c r="I151" s="163">
        <v>0</v>
      </c>
      <c r="J151" s="287" t="s">
        <v>414</v>
      </c>
      <c r="K151" t="s">
        <v>405</v>
      </c>
      <c r="M151" s="1" t="s">
        <v>299</v>
      </c>
      <c r="N151" s="1"/>
      <c r="O151" s="1"/>
      <c r="P151" s="1"/>
      <c r="Q151" s="1"/>
      <c r="R151" s="1"/>
      <c r="S151" s="1"/>
      <c r="T151" s="1"/>
      <c r="U151" s="1"/>
    </row>
    <row r="153" spans="1:21">
      <c r="A153" s="542" t="s">
        <v>302</v>
      </c>
      <c r="B153" s="542"/>
      <c r="C153" s="542"/>
      <c r="D153" s="542"/>
      <c r="E153" s="542"/>
      <c r="F153" s="542"/>
      <c r="G153" s="542"/>
      <c r="H153" s="542"/>
      <c r="I153" s="542"/>
    </row>
    <row r="155" spans="1:21">
      <c r="A155" s="519" t="s">
        <v>296</v>
      </c>
      <c r="B155" s="519"/>
      <c r="C155" s="519"/>
      <c r="D155" s="519"/>
      <c r="E155" s="519"/>
      <c r="F155" s="519"/>
      <c r="G155" s="519"/>
      <c r="H155" s="519"/>
      <c r="I155" s="519"/>
      <c r="J155" s="519"/>
    </row>
    <row r="157" spans="1:21">
      <c r="A157" s="1" t="s">
        <v>298</v>
      </c>
      <c r="B157" s="1">
        <v>2019</v>
      </c>
      <c r="C157" s="1">
        <v>2020</v>
      </c>
      <c r="D157" s="1">
        <v>2025</v>
      </c>
      <c r="E157" s="1">
        <v>2030</v>
      </c>
      <c r="F157" s="1">
        <v>2035</v>
      </c>
      <c r="G157" s="1">
        <v>2040</v>
      </c>
      <c r="H157" s="1">
        <v>2045</v>
      </c>
      <c r="I157" s="1">
        <v>2050</v>
      </c>
      <c r="J157" s="237" t="s">
        <v>389</v>
      </c>
    </row>
    <row r="158" spans="1:21">
      <c r="A158" s="1" t="s">
        <v>274</v>
      </c>
      <c r="B158" s="163">
        <v>0</v>
      </c>
      <c r="C158" s="163">
        <v>0</v>
      </c>
      <c r="D158" s="164">
        <v>0</v>
      </c>
      <c r="E158" s="163">
        <v>0</v>
      </c>
      <c r="F158" s="164">
        <v>0</v>
      </c>
      <c r="G158" s="163">
        <v>0</v>
      </c>
      <c r="H158" s="164">
        <v>0</v>
      </c>
      <c r="I158" s="163">
        <v>0</v>
      </c>
      <c r="J158" s="287" t="s">
        <v>414</v>
      </c>
      <c r="K158" t="s">
        <v>405</v>
      </c>
    </row>
    <row r="160" spans="1:21">
      <c r="A160" s="519" t="s">
        <v>300</v>
      </c>
      <c r="B160" s="519"/>
      <c r="C160" s="519"/>
      <c r="D160" s="519"/>
      <c r="E160" s="519"/>
      <c r="F160" s="519"/>
      <c r="G160" s="519"/>
      <c r="H160" s="519"/>
      <c r="I160" s="519"/>
      <c r="J160" s="519"/>
    </row>
    <row r="162" spans="1:11">
      <c r="A162" s="1" t="s">
        <v>298</v>
      </c>
      <c r="B162" s="1">
        <v>2019</v>
      </c>
      <c r="C162" s="1">
        <v>2020</v>
      </c>
      <c r="D162" s="1">
        <v>2025</v>
      </c>
      <c r="E162" s="1">
        <v>2030</v>
      </c>
      <c r="F162" s="1">
        <v>2035</v>
      </c>
      <c r="G162" s="1">
        <v>2040</v>
      </c>
      <c r="H162" s="1">
        <v>2045</v>
      </c>
      <c r="I162" s="1">
        <v>2050</v>
      </c>
      <c r="J162" s="237" t="s">
        <v>389</v>
      </c>
    </row>
    <row r="163" spans="1:11">
      <c r="A163" s="1" t="s">
        <v>274</v>
      </c>
      <c r="B163" s="163">
        <v>0</v>
      </c>
      <c r="C163" s="163">
        <v>0</v>
      </c>
      <c r="D163" s="164">
        <v>0</v>
      </c>
      <c r="E163" s="163">
        <v>0</v>
      </c>
      <c r="F163" s="164">
        <v>0</v>
      </c>
      <c r="G163" s="163">
        <v>0</v>
      </c>
      <c r="H163" s="164">
        <v>0</v>
      </c>
      <c r="I163" s="163">
        <v>0</v>
      </c>
      <c r="J163" s="287" t="s">
        <v>414</v>
      </c>
      <c r="K163" t="s">
        <v>405</v>
      </c>
    </row>
    <row r="165" spans="1:11">
      <c r="A165" s="543" t="s">
        <v>303</v>
      </c>
      <c r="B165" s="543"/>
      <c r="C165" s="543"/>
      <c r="D165" s="543"/>
      <c r="E165" s="543"/>
      <c r="F165" s="543"/>
      <c r="G165" s="543"/>
      <c r="H165" s="543"/>
      <c r="I165" s="543"/>
      <c r="J165" s="543"/>
      <c r="K165" s="543"/>
    </row>
    <row r="168" spans="1:11">
      <c r="A168" s="519" t="s">
        <v>296</v>
      </c>
      <c r="B168" s="519"/>
      <c r="C168" s="519"/>
      <c r="D168" s="519"/>
      <c r="E168" s="519"/>
      <c r="F168" s="519"/>
      <c r="G168" s="519"/>
      <c r="H168" s="519"/>
      <c r="I168" s="519"/>
      <c r="J168" s="519"/>
    </row>
    <row r="169" spans="1:11">
      <c r="B169" s="165"/>
      <c r="C169" s="165"/>
      <c r="D169" s="165"/>
      <c r="E169" s="165"/>
      <c r="F169" s="165"/>
      <c r="G169" s="165"/>
      <c r="H169" s="165"/>
      <c r="I169" s="165"/>
    </row>
    <row r="170" spans="1:11">
      <c r="A170" s="30" t="s">
        <v>298</v>
      </c>
      <c r="B170" s="30">
        <v>2019</v>
      </c>
      <c r="C170" s="30">
        <v>2020</v>
      </c>
      <c r="D170" s="30">
        <v>2025</v>
      </c>
      <c r="E170" s="30">
        <v>2030</v>
      </c>
      <c r="F170" s="30">
        <v>2035</v>
      </c>
      <c r="G170" s="30">
        <v>2040</v>
      </c>
      <c r="H170" s="30">
        <v>2045</v>
      </c>
      <c r="I170" s="174">
        <v>2050</v>
      </c>
      <c r="J170" s="237" t="s">
        <v>415</v>
      </c>
      <c r="K170" t="s">
        <v>405</v>
      </c>
    </row>
    <row r="171" spans="1:11">
      <c r="A171" s="30" t="s">
        <v>304</v>
      </c>
      <c r="B171" s="160">
        <f t="shared" ref="B171:I171" si="19">B146+B79</f>
        <v>355.87800000000004</v>
      </c>
      <c r="C171" s="160">
        <f t="shared" si="19"/>
        <v>355.87800000000004</v>
      </c>
      <c r="D171" s="160">
        <f t="shared" si="19"/>
        <v>352.13847635726802</v>
      </c>
      <c r="E171" s="160">
        <f t="shared" si="19"/>
        <v>349.02220665499129</v>
      </c>
      <c r="F171" s="160">
        <f t="shared" si="19"/>
        <v>345.90593695271457</v>
      </c>
      <c r="G171" s="160">
        <f t="shared" si="19"/>
        <v>342.78966725043784</v>
      </c>
      <c r="H171" s="160">
        <f t="shared" si="19"/>
        <v>339.67339754816118</v>
      </c>
      <c r="I171" s="281">
        <f t="shared" si="19"/>
        <v>336.55712784588451</v>
      </c>
      <c r="J171" s="287" t="s">
        <v>416</v>
      </c>
      <c r="K171" t="s">
        <v>405</v>
      </c>
    </row>
    <row r="172" spans="1:11">
      <c r="A172" s="237" t="s">
        <v>305</v>
      </c>
      <c r="B172" s="160">
        <f>K18</f>
        <v>90.713999999999999</v>
      </c>
      <c r="C172" s="160">
        <f>B172</f>
        <v>90.713999999999999</v>
      </c>
      <c r="D172" s="160">
        <f t="shared" ref="D172:I174" si="20">$B172/$B$171*D$171</f>
        <v>89.760788091068306</v>
      </c>
      <c r="E172" s="160">
        <f t="shared" si="20"/>
        <v>88.966444833625232</v>
      </c>
      <c r="F172" s="160">
        <f t="shared" si="20"/>
        <v>88.172101576182143</v>
      </c>
      <c r="G172" s="160">
        <f t="shared" si="20"/>
        <v>87.377758318739055</v>
      </c>
      <c r="H172" s="160">
        <f t="shared" si="20"/>
        <v>86.58341506129598</v>
      </c>
      <c r="I172" s="281">
        <f t="shared" si="20"/>
        <v>85.789071803852906</v>
      </c>
      <c r="J172" s="287" t="s">
        <v>417</v>
      </c>
      <c r="K172" t="s">
        <v>405</v>
      </c>
    </row>
    <row r="173" spans="1:11">
      <c r="A173" s="237" t="s">
        <v>307</v>
      </c>
      <c r="B173" s="160">
        <f>K19</f>
        <v>22.097000000000001</v>
      </c>
      <c r="C173" s="160">
        <f>B173</f>
        <v>22.097000000000001</v>
      </c>
      <c r="D173" s="160">
        <f t="shared" si="20"/>
        <v>21.864807355516639</v>
      </c>
      <c r="E173" s="160">
        <f t="shared" si="20"/>
        <v>21.671313485113835</v>
      </c>
      <c r="F173" s="160">
        <f t="shared" si="20"/>
        <v>21.477819614711034</v>
      </c>
      <c r="G173" s="160">
        <f t="shared" si="20"/>
        <v>21.28432574430823</v>
      </c>
      <c r="H173" s="160">
        <f t="shared" si="20"/>
        <v>21.090831873905429</v>
      </c>
      <c r="I173" s="281">
        <f t="shared" si="20"/>
        <v>20.897338003502632</v>
      </c>
      <c r="J173" s="287" t="s">
        <v>417</v>
      </c>
      <c r="K173" t="s">
        <v>405</v>
      </c>
    </row>
    <row r="174" spans="1:11">
      <c r="A174" s="237" t="s">
        <v>308</v>
      </c>
      <c r="B174" s="160">
        <f>K16</f>
        <v>243.06700000000001</v>
      </c>
      <c r="C174" s="160">
        <f>B174</f>
        <v>243.06700000000001</v>
      </c>
      <c r="D174" s="160">
        <f t="shared" si="20"/>
        <v>240.51288091068304</v>
      </c>
      <c r="E174" s="160">
        <f t="shared" si="20"/>
        <v>238.38444833625218</v>
      </c>
      <c r="F174" s="160">
        <f t="shared" si="20"/>
        <v>236.25601576182135</v>
      </c>
      <c r="G174" s="160">
        <f t="shared" si="20"/>
        <v>234.12758318739051</v>
      </c>
      <c r="H174" s="160">
        <f t="shared" si="20"/>
        <v>231.99915061295974</v>
      </c>
      <c r="I174" s="281">
        <f t="shared" si="20"/>
        <v>229.87071803852893</v>
      </c>
      <c r="J174" s="287" t="s">
        <v>417</v>
      </c>
      <c r="K174" t="s">
        <v>405</v>
      </c>
    </row>
    <row r="175" spans="1:11">
      <c r="B175" s="165"/>
      <c r="C175" s="165"/>
      <c r="D175" s="165"/>
      <c r="E175" s="165"/>
      <c r="F175" s="165"/>
      <c r="G175" s="165"/>
      <c r="H175" s="165"/>
      <c r="I175" s="165"/>
      <c r="J175" s="287"/>
      <c r="K175" t="s">
        <v>405</v>
      </c>
    </row>
    <row r="176" spans="1:11">
      <c r="A176" s="237" t="s">
        <v>309</v>
      </c>
      <c r="B176" s="160">
        <f t="shared" ref="B176:I176" si="21">B158+B121</f>
        <v>159.03100000000001</v>
      </c>
      <c r="C176" s="160">
        <f t="shared" si="21"/>
        <v>159.03100000000001</v>
      </c>
      <c r="D176" s="160">
        <f t="shared" si="21"/>
        <v>157.35992119089317</v>
      </c>
      <c r="E176" s="160">
        <f t="shared" si="21"/>
        <v>155.9673555166375</v>
      </c>
      <c r="F176" s="160">
        <f t="shared" si="21"/>
        <v>154.57478984238179</v>
      </c>
      <c r="G176" s="160">
        <f t="shared" si="21"/>
        <v>153.18222416812608</v>
      </c>
      <c r="H176" s="160">
        <f t="shared" si="21"/>
        <v>151.78965849387041</v>
      </c>
      <c r="I176" s="281">
        <f t="shared" si="21"/>
        <v>150.3970928196147</v>
      </c>
      <c r="J176" s="287"/>
      <c r="K176" t="s">
        <v>405</v>
      </c>
    </row>
    <row r="177" spans="1:13">
      <c r="A177" s="237" t="s">
        <v>305</v>
      </c>
      <c r="B177" s="160">
        <f>'Bilan d''énergie SDES historique'!D31</f>
        <v>39.542000000000002</v>
      </c>
      <c r="C177" s="160">
        <f>B177</f>
        <v>39.542000000000002</v>
      </c>
      <c r="D177" s="160">
        <f t="shared" ref="D177:I180" si="22">$B177/$B$176*D$176</f>
        <v>39.126497373029771</v>
      </c>
      <c r="E177" s="160">
        <f t="shared" si="22"/>
        <v>38.780245183887921</v>
      </c>
      <c r="F177" s="160">
        <f t="shared" si="22"/>
        <v>38.433992994746056</v>
      </c>
      <c r="G177" s="160">
        <f t="shared" si="22"/>
        <v>38.087740805604199</v>
      </c>
      <c r="H177" s="160">
        <f t="shared" si="22"/>
        <v>37.741488616462348</v>
      </c>
      <c r="I177" s="281">
        <f t="shared" si="22"/>
        <v>37.395236427320484</v>
      </c>
      <c r="J177" s="287" t="s">
        <v>417</v>
      </c>
      <c r="K177" t="s">
        <v>405</v>
      </c>
    </row>
    <row r="178" spans="1:13">
      <c r="A178" s="237" t="s">
        <v>307</v>
      </c>
      <c r="B178" s="160">
        <f>'Bilan d''énergie SDES historique'!M31</f>
        <v>0</v>
      </c>
      <c r="C178" s="160">
        <f>B178</f>
        <v>0</v>
      </c>
      <c r="D178" s="160">
        <f t="shared" si="22"/>
        <v>0</v>
      </c>
      <c r="E178" s="160">
        <f t="shared" si="22"/>
        <v>0</v>
      </c>
      <c r="F178" s="160">
        <f t="shared" si="22"/>
        <v>0</v>
      </c>
      <c r="G178" s="160">
        <f t="shared" si="22"/>
        <v>0</v>
      </c>
      <c r="H178" s="160">
        <f t="shared" si="22"/>
        <v>0</v>
      </c>
      <c r="I178" s="281">
        <f t="shared" si="22"/>
        <v>0</v>
      </c>
      <c r="J178" s="287" t="s">
        <v>417</v>
      </c>
      <c r="K178" t="s">
        <v>405</v>
      </c>
    </row>
    <row r="179" spans="1:13" s="354" customFormat="1">
      <c r="A179" s="237" t="s">
        <v>501</v>
      </c>
      <c r="B179" s="160">
        <f>'Bilan d''énergie SDES historique'!O31</f>
        <v>3.4890000000000003</v>
      </c>
      <c r="C179" s="160">
        <f>B179</f>
        <v>3.4890000000000003</v>
      </c>
      <c r="D179" s="160">
        <f>$C$179+($I$179-$B$179)*6/31</f>
        <v>3.4523380035026272</v>
      </c>
      <c r="E179" s="160">
        <f>$C$179+($I$179-$B$179)*11/31</f>
        <v>3.4217863397548163</v>
      </c>
      <c r="F179" s="160">
        <f>$C$179+($I$179-$B$179)*16/31</f>
        <v>3.3912346760070053</v>
      </c>
      <c r="G179" s="160">
        <f>$C$179+($I$179-$B$179)*21/31</f>
        <v>3.3606830122591944</v>
      </c>
      <c r="H179" s="160">
        <f>$C$179+($I$179-$B$179)*26/31</f>
        <v>3.3301313485113835</v>
      </c>
      <c r="I179" s="281">
        <f>B179/B176*I176</f>
        <v>3.2995796847635726</v>
      </c>
      <c r="J179" s="287"/>
    </row>
    <row r="180" spans="1:13">
      <c r="A180" s="237" t="s">
        <v>308</v>
      </c>
      <c r="B180" s="160">
        <f>'Bilan d''énergie SDES historique'!N31</f>
        <v>116</v>
      </c>
      <c r="C180" s="160">
        <f>B180</f>
        <v>116</v>
      </c>
      <c r="D180" s="160">
        <f t="shared" si="22"/>
        <v>114.78108581436078</v>
      </c>
      <c r="E180" s="160">
        <f t="shared" si="22"/>
        <v>113.76532399299475</v>
      </c>
      <c r="F180" s="160">
        <f t="shared" si="22"/>
        <v>112.74956217162872</v>
      </c>
      <c r="G180" s="160">
        <f t="shared" si="22"/>
        <v>111.73380035026268</v>
      </c>
      <c r="H180" s="160">
        <f t="shared" si="22"/>
        <v>110.71803852889667</v>
      </c>
      <c r="I180" s="281">
        <f t="shared" si="22"/>
        <v>109.70227670753064</v>
      </c>
      <c r="J180" s="287" t="s">
        <v>417</v>
      </c>
      <c r="K180" t="s">
        <v>406</v>
      </c>
      <c r="M180" s="427"/>
    </row>
    <row r="181" spans="1:13">
      <c r="A181" s="540" t="s">
        <v>418</v>
      </c>
      <c r="B181" s="540"/>
      <c r="C181" s="540"/>
      <c r="D181" s="540"/>
      <c r="E181" s="540"/>
      <c r="F181" s="540"/>
      <c r="G181" s="540"/>
      <c r="H181" s="540"/>
      <c r="I181" s="540"/>
      <c r="J181" s="540"/>
    </row>
    <row r="183" spans="1:13">
      <c r="A183" s="519" t="s">
        <v>300</v>
      </c>
      <c r="B183" s="519"/>
      <c r="C183" s="519"/>
      <c r="D183" s="519"/>
      <c r="E183" s="519"/>
      <c r="F183" s="519"/>
      <c r="G183" s="519"/>
      <c r="H183" s="519"/>
      <c r="I183" s="519"/>
      <c r="J183" s="519"/>
    </row>
    <row r="184" spans="1:13">
      <c r="B184" s="165"/>
      <c r="C184" s="165"/>
      <c r="D184" s="165"/>
      <c r="E184" s="165"/>
      <c r="F184" s="165"/>
      <c r="G184" s="165"/>
      <c r="H184" s="165"/>
      <c r="I184" s="165"/>
    </row>
    <row r="185" spans="1:13">
      <c r="A185" s="30" t="s">
        <v>298</v>
      </c>
      <c r="B185" s="30">
        <v>2019</v>
      </c>
      <c r="C185" s="30">
        <v>2020</v>
      </c>
      <c r="D185" s="30">
        <v>2025</v>
      </c>
      <c r="E185" s="30">
        <v>2030</v>
      </c>
      <c r="F185" s="30">
        <v>2035</v>
      </c>
      <c r="G185" s="30">
        <v>2040</v>
      </c>
      <c r="H185" s="30">
        <v>2045</v>
      </c>
      <c r="I185" s="174">
        <v>2050</v>
      </c>
      <c r="J185" s="237" t="s">
        <v>389</v>
      </c>
      <c r="K185" t="s">
        <v>405</v>
      </c>
    </row>
    <row r="186" spans="1:13">
      <c r="A186" s="30" t="s">
        <v>304</v>
      </c>
      <c r="B186" s="152">
        <f>B151+B95</f>
        <v>355.87800000000004</v>
      </c>
      <c r="C186" s="152">
        <f t="shared" ref="C186:I186" si="23">C151+C95</f>
        <v>355.87800000000004</v>
      </c>
      <c r="D186" s="152">
        <f t="shared" si="23"/>
        <v>316.01966400000003</v>
      </c>
      <c r="E186" s="152">
        <f t="shared" si="23"/>
        <v>276.16132800000003</v>
      </c>
      <c r="F186" s="152">
        <f t="shared" si="23"/>
        <v>269.39964600000002</v>
      </c>
      <c r="G186" s="152">
        <f t="shared" si="23"/>
        <v>262.63796400000001</v>
      </c>
      <c r="H186" s="152">
        <f t="shared" si="23"/>
        <v>255.87628200000003</v>
      </c>
      <c r="I186" s="152">
        <f t="shared" si="23"/>
        <v>249.11460000000002</v>
      </c>
      <c r="J186" s="287"/>
      <c r="K186" t="s">
        <v>405</v>
      </c>
    </row>
    <row r="187" spans="1:13">
      <c r="A187" s="237" t="s">
        <v>305</v>
      </c>
      <c r="B187" s="163">
        <f>K18</f>
        <v>90.713999999999999</v>
      </c>
      <c r="C187" s="163">
        <f>B187</f>
        <v>90.713999999999999</v>
      </c>
      <c r="D187" s="152">
        <f>C187+($I187-$C187)/6</f>
        <v>75.594999999999999</v>
      </c>
      <c r="E187" s="152">
        <f>D187+($I187-$C187)/6</f>
        <v>60.475999999999999</v>
      </c>
      <c r="F187" s="152">
        <f>E187+($I187-$C187)/6</f>
        <v>45.356999999999999</v>
      </c>
      <c r="G187" s="152">
        <f>F187+($I187-$C187)/6</f>
        <v>30.238</v>
      </c>
      <c r="H187" s="152">
        <f>G187+($I187-$C187)/6</f>
        <v>15.119</v>
      </c>
      <c r="I187" s="286">
        <v>0</v>
      </c>
      <c r="J187" s="287" t="s">
        <v>310</v>
      </c>
      <c r="K187" t="s">
        <v>405</v>
      </c>
    </row>
    <row r="188" spans="1:13">
      <c r="A188" s="237" t="s">
        <v>307</v>
      </c>
      <c r="B188" s="163">
        <f>K19</f>
        <v>22.097000000000001</v>
      </c>
      <c r="C188" s="163">
        <f>B188</f>
        <v>22.097000000000001</v>
      </c>
      <c r="D188" s="152">
        <f t="shared" ref="D188:I188" si="24">$C188/$C$186*D$186+($C187/$C186*D186/3)</f>
        <v>46.473480000000002</v>
      </c>
      <c r="E188" s="152">
        <f t="shared" si="24"/>
        <v>40.611959999999996</v>
      </c>
      <c r="F188" s="152">
        <f t="shared" si="24"/>
        <v>39.617594999999994</v>
      </c>
      <c r="G188" s="152">
        <f t="shared" si="24"/>
        <v>38.623230000000007</v>
      </c>
      <c r="H188" s="152">
        <f t="shared" si="24"/>
        <v>37.628865000000005</v>
      </c>
      <c r="I188" s="286">
        <f t="shared" si="24"/>
        <v>36.634500000000003</v>
      </c>
      <c r="J188" s="287" t="s">
        <v>311</v>
      </c>
      <c r="K188" t="s">
        <v>405</v>
      </c>
    </row>
    <row r="189" spans="1:13">
      <c r="A189" s="237" t="s">
        <v>308</v>
      </c>
      <c r="B189" s="163">
        <f>B174</f>
        <v>243.06700000000001</v>
      </c>
      <c r="C189" s="163">
        <f>C174</f>
        <v>243.06700000000001</v>
      </c>
      <c r="D189" s="152">
        <f t="shared" ref="D189:I189" si="25">D186-D187-D188</f>
        <v>193.95118400000004</v>
      </c>
      <c r="E189" s="152">
        <f t="shared" si="25"/>
        <v>175.07336800000002</v>
      </c>
      <c r="F189" s="152">
        <f t="shared" si="25"/>
        <v>184.42505100000002</v>
      </c>
      <c r="G189" s="152">
        <f t="shared" si="25"/>
        <v>193.776734</v>
      </c>
      <c r="H189" s="152">
        <f t="shared" si="25"/>
        <v>203.12841700000001</v>
      </c>
      <c r="I189" s="286">
        <f t="shared" si="25"/>
        <v>212.48010000000002</v>
      </c>
      <c r="J189" s="287" t="s">
        <v>312</v>
      </c>
      <c r="K189" t="s">
        <v>405</v>
      </c>
    </row>
    <row r="190" spans="1:13">
      <c r="B190" s="165"/>
      <c r="C190" s="165"/>
      <c r="D190" s="165"/>
      <c r="E190" s="165"/>
      <c r="F190" s="165"/>
      <c r="G190" s="165"/>
      <c r="H190" s="165"/>
      <c r="I190" s="165"/>
      <c r="J190" s="287"/>
    </row>
    <row r="191" spans="1:13">
      <c r="A191" s="237" t="s">
        <v>309</v>
      </c>
      <c r="B191" s="152">
        <f>B163+B136</f>
        <v>159.03100000000001</v>
      </c>
      <c r="C191" s="152">
        <f t="shared" ref="C191:I191" si="26">C163+C136</f>
        <v>159.03100000000001</v>
      </c>
      <c r="D191" s="152">
        <f t="shared" si="26"/>
        <v>141.219528</v>
      </c>
      <c r="E191" s="152">
        <f t="shared" si="26"/>
        <v>123.408056</v>
      </c>
      <c r="F191" s="152">
        <f t="shared" si="26"/>
        <v>120.386467</v>
      </c>
      <c r="G191" s="152">
        <f t="shared" si="26"/>
        <v>117.364878</v>
      </c>
      <c r="H191" s="152">
        <f t="shared" si="26"/>
        <v>114.343289</v>
      </c>
      <c r="I191" s="152">
        <f t="shared" si="26"/>
        <v>111.32169999999999</v>
      </c>
      <c r="J191" s="287"/>
      <c r="K191" t="s">
        <v>405</v>
      </c>
    </row>
    <row r="192" spans="1:13">
      <c r="A192" s="237" t="s">
        <v>305</v>
      </c>
      <c r="B192" s="163">
        <f>B177</f>
        <v>39.542000000000002</v>
      </c>
      <c r="C192" s="163">
        <f>C177</f>
        <v>39.542000000000002</v>
      </c>
      <c r="D192" s="152">
        <f>C192+($I192-$C192)/6</f>
        <v>32.951666666666668</v>
      </c>
      <c r="E192" s="152">
        <f>D192+($I192-$C192)/6</f>
        <v>26.361333333333334</v>
      </c>
      <c r="F192" s="152">
        <f>E192+($I192-$C192)/6</f>
        <v>19.771000000000001</v>
      </c>
      <c r="G192" s="152">
        <f>F192+($I192-$C192)/6</f>
        <v>13.180666666666667</v>
      </c>
      <c r="H192" s="152">
        <f>G192+($I192-$C192)/6</f>
        <v>6.5903333333333336</v>
      </c>
      <c r="I192" s="286">
        <v>0</v>
      </c>
      <c r="J192" s="287" t="s">
        <v>310</v>
      </c>
      <c r="K192" t="s">
        <v>405</v>
      </c>
    </row>
    <row r="193" spans="1:11">
      <c r="A193" s="237" t="s">
        <v>307</v>
      </c>
      <c r="B193" s="163">
        <f>B178</f>
        <v>0</v>
      </c>
      <c r="C193" s="163">
        <f>C178</f>
        <v>0</v>
      </c>
      <c r="D193" s="152">
        <f t="shared" ref="D193:I193" si="27">$C193/$C$191*D$191</f>
        <v>0</v>
      </c>
      <c r="E193" s="152">
        <f t="shared" si="27"/>
        <v>0</v>
      </c>
      <c r="F193" s="152">
        <f t="shared" si="27"/>
        <v>0</v>
      </c>
      <c r="G193" s="152">
        <f t="shared" si="27"/>
        <v>0</v>
      </c>
      <c r="H193" s="152">
        <f t="shared" si="27"/>
        <v>0</v>
      </c>
      <c r="I193" s="286">
        <f t="shared" si="27"/>
        <v>0</v>
      </c>
      <c r="J193" s="287" t="s">
        <v>306</v>
      </c>
      <c r="K193" t="s">
        <v>405</v>
      </c>
    </row>
    <row r="194" spans="1:11">
      <c r="A194" s="237" t="s">
        <v>308</v>
      </c>
      <c r="B194" s="163">
        <f>B180</f>
        <v>116</v>
      </c>
      <c r="C194" s="163">
        <f>C180</f>
        <v>116</v>
      </c>
      <c r="D194" s="152">
        <f t="shared" ref="D194:I194" si="28">D191-D192-D193</f>
        <v>108.26786133333333</v>
      </c>
      <c r="E194" s="152">
        <f t="shared" si="28"/>
        <v>97.046722666666668</v>
      </c>
      <c r="F194" s="152">
        <f t="shared" si="28"/>
        <v>100.615467</v>
      </c>
      <c r="G194" s="152">
        <f t="shared" si="28"/>
        <v>104.18421133333334</v>
      </c>
      <c r="H194" s="152">
        <f t="shared" si="28"/>
        <v>107.75295566666667</v>
      </c>
      <c r="I194" s="286">
        <f t="shared" si="28"/>
        <v>111.32169999999999</v>
      </c>
      <c r="J194" s="287" t="s">
        <v>312</v>
      </c>
      <c r="K194" t="s">
        <v>406</v>
      </c>
    </row>
    <row r="195" spans="1:11">
      <c r="A195" s="540" t="s">
        <v>419</v>
      </c>
      <c r="B195" s="540"/>
      <c r="C195" s="540"/>
      <c r="D195" s="540"/>
      <c r="E195" s="540"/>
      <c r="F195" s="540"/>
      <c r="G195" s="540"/>
      <c r="H195" s="540"/>
      <c r="I195" s="540"/>
      <c r="J195" s="540"/>
    </row>
  </sheetData>
  <mergeCells count="42">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 ref="M143:U143"/>
    <mergeCell ref="M148:U148"/>
    <mergeCell ref="A148:J148"/>
    <mergeCell ref="A143:J143"/>
    <mergeCell ref="A98:K98"/>
    <mergeCell ref="M109:U109"/>
    <mergeCell ref="M124:U124"/>
    <mergeCell ref="A137:J137"/>
    <mergeCell ref="A91:K91"/>
    <mergeCell ref="A117:K117"/>
    <mergeCell ref="A132:K132"/>
    <mergeCell ref="A124:K124"/>
    <mergeCell ref="A109:K109"/>
    <mergeCell ref="A100:K100"/>
    <mergeCell ref="A122:J122"/>
    <mergeCell ref="A96:J96"/>
    <mergeCell ref="A153:I153"/>
    <mergeCell ref="A165:K165"/>
    <mergeCell ref="A181:J181"/>
    <mergeCell ref="A139:K139"/>
    <mergeCell ref="A141:I141"/>
    <mergeCell ref="A195:J195"/>
    <mergeCell ref="A183:J183"/>
    <mergeCell ref="A168:J168"/>
    <mergeCell ref="A160:J160"/>
    <mergeCell ref="A155:J155"/>
  </mergeCells>
  <pageMargins left="0.7" right="0.7" top="0.75" bottom="0.75" header="0.51180555555555496" footer="0.51180555555555496"/>
  <pageSetup paperSize="9" firstPageNumber="0"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topLeftCell="A28" zoomScaleNormal="100" workbookViewId="0">
      <selection activeCell="A40" sqref="A40:Y40"/>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519" t="s">
        <v>55</v>
      </c>
      <c r="B2" s="519"/>
      <c r="C2" s="519"/>
      <c r="D2" s="519"/>
      <c r="E2" s="519"/>
      <c r="F2" s="519"/>
      <c r="G2" s="519"/>
      <c r="H2" s="519"/>
      <c r="I2" s="519"/>
      <c r="J2" s="519"/>
      <c r="K2" s="519"/>
      <c r="L2" s="519"/>
      <c r="M2" s="519"/>
      <c r="R2" t="s">
        <v>505</v>
      </c>
    </row>
    <row r="3" spans="1:47">
      <c r="R3" t="s">
        <v>506</v>
      </c>
      <c r="U3" t="s">
        <v>507</v>
      </c>
    </row>
    <row r="4" spans="1:47">
      <c r="A4" s="30"/>
      <c r="B4" s="30">
        <v>2010</v>
      </c>
      <c r="C4" s="30">
        <v>2011</v>
      </c>
      <c r="D4" s="30">
        <v>2012</v>
      </c>
      <c r="E4" s="30">
        <v>2013</v>
      </c>
      <c r="F4" s="30">
        <v>2014</v>
      </c>
      <c r="G4" s="30">
        <v>2015</v>
      </c>
      <c r="H4" s="30">
        <v>2016</v>
      </c>
      <c r="I4" s="30">
        <v>2017</v>
      </c>
      <c r="J4" s="30">
        <v>2018</v>
      </c>
      <c r="K4" s="30">
        <v>2019</v>
      </c>
      <c r="L4" s="30">
        <v>2020</v>
      </c>
      <c r="M4" s="237" t="s">
        <v>389</v>
      </c>
      <c r="Q4" s="35" t="s">
        <v>502</v>
      </c>
    </row>
    <row r="5" spans="1:47">
      <c r="A5" s="30" t="s">
        <v>313</v>
      </c>
      <c r="B5" s="39">
        <f>GES!V10</f>
        <v>48.521021975170861</v>
      </c>
      <c r="C5" s="39">
        <f>GES!W10</f>
        <v>47.574404278706403</v>
      </c>
      <c r="D5" s="39">
        <f>GES!X10</f>
        <v>46.29353023868488</v>
      </c>
      <c r="E5" s="39">
        <f>GES!Y10</f>
        <v>45.857201265854549</v>
      </c>
      <c r="F5" s="39">
        <f>GES!Z10</f>
        <v>44.8909134145321</v>
      </c>
      <c r="G5" s="39">
        <f>GES!AA10</f>
        <v>43.697790115339515</v>
      </c>
      <c r="H5" s="39">
        <f>GES!AB10</f>
        <v>44.66752113486573</v>
      </c>
      <c r="I5" s="39">
        <f>GES!AC10</f>
        <v>44.393668162942461</v>
      </c>
      <c r="J5" s="39">
        <f>GES!AD10</f>
        <v>43.892884246637315</v>
      </c>
      <c r="K5" s="39">
        <f>GES!AE10</f>
        <v>44.649303255328576</v>
      </c>
      <c r="L5" s="30"/>
      <c r="M5" s="294" t="s">
        <v>213</v>
      </c>
      <c r="Q5" s="35"/>
    </row>
    <row r="6" spans="1:47">
      <c r="A6" s="1" t="s">
        <v>314</v>
      </c>
      <c r="B6" s="166">
        <f>N2O!W11*298/1000</f>
        <v>25.640883557647488</v>
      </c>
      <c r="C6" s="166">
        <f>N2O!X11*298/1000</f>
        <v>25.7563769230681</v>
      </c>
      <c r="D6" s="166">
        <f>N2O!Y11*298/1000</f>
        <v>25.424290932888354</v>
      </c>
      <c r="E6" s="166">
        <f>N2O!Z11*298/1000</f>
        <v>25.807481031535715</v>
      </c>
      <c r="F6" s="166">
        <f>N2O!AA11*298/1000</f>
        <v>26.388221463824024</v>
      </c>
      <c r="G6" s="166">
        <f>N2O!AB11*298/1000</f>
        <v>25.94221511198759</v>
      </c>
      <c r="H6" s="166">
        <f>N2O!AC11*298/1000</f>
        <v>25.152524252606213</v>
      </c>
      <c r="I6" s="166">
        <f>N2O!AD11*298/1000</f>
        <v>25.494602060611488</v>
      </c>
      <c r="J6" s="166">
        <f>N2O!AE11*298/1000</f>
        <v>25.048133159337883</v>
      </c>
      <c r="K6" s="166">
        <f>N2O!AF11*298/1000</f>
        <v>25.790990004775875</v>
      </c>
      <c r="L6" s="30"/>
      <c r="M6" s="294" t="s">
        <v>315</v>
      </c>
      <c r="Q6" s="237"/>
      <c r="R6" s="237">
        <v>2013</v>
      </c>
      <c r="S6" s="237">
        <v>2018</v>
      </c>
      <c r="T6" s="237">
        <v>2019</v>
      </c>
      <c r="U6" s="237">
        <v>2025</v>
      </c>
      <c r="V6" s="237">
        <v>2030</v>
      </c>
      <c r="W6" s="237">
        <v>2035</v>
      </c>
      <c r="X6" s="237">
        <v>2040</v>
      </c>
      <c r="Y6" s="237">
        <v>2045</v>
      </c>
      <c r="Z6" s="237">
        <v>2050</v>
      </c>
      <c r="AA6" s="237" t="s">
        <v>510</v>
      </c>
    </row>
    <row r="7" spans="1:47">
      <c r="A7" s="1" t="s">
        <v>316</v>
      </c>
      <c r="B7" s="166">
        <f>'CH4'!W11*25/1000</f>
        <v>22.813506403725512</v>
      </c>
      <c r="C7" s="166">
        <f>'CH4'!X11*25/1000</f>
        <v>21.756679291726797</v>
      </c>
      <c r="D7" s="166">
        <f>'CH4'!Y11*25/1000</f>
        <v>20.807494928546895</v>
      </c>
      <c r="E7" s="166">
        <f>'CH4'!Z11*25/1000</f>
        <v>19.987277453778631</v>
      </c>
      <c r="F7" s="166">
        <f>'CH4'!AA11*25/1000</f>
        <v>18.44209154721084</v>
      </c>
      <c r="G7" s="166">
        <f>'CH4'!AB11*25/1000</f>
        <v>17.699351529767256</v>
      </c>
      <c r="H7" s="166">
        <f>'CH4'!AC11*25/1000</f>
        <v>19.459970338023847</v>
      </c>
      <c r="I7" s="166">
        <f>'CH4'!AD11*25/1000</f>
        <v>18.838957225549386</v>
      </c>
      <c r="J7" s="166">
        <f>'CH4'!AE11*25/1000</f>
        <v>18.784642210517845</v>
      </c>
      <c r="K7" s="166">
        <f>'CH4'!AF11*25/1000</f>
        <v>18.79820437377111</v>
      </c>
      <c r="L7" s="30"/>
      <c r="M7" s="294" t="s">
        <v>317</v>
      </c>
      <c r="Q7" s="30" t="s">
        <v>503</v>
      </c>
      <c r="R7" s="237">
        <v>125</v>
      </c>
      <c r="S7" s="237">
        <v>120</v>
      </c>
      <c r="T7" s="237">
        <f>S7+(V7-S7)*1/12</f>
        <v>118.41666666666667</v>
      </c>
      <c r="U7" s="237">
        <f>S7+(V7-S7)*7/12</f>
        <v>108.91666666666667</v>
      </c>
      <c r="V7" s="237">
        <v>101</v>
      </c>
      <c r="W7" s="237">
        <f>$V$7+($Z$7-$V$7)*5/20</f>
        <v>94.75</v>
      </c>
      <c r="X7" s="237">
        <f>$V$7+($Z$7-$V$7)*10/20</f>
        <v>88.5</v>
      </c>
      <c r="Y7" s="237">
        <f>$V$7+($Z$7-$V$7)*15/20</f>
        <v>82.25</v>
      </c>
      <c r="Z7" s="237">
        <v>76</v>
      </c>
      <c r="AA7" s="237"/>
    </row>
    <row r="8" spans="1:47">
      <c r="A8" s="1" t="s">
        <v>318</v>
      </c>
      <c r="B8" s="166">
        <f t="shared" ref="B8:K8" si="0">SUM(B6:B7)</f>
        <v>48.454389961372996</v>
      </c>
      <c r="C8" s="166">
        <f t="shared" si="0"/>
        <v>47.513056214794901</v>
      </c>
      <c r="D8" s="166">
        <f t="shared" si="0"/>
        <v>46.231785861435249</v>
      </c>
      <c r="E8" s="166">
        <f t="shared" si="0"/>
        <v>45.794758485314347</v>
      </c>
      <c r="F8" s="166">
        <f t="shared" si="0"/>
        <v>44.83031301103486</v>
      </c>
      <c r="G8" s="166">
        <f t="shared" si="0"/>
        <v>43.641566641754849</v>
      </c>
      <c r="H8" s="166">
        <f t="shared" si="0"/>
        <v>44.612494590630064</v>
      </c>
      <c r="I8" s="166">
        <f t="shared" si="0"/>
        <v>44.333559286160877</v>
      </c>
      <c r="J8" s="166">
        <f t="shared" si="0"/>
        <v>43.832775369855725</v>
      </c>
      <c r="K8" s="166">
        <f t="shared" si="0"/>
        <v>44.589194378546985</v>
      </c>
      <c r="L8" s="30"/>
      <c r="M8" s="294" t="s">
        <v>319</v>
      </c>
      <c r="Q8" s="237" t="s">
        <v>498</v>
      </c>
      <c r="R8" s="237"/>
      <c r="S8" s="237"/>
      <c r="T8" s="237">
        <f>T7/S7</f>
        <v>0.9868055555555556</v>
      </c>
      <c r="U8" s="237">
        <f t="shared" ref="U8:Z8" si="1">U7/T7</f>
        <v>0.91977480647431387</v>
      </c>
      <c r="V8" s="237">
        <f t="shared" si="1"/>
        <v>0.92731446059678646</v>
      </c>
      <c r="W8" s="237">
        <f t="shared" si="1"/>
        <v>0.93811881188118806</v>
      </c>
      <c r="X8" s="237">
        <f t="shared" si="1"/>
        <v>0.93403693931398413</v>
      </c>
      <c r="Y8" s="237">
        <f t="shared" si="1"/>
        <v>0.92937853107344637</v>
      </c>
      <c r="Z8" s="237">
        <f t="shared" si="1"/>
        <v>0.92401215805471126</v>
      </c>
      <c r="AA8" s="237">
        <f>Z7/T7</f>
        <v>0.64180154820548907</v>
      </c>
    </row>
    <row r="9" spans="1:47">
      <c r="A9" s="1" t="s">
        <v>320</v>
      </c>
      <c r="B9" s="166">
        <f>B8+'CO2'!W11</f>
        <v>48.454389961372996</v>
      </c>
      <c r="C9" s="166">
        <f>C8+'CO2'!X11</f>
        <v>47.513056214794901</v>
      </c>
      <c r="D9" s="166">
        <f>D8+'CO2'!Y11</f>
        <v>46.231785861435249</v>
      </c>
      <c r="E9" s="166">
        <f>E8+'CO2'!Z11</f>
        <v>45.794758485314347</v>
      </c>
      <c r="F9" s="166">
        <f>F8+'CO2'!AA11</f>
        <v>44.83031301103486</v>
      </c>
      <c r="G9" s="166">
        <f>G8+'CO2'!AB11</f>
        <v>43.641566641754849</v>
      </c>
      <c r="H9" s="166">
        <f>H8+'CO2'!AC11</f>
        <v>44.612494590630064</v>
      </c>
      <c r="I9" s="166">
        <f>I8+'CO2'!AD11</f>
        <v>44.333559286160877</v>
      </c>
      <c r="J9" s="166">
        <f>J8+'CO2'!AE11</f>
        <v>43.832775369855725</v>
      </c>
      <c r="K9" s="166">
        <f>K8+'CO2'!AF11</f>
        <v>44.589194378546985</v>
      </c>
      <c r="L9" s="30"/>
      <c r="M9" s="294"/>
      <c r="Q9" s="30" t="s">
        <v>504</v>
      </c>
      <c r="R9" s="237"/>
      <c r="S9" s="237"/>
      <c r="T9" s="237"/>
      <c r="U9" s="237"/>
      <c r="V9" s="339">
        <v>-0.13</v>
      </c>
      <c r="W9" s="237"/>
      <c r="X9" s="237"/>
      <c r="Y9" s="237"/>
      <c r="Z9" s="339">
        <v>-0.35</v>
      </c>
      <c r="AA9" s="237"/>
    </row>
    <row r="10" spans="1:47">
      <c r="A10" s="1" t="s">
        <v>321</v>
      </c>
      <c r="B10" s="30"/>
      <c r="C10" s="39"/>
      <c r="D10" s="39"/>
      <c r="E10" s="39"/>
      <c r="F10" s="39"/>
      <c r="G10" s="39"/>
      <c r="H10" s="39"/>
      <c r="I10" s="168"/>
      <c r="J10" s="168"/>
      <c r="K10" s="169"/>
      <c r="L10" s="169"/>
      <c r="M10" s="295" t="s">
        <v>58</v>
      </c>
    </row>
    <row r="11" spans="1:47">
      <c r="A11" s="1" t="s">
        <v>322</v>
      </c>
      <c r="B11" s="30"/>
      <c r="C11" s="30"/>
      <c r="D11" s="30"/>
      <c r="E11" s="39"/>
      <c r="F11" s="39"/>
      <c r="G11" s="39"/>
      <c r="H11" s="39"/>
      <c r="I11" s="39"/>
      <c r="J11" s="39"/>
      <c r="K11" s="39"/>
      <c r="L11" s="30"/>
      <c r="M11" s="294" t="s">
        <v>323</v>
      </c>
      <c r="Q11" s="35"/>
    </row>
    <row r="12" spans="1:47">
      <c r="A12" s="1" t="s">
        <v>324</v>
      </c>
      <c r="B12" s="30"/>
      <c r="C12" s="30"/>
      <c r="D12" s="30"/>
      <c r="E12" s="39"/>
      <c r="F12" s="39"/>
      <c r="G12" s="39"/>
      <c r="H12" s="39"/>
      <c r="I12" s="39"/>
      <c r="J12" s="39"/>
      <c r="K12" s="39">
        <f>'Bilan d''énergie SDES historique'!D32</f>
        <v>126.76700000000001</v>
      </c>
      <c r="L12" s="143"/>
      <c r="M12" s="294" t="s">
        <v>408</v>
      </c>
      <c r="Q12" s="35"/>
    </row>
    <row r="13" spans="1:47">
      <c r="A13" s="1" t="s">
        <v>325</v>
      </c>
      <c r="B13" s="30"/>
      <c r="C13" s="30"/>
      <c r="D13" s="30"/>
      <c r="E13" s="39"/>
      <c r="F13" s="39"/>
      <c r="G13" s="39"/>
      <c r="H13" s="39"/>
      <c r="I13" s="39"/>
      <c r="J13" s="39"/>
      <c r="K13" s="39">
        <f>'Bilan d''énergie SDES historique'!N32</f>
        <v>0</v>
      </c>
      <c r="L13" s="143"/>
      <c r="M13" s="294" t="s">
        <v>408</v>
      </c>
      <c r="Q13" s="35"/>
    </row>
    <row r="14" spans="1:47">
      <c r="M14" s="170"/>
      <c r="N14" s="171"/>
    </row>
    <row r="15" spans="1:47">
      <c r="A15" s="519" t="s">
        <v>140</v>
      </c>
      <c r="B15" s="519"/>
      <c r="C15" s="519"/>
      <c r="D15" s="519"/>
      <c r="E15" s="519"/>
      <c r="F15" s="519"/>
      <c r="G15" s="519"/>
      <c r="H15" s="519"/>
      <c r="I15" s="519"/>
      <c r="J15" s="519"/>
      <c r="K15" s="519"/>
      <c r="L15" s="519"/>
      <c r="M15" s="519"/>
      <c r="AI15" s="519" t="s">
        <v>141</v>
      </c>
      <c r="AJ15" s="519"/>
      <c r="AK15" s="519"/>
      <c r="AL15" s="519"/>
      <c r="AM15" s="519"/>
      <c r="AN15" s="519"/>
      <c r="AO15" s="519"/>
      <c r="AP15" s="519"/>
      <c r="AQ15" s="519"/>
      <c r="AR15" s="519"/>
      <c r="AS15" s="519"/>
      <c r="AT15" s="519"/>
      <c r="AU15" s="519"/>
    </row>
    <row r="17" spans="1:47">
      <c r="A17" s="35"/>
      <c r="B17" s="551">
        <v>2019</v>
      </c>
      <c r="C17" s="551"/>
      <c r="D17" s="551"/>
      <c r="E17" s="553">
        <v>2020</v>
      </c>
      <c r="F17" s="553"/>
      <c r="G17" s="553"/>
      <c r="H17" s="553">
        <v>2025</v>
      </c>
      <c r="I17" s="553"/>
      <c r="J17" s="553"/>
      <c r="K17" s="553">
        <v>2030</v>
      </c>
      <c r="L17" s="553"/>
      <c r="M17" s="553"/>
      <c r="N17" s="553">
        <v>2035</v>
      </c>
      <c r="O17" s="553"/>
      <c r="P17" s="553"/>
      <c r="Q17" s="553">
        <v>2040</v>
      </c>
      <c r="R17" s="553"/>
      <c r="S17" s="553"/>
      <c r="T17" s="553">
        <v>2045</v>
      </c>
      <c r="U17" s="553"/>
      <c r="V17" s="553"/>
      <c r="W17" s="553">
        <v>2050</v>
      </c>
      <c r="X17" s="553"/>
      <c r="Y17" s="553"/>
      <c r="AI17" s="35"/>
      <c r="AJ17" s="551">
        <v>2015</v>
      </c>
      <c r="AK17" s="551"/>
      <c r="AL17" s="551"/>
      <c r="AM17" s="552">
        <v>2017</v>
      </c>
      <c r="AN17" s="552"/>
      <c r="AO17" s="552"/>
      <c r="AP17" s="553">
        <v>2050</v>
      </c>
      <c r="AQ17" s="553"/>
      <c r="AR17" s="553"/>
    </row>
    <row r="18" spans="1:47" ht="28.8">
      <c r="A18" s="35"/>
      <c r="B18" s="41" t="s">
        <v>326</v>
      </c>
      <c r="C18" s="41" t="s">
        <v>327</v>
      </c>
      <c r="D18" s="172" t="s">
        <v>328</v>
      </c>
      <c r="E18" s="173" t="s">
        <v>326</v>
      </c>
      <c r="F18" s="41" t="s">
        <v>327</v>
      </c>
      <c r="G18" s="172" t="s">
        <v>328</v>
      </c>
      <c r="H18" s="173" t="s">
        <v>326</v>
      </c>
      <c r="I18" s="41" t="s">
        <v>327</v>
      </c>
      <c r="J18" s="172" t="s">
        <v>328</v>
      </c>
      <c r="K18" s="173" t="s">
        <v>326</v>
      </c>
      <c r="L18" s="41" t="s">
        <v>327</v>
      </c>
      <c r="M18" s="172" t="s">
        <v>328</v>
      </c>
      <c r="N18" s="173" t="s">
        <v>326</v>
      </c>
      <c r="O18" s="41" t="s">
        <v>327</v>
      </c>
      <c r="P18" s="172" t="s">
        <v>328</v>
      </c>
      <c r="Q18" s="173" t="s">
        <v>326</v>
      </c>
      <c r="R18" s="41" t="s">
        <v>327</v>
      </c>
      <c r="S18" s="172" t="s">
        <v>328</v>
      </c>
      <c r="T18" s="173" t="s">
        <v>326</v>
      </c>
      <c r="U18" s="41" t="s">
        <v>327</v>
      </c>
      <c r="V18" s="172" t="s">
        <v>328</v>
      </c>
      <c r="W18" s="173" t="s">
        <v>326</v>
      </c>
      <c r="X18" s="41" t="s">
        <v>327</v>
      </c>
      <c r="Y18" s="172" t="s">
        <v>328</v>
      </c>
      <c r="AI18" s="35"/>
      <c r="AJ18" s="41" t="s">
        <v>326</v>
      </c>
      <c r="AK18" s="41" t="s">
        <v>327</v>
      </c>
      <c r="AL18" s="172" t="s">
        <v>328</v>
      </c>
      <c r="AM18" s="173" t="s">
        <v>326</v>
      </c>
      <c r="AN18" s="41" t="s">
        <v>327</v>
      </c>
      <c r="AO18" s="172" t="s">
        <v>328</v>
      </c>
      <c r="AP18" s="173" t="s">
        <v>326</v>
      </c>
      <c r="AQ18" s="41" t="s">
        <v>327</v>
      </c>
      <c r="AR18" s="172" t="s">
        <v>328</v>
      </c>
    </row>
    <row r="19" spans="1:47">
      <c r="A19" s="174" t="s">
        <v>314</v>
      </c>
      <c r="B19" s="41">
        <v>1</v>
      </c>
      <c r="C19" s="175">
        <v>1</v>
      </c>
      <c r="D19" s="176">
        <f>K6</f>
        <v>25.790990004775875</v>
      </c>
      <c r="E19" s="177">
        <f>$B19+($W19-$B19)*1/31</f>
        <v>1.0048387096774194</v>
      </c>
      <c r="F19" s="178">
        <f>$C19+($X19-$C19)*1/31</f>
        <v>0.98612903225806448</v>
      </c>
      <c r="G19" s="176">
        <f>$D$19*E19*F19</f>
        <v>25.55630809832763</v>
      </c>
      <c r="H19" s="177">
        <f>$B$19+($W$19-$B$19)*6/31</f>
        <v>1.0290322580645161</v>
      </c>
      <c r="I19" s="178">
        <f>$C$19+($X$19-$C$19)*6/31</f>
        <v>0.91677419354838707</v>
      </c>
      <c r="J19" s="176">
        <f>$D$19*H19*I19</f>
        <v>24.330967696513838</v>
      </c>
      <c r="K19" s="177">
        <f>$B$19+($W$19-$B$19)*11/31</f>
        <v>1.0532258064516129</v>
      </c>
      <c r="L19" s="178">
        <f>$C$19+($X$19-$C$19)*11/31</f>
        <v>0.84741935483870967</v>
      </c>
      <c r="M19" s="176">
        <f>$D$19*K19*L19</f>
        <v>23.019075845412427</v>
      </c>
      <c r="N19" s="177">
        <f>$B$19+($W$19-$B$19)*16/31</f>
        <v>1.0774193548387097</v>
      </c>
      <c r="O19" s="178">
        <f>$C$19+($X$19-$C$19)*16/31</f>
        <v>0.77806451612903227</v>
      </c>
      <c r="P19" s="176">
        <f>$D$19*N19*O19</f>
        <v>21.620632545023398</v>
      </c>
      <c r="Q19" s="177">
        <f>$B$19+($W$19-$B$19)*21/31</f>
        <v>1.1016129032258064</v>
      </c>
      <c r="R19" s="178">
        <f>$C$19+($X$19-$C$19)*21/31</f>
        <v>0.70870967741935487</v>
      </c>
      <c r="S19" s="176">
        <f>$D$19*Q19*R19</f>
        <v>20.135637795346742</v>
      </c>
      <c r="T19" s="177">
        <f>$B$19+($W$19-$B$19)*26/31</f>
        <v>1.1258064516129032</v>
      </c>
      <c r="U19" s="178">
        <f>$C$19+($X$19-$C$19)*26/31</f>
        <v>0.63935483870967735</v>
      </c>
      <c r="V19" s="176">
        <f>$D$19*T19*U19</f>
        <v>18.564091596382472</v>
      </c>
      <c r="W19" s="179">
        <v>1.1499999999999999</v>
      </c>
      <c r="X19" s="180">
        <v>0.56999999999999995</v>
      </c>
      <c r="Y19" s="40">
        <f>D19*X19*W19</f>
        <v>16.905993948130583</v>
      </c>
      <c r="AI19" s="174" t="s">
        <v>338</v>
      </c>
      <c r="AJ19" s="41">
        <v>1.1499999999999999</v>
      </c>
      <c r="AK19" s="175">
        <v>0.95</v>
      </c>
      <c r="AL19" s="207">
        <v>217</v>
      </c>
      <c r="AM19" s="173">
        <v>1.1499999999999999</v>
      </c>
      <c r="AN19" s="186">
        <v>0.95</v>
      </c>
      <c r="AO19" s="207">
        <v>220</v>
      </c>
      <c r="AP19" s="179">
        <v>1.1499999999999999</v>
      </c>
      <c r="AQ19" s="180">
        <v>0.95</v>
      </c>
      <c r="AR19" s="37">
        <v>237.07249999999999</v>
      </c>
    </row>
    <row r="20" spans="1:47">
      <c r="A20" s="174" t="s">
        <v>316</v>
      </c>
      <c r="B20" s="41">
        <v>1</v>
      </c>
      <c r="C20" s="175">
        <v>1</v>
      </c>
      <c r="D20" s="176">
        <f>K7</f>
        <v>18.79820437377111</v>
      </c>
      <c r="E20" s="177">
        <f>$B20+($W20-$B20)*1/31</f>
        <v>1.0048387096774194</v>
      </c>
      <c r="F20" s="178">
        <f>$C20+($X20-$C20)*1/31</f>
        <v>0.98612903225806448</v>
      </c>
      <c r="G20" s="176">
        <f>$D$20*E20*F20</f>
        <v>18.62715245062185</v>
      </c>
      <c r="H20" s="177">
        <f>$B$20+($W$20-$B$20)*6/31</f>
        <v>1.0290322580645161</v>
      </c>
      <c r="I20" s="178">
        <f>$C$20+($X$20-$C$20)*6/31</f>
        <v>0.91677419354838707</v>
      </c>
      <c r="J20" s="176">
        <f>$D$20*H20*I20</f>
        <v>17.734042132000148</v>
      </c>
      <c r="K20" s="177">
        <f>$B$20+($W$20-$B$20)*11/31</f>
        <v>1.0532258064516129</v>
      </c>
      <c r="L20" s="178">
        <f>$C$20+($X$20-$C$20)*11/31</f>
        <v>0.84741935483870967</v>
      </c>
      <c r="M20" s="176">
        <f>$D$20*K20*L20</f>
        <v>16.777847308586132</v>
      </c>
      <c r="N20" s="177">
        <f>$B$20+($W$20-$B$20)*16/31</f>
        <v>1.0774193548387097</v>
      </c>
      <c r="O20" s="178">
        <f>$C$20+($X$20-$C$20)*16/31</f>
        <v>0.77806451612903227</v>
      </c>
      <c r="P20" s="176">
        <f>$D$20*N20*O20</f>
        <v>15.758567980379809</v>
      </c>
      <c r="Q20" s="177">
        <f>$B$20+($W$20-$B$20)*21/31</f>
        <v>1.1016129032258064</v>
      </c>
      <c r="R20" s="178">
        <f>$C$20+($X$20-$C$20)*21/31</f>
        <v>0.70870967741935487</v>
      </c>
      <c r="S20" s="176">
        <f>$D$20*Q20*R20</f>
        <v>14.676204147381171</v>
      </c>
      <c r="T20" s="177">
        <f>$B$20+($W$20-$B$20)*26/31</f>
        <v>1.1258064516129032</v>
      </c>
      <c r="U20" s="178">
        <f>$C$20+($X$20-$C$20)*26/31</f>
        <v>0.63935483870967735</v>
      </c>
      <c r="V20" s="176">
        <f>$D$20*T20*U20</f>
        <v>13.530755809590222</v>
      </c>
      <c r="W20" s="179">
        <v>1.1499999999999999</v>
      </c>
      <c r="X20" s="180">
        <v>0.56999999999999995</v>
      </c>
      <c r="Y20" s="40">
        <f>D20*X20*W20</f>
        <v>12.322222967006962</v>
      </c>
      <c r="AI20" s="174" t="s">
        <v>339</v>
      </c>
      <c r="AJ20" s="41">
        <v>1.1499999999999999</v>
      </c>
      <c r="AK20" s="175">
        <v>1</v>
      </c>
      <c r="AL20" s="207">
        <v>3445</v>
      </c>
      <c r="AM20" s="173">
        <v>1.1499999999999999</v>
      </c>
      <c r="AN20" s="186">
        <v>1</v>
      </c>
      <c r="AO20" s="207">
        <v>3511</v>
      </c>
      <c r="AP20" s="179">
        <v>1.1499999999999999</v>
      </c>
      <c r="AQ20" s="180">
        <v>1</v>
      </c>
      <c r="AR20" s="37">
        <v>3961.75</v>
      </c>
    </row>
    <row r="21" spans="1:47">
      <c r="A21" s="174" t="s">
        <v>318</v>
      </c>
      <c r="B21" s="41"/>
      <c r="C21" s="175"/>
      <c r="D21" s="176">
        <f>K8</f>
        <v>44.589194378546985</v>
      </c>
      <c r="E21" s="181"/>
      <c r="F21" s="182"/>
      <c r="G21" s="176">
        <f>SUM(G19:G20)</f>
        <v>44.183460548949483</v>
      </c>
      <c r="H21" s="181"/>
      <c r="I21" s="182"/>
      <c r="J21" s="176">
        <f>SUM(J19:J20)</f>
        <v>42.065009828513986</v>
      </c>
      <c r="K21" s="181"/>
      <c r="L21" s="182"/>
      <c r="M21" s="176">
        <f>SUM(M19:M20)</f>
        <v>39.796923153998563</v>
      </c>
      <c r="N21" s="181"/>
      <c r="O21" s="182"/>
      <c r="P21" s="176">
        <f>SUM(P19:P20)</f>
        <v>37.379200525403206</v>
      </c>
      <c r="Q21" s="181"/>
      <c r="R21" s="182"/>
      <c r="S21" s="176">
        <f>SUM(S19:S20)</f>
        <v>34.811841942727909</v>
      </c>
      <c r="T21" s="183"/>
      <c r="U21" s="184"/>
      <c r="V21" s="176">
        <f>SUM(V19:V20)</f>
        <v>32.094847405972693</v>
      </c>
      <c r="W21" s="179"/>
      <c r="X21" s="180"/>
      <c r="Y21" s="40">
        <f>SUM(Y19:Y20)</f>
        <v>29.228216915137544</v>
      </c>
      <c r="AI21" s="174" t="s">
        <v>23</v>
      </c>
      <c r="AJ21" s="41"/>
      <c r="AK21" s="175"/>
      <c r="AL21" s="207">
        <v>150.791</v>
      </c>
      <c r="AM21" s="173"/>
      <c r="AN21" s="186"/>
      <c r="AO21" s="207">
        <v>153.33500000000001</v>
      </c>
      <c r="AP21" s="179"/>
      <c r="AQ21" s="180"/>
      <c r="AR21" s="37">
        <v>169.69135499999999</v>
      </c>
    </row>
    <row r="22" spans="1:47">
      <c r="A22" s="174" t="s">
        <v>320</v>
      </c>
      <c r="B22" s="41"/>
      <c r="C22" s="175"/>
      <c r="D22" s="176">
        <f>K9</f>
        <v>44.589194378546985</v>
      </c>
      <c r="E22" s="181"/>
      <c r="F22" s="182"/>
      <c r="G22" s="176">
        <f>G21</f>
        <v>44.183460548949483</v>
      </c>
      <c r="H22" s="181"/>
      <c r="I22" s="182"/>
      <c r="J22" s="176">
        <f>J21</f>
        <v>42.065009828513986</v>
      </c>
      <c r="K22" s="181"/>
      <c r="L22" s="182"/>
      <c r="M22" s="176">
        <f>M21</f>
        <v>39.796923153998563</v>
      </c>
      <c r="N22" s="181"/>
      <c r="O22" s="182"/>
      <c r="P22" s="176">
        <f>P21</f>
        <v>37.379200525403206</v>
      </c>
      <c r="Q22" s="181"/>
      <c r="R22" s="182"/>
      <c r="S22" s="185">
        <f>S21</f>
        <v>34.811841942727909</v>
      </c>
      <c r="T22" s="183"/>
      <c r="U22" s="184"/>
      <c r="V22" s="185">
        <f>V21</f>
        <v>32.094847405972693</v>
      </c>
      <c r="W22" s="179"/>
      <c r="X22" s="180"/>
      <c r="Y22" s="40">
        <f>Y21</f>
        <v>29.228216915137544</v>
      </c>
      <c r="Z22" s="4">
        <f>Y22/D22</f>
        <v>0.65549999999999986</v>
      </c>
      <c r="AI22" s="174" t="s">
        <v>340</v>
      </c>
      <c r="AJ22" s="41"/>
      <c r="AK22" s="175"/>
      <c r="AL22" s="207">
        <v>160.791</v>
      </c>
      <c r="AM22" s="173"/>
      <c r="AN22" s="186"/>
      <c r="AO22" s="207">
        <v>163.33500000000001</v>
      </c>
      <c r="AP22" s="179"/>
      <c r="AQ22" s="180"/>
      <c r="AR22" s="37">
        <v>175.69135499999999</v>
      </c>
    </row>
    <row r="23" spans="1:47" ht="57.6">
      <c r="A23" s="520" t="s">
        <v>511</v>
      </c>
      <c r="B23" s="521"/>
      <c r="C23" s="521"/>
      <c r="D23" s="521"/>
      <c r="E23" s="521"/>
      <c r="F23" s="521"/>
      <c r="G23" s="521"/>
      <c r="H23" s="521"/>
      <c r="I23" s="521"/>
      <c r="J23" s="521"/>
      <c r="K23" s="521"/>
      <c r="L23" s="521"/>
      <c r="M23" s="521"/>
      <c r="N23" s="521"/>
      <c r="O23" s="521"/>
      <c r="P23" s="521"/>
      <c r="Q23" s="521"/>
      <c r="R23" s="521"/>
      <c r="S23" s="521"/>
      <c r="T23" s="521"/>
      <c r="U23" s="521"/>
      <c r="V23" s="521"/>
      <c r="W23" s="521"/>
      <c r="X23" s="521"/>
      <c r="Y23" s="521"/>
      <c r="AI23" s="174"/>
      <c r="AJ23" s="186" t="s">
        <v>341</v>
      </c>
      <c r="AK23" s="186" t="s">
        <v>342</v>
      </c>
      <c r="AL23" s="186"/>
      <c r="AM23" s="186" t="s">
        <v>341</v>
      </c>
      <c r="AN23" s="186" t="s">
        <v>342</v>
      </c>
      <c r="AO23" s="186"/>
      <c r="AP23" s="186" t="s">
        <v>341</v>
      </c>
      <c r="AQ23" s="186" t="s">
        <v>342</v>
      </c>
      <c r="AR23" s="186"/>
      <c r="AS23" s="208"/>
      <c r="AT23" s="208"/>
      <c r="AU23" s="208"/>
    </row>
    <row r="24" spans="1:47">
      <c r="A24" s="555" t="s">
        <v>329</v>
      </c>
      <c r="B24" s="555"/>
      <c r="C24" s="555"/>
      <c r="D24" s="555"/>
      <c r="E24" s="555"/>
      <c r="F24" s="555"/>
      <c r="G24" s="555"/>
      <c r="H24" s="555"/>
      <c r="I24" s="555"/>
      <c r="J24" s="555"/>
      <c r="K24" s="555"/>
      <c r="L24" s="555"/>
      <c r="M24" s="555"/>
      <c r="N24" s="555"/>
      <c r="O24" s="555"/>
      <c r="P24" s="555"/>
      <c r="Q24" s="555"/>
      <c r="R24" s="555"/>
      <c r="S24" s="555"/>
      <c r="T24" s="555"/>
      <c r="U24" s="555"/>
      <c r="V24" s="555"/>
      <c r="W24" s="555"/>
      <c r="X24" s="555"/>
      <c r="Y24" s="555"/>
      <c r="AI24" s="554" t="s">
        <v>329</v>
      </c>
      <c r="AJ24" s="554"/>
      <c r="AK24" s="554"/>
      <c r="AL24" s="554"/>
      <c r="AM24" s="554"/>
      <c r="AN24" s="554"/>
      <c r="AO24" s="554"/>
      <c r="AP24" s="554"/>
      <c r="AQ24" s="554"/>
      <c r="AR24" s="554"/>
      <c r="AS24" s="76"/>
      <c r="AT24" s="76"/>
      <c r="AU24" s="76"/>
    </row>
    <row r="25" spans="1:47">
      <c r="A25" s="76"/>
      <c r="B25" s="551">
        <v>2019</v>
      </c>
      <c r="C25" s="551"/>
      <c r="D25" s="551"/>
      <c r="E25" s="553">
        <v>2020</v>
      </c>
      <c r="F25" s="553"/>
      <c r="G25" s="553"/>
      <c r="H25" s="553">
        <v>2025</v>
      </c>
      <c r="I25" s="553"/>
      <c r="J25" s="553"/>
      <c r="K25" s="553">
        <v>2030</v>
      </c>
      <c r="L25" s="553"/>
      <c r="M25" s="553"/>
      <c r="N25" s="553">
        <v>2035</v>
      </c>
      <c r="O25" s="553"/>
      <c r="P25" s="553"/>
      <c r="Q25" s="553">
        <v>2040</v>
      </c>
      <c r="R25" s="553"/>
      <c r="S25" s="553"/>
      <c r="T25" s="553">
        <v>2045</v>
      </c>
      <c r="U25" s="553"/>
      <c r="V25" s="553"/>
      <c r="W25" s="553">
        <v>2050</v>
      </c>
      <c r="X25" s="553"/>
      <c r="Y25" s="553"/>
      <c r="AI25" s="76"/>
      <c r="AJ25" s="551">
        <v>2015</v>
      </c>
      <c r="AK25" s="551"/>
      <c r="AL25" s="551"/>
      <c r="AM25" s="552">
        <v>2018</v>
      </c>
      <c r="AN25" s="552"/>
      <c r="AO25" s="552"/>
      <c r="AP25" s="553">
        <v>2050</v>
      </c>
      <c r="AQ25" s="553"/>
      <c r="AR25" s="553"/>
    </row>
    <row r="26" spans="1:47" ht="43.2">
      <c r="A26" s="76"/>
      <c r="B26" s="41" t="s">
        <v>326</v>
      </c>
      <c r="C26" s="41" t="s">
        <v>330</v>
      </c>
      <c r="D26" s="172" t="s">
        <v>331</v>
      </c>
      <c r="E26" s="173" t="s">
        <v>326</v>
      </c>
      <c r="F26" s="41" t="s">
        <v>330</v>
      </c>
      <c r="G26" s="172" t="s">
        <v>331</v>
      </c>
      <c r="H26" s="173" t="s">
        <v>326</v>
      </c>
      <c r="I26" s="41" t="s">
        <v>330</v>
      </c>
      <c r="J26" s="172" t="s">
        <v>331</v>
      </c>
      <c r="K26" s="173" t="s">
        <v>326</v>
      </c>
      <c r="L26" s="41" t="s">
        <v>330</v>
      </c>
      <c r="M26" s="172" t="s">
        <v>331</v>
      </c>
      <c r="N26" s="173" t="s">
        <v>326</v>
      </c>
      <c r="O26" s="41" t="s">
        <v>330</v>
      </c>
      <c r="P26" s="172" t="s">
        <v>331</v>
      </c>
      <c r="Q26" s="173" t="s">
        <v>326</v>
      </c>
      <c r="R26" s="41" t="s">
        <v>330</v>
      </c>
      <c r="S26" s="172" t="s">
        <v>331</v>
      </c>
      <c r="T26" s="173" t="s">
        <v>326</v>
      </c>
      <c r="U26" s="41" t="s">
        <v>330</v>
      </c>
      <c r="V26" s="172" t="s">
        <v>331</v>
      </c>
      <c r="W26" s="173" t="s">
        <v>326</v>
      </c>
      <c r="X26" s="41" t="s">
        <v>330</v>
      </c>
      <c r="Y26" s="172" t="s">
        <v>331</v>
      </c>
      <c r="AI26" s="76"/>
      <c r="AJ26" s="41" t="s">
        <v>326</v>
      </c>
      <c r="AK26" s="41" t="s">
        <v>330</v>
      </c>
      <c r="AL26" s="172" t="s">
        <v>331</v>
      </c>
      <c r="AM26" s="173" t="s">
        <v>326</v>
      </c>
      <c r="AN26" s="41" t="s">
        <v>330</v>
      </c>
      <c r="AO26" s="172" t="s">
        <v>331</v>
      </c>
      <c r="AP26" s="173" t="s">
        <v>326</v>
      </c>
      <c r="AQ26" s="41" t="s">
        <v>330</v>
      </c>
      <c r="AR26" s="172" t="s">
        <v>331</v>
      </c>
    </row>
    <row r="27" spans="1:47">
      <c r="A27" s="30" t="s">
        <v>332</v>
      </c>
      <c r="B27" s="36">
        <v>1</v>
      </c>
      <c r="C27" s="187">
        <v>1</v>
      </c>
      <c r="D27" s="188">
        <f>K12</f>
        <v>126.76700000000001</v>
      </c>
      <c r="E27" s="177">
        <f>$B27+($W27-$B27)*1/31</f>
        <v>1</v>
      </c>
      <c r="F27" s="178">
        <f>$C27+($X27-$C27)*1/31</f>
        <v>0.98844521123243512</v>
      </c>
      <c r="G27" s="189">
        <f>D27</f>
        <v>126.76700000000001</v>
      </c>
      <c r="H27" s="177">
        <f>$B27+($W27-$B27)*6/31</f>
        <v>1</v>
      </c>
      <c r="I27" s="178">
        <f>$C27+($X27-$C27)*6/31</f>
        <v>0.93067126739461081</v>
      </c>
      <c r="J27" s="189">
        <f>$D$27*H27*I27</f>
        <v>117.97840455381264</v>
      </c>
      <c r="K27" s="177">
        <f>$B27+($W27-$B27)*11/31</f>
        <v>1</v>
      </c>
      <c r="L27" s="178">
        <f>$C27+($X27-$C27)*11/31</f>
        <v>0.87289732355678651</v>
      </c>
      <c r="M27" s="189">
        <f>$D$27*K27*L27</f>
        <v>110.65457501532316</v>
      </c>
      <c r="N27" s="177">
        <f>$B27+($W27-$B27)*16/31</f>
        <v>1</v>
      </c>
      <c r="O27" s="178">
        <f>$C27+($X27-$C27)*16/31</f>
        <v>0.81512337971896209</v>
      </c>
      <c r="P27" s="189">
        <f>$D$27*N27*O27</f>
        <v>103.33074547683367</v>
      </c>
      <c r="Q27" s="177">
        <f>$B27+($W27-$B27)*21/31</f>
        <v>1</v>
      </c>
      <c r="R27" s="178">
        <f>$C27+($X27-$C27)*21/31</f>
        <v>0.75734943588113779</v>
      </c>
      <c r="S27" s="189">
        <f>$D$27*Q27*R27</f>
        <v>96.006915938344207</v>
      </c>
      <c r="T27" s="177">
        <f>$B27+($W27-$B27)*26/31</f>
        <v>1</v>
      </c>
      <c r="U27" s="178">
        <f>$C27+($X27-$C27)*26/31</f>
        <v>0.69957549204331348</v>
      </c>
      <c r="V27" s="189">
        <f>$D$27*T27*U27</f>
        <v>88.68308639985473</v>
      </c>
      <c r="W27" s="190">
        <v>1</v>
      </c>
      <c r="X27" s="191">
        <f>AA8</f>
        <v>0.64180154820548907</v>
      </c>
      <c r="Y27" s="192">
        <f>D27*W27*X27</f>
        <v>81.359256861365239</v>
      </c>
      <c r="AI27" s="36" t="s">
        <v>332</v>
      </c>
      <c r="AJ27" s="36">
        <v>1.1499999999999999</v>
      </c>
      <c r="AK27" s="187">
        <v>0.9</v>
      </c>
      <c r="AL27" s="209"/>
      <c r="AM27" s="190">
        <v>1.1499999999999999</v>
      </c>
      <c r="AN27" s="191">
        <v>0.9</v>
      </c>
      <c r="AO27" s="209">
        <v>8.93</v>
      </c>
      <c r="AP27" s="190">
        <v>1.1499999999999999</v>
      </c>
      <c r="AQ27" s="191">
        <v>0.9</v>
      </c>
      <c r="AR27" s="209">
        <v>9.24</v>
      </c>
    </row>
    <row r="28" spans="1:47">
      <c r="A28" s="30" t="s">
        <v>333</v>
      </c>
      <c r="B28" s="30">
        <v>1</v>
      </c>
      <c r="C28" s="30">
        <v>1</v>
      </c>
      <c r="D28" s="185">
        <f>K13</f>
        <v>0</v>
      </c>
      <c r="E28" s="177">
        <f>$B28+($W28-$B28)*1/31</f>
        <v>1</v>
      </c>
      <c r="F28" s="178">
        <f>$C28+($X28-$C28)*1/31</f>
        <v>0.99677419354838714</v>
      </c>
      <c r="G28" s="189"/>
      <c r="H28" s="177">
        <f>$B28+($W28-$B28)*6/31</f>
        <v>1</v>
      </c>
      <c r="I28" s="178">
        <f>$C28+($X28-$C28)*6/31</f>
        <v>0.98064516129032253</v>
      </c>
      <c r="J28" s="189">
        <f>$D$28*H28*I28</f>
        <v>0</v>
      </c>
      <c r="K28" s="177">
        <f>$B28+($W28-$B28)*11/31</f>
        <v>1</v>
      </c>
      <c r="L28" s="178">
        <f>$C28+($X28-$C28)*11/31</f>
        <v>0.96451612903225803</v>
      </c>
      <c r="M28" s="189">
        <f>$D$28*K28*L28</f>
        <v>0</v>
      </c>
      <c r="N28" s="177">
        <f>$B28+($W28-$B28)*16/31</f>
        <v>1</v>
      </c>
      <c r="O28" s="178">
        <f>$C28+($X28-$C28)*16/31</f>
        <v>0.94838709677419353</v>
      </c>
      <c r="P28" s="189">
        <f>$D$28*N28*O28</f>
        <v>0</v>
      </c>
      <c r="Q28" s="177">
        <f>$B28+($W28-$B28)*21/31</f>
        <v>1</v>
      </c>
      <c r="R28" s="178">
        <f>$C28+($X28-$C28)*21/31</f>
        <v>0.93225806451612903</v>
      </c>
      <c r="S28" s="189">
        <f>$D$28*Q28*R28</f>
        <v>0</v>
      </c>
      <c r="T28" s="177">
        <f>$B28+($W28-$B28)*26/31</f>
        <v>1</v>
      </c>
      <c r="U28" s="178">
        <f>$C28+($X28-$C28)*26/31</f>
        <v>0.91612903225806452</v>
      </c>
      <c r="V28" s="189">
        <f>$D$28*T28*U28</f>
        <v>0</v>
      </c>
      <c r="W28" s="30">
        <v>1</v>
      </c>
      <c r="X28" s="30">
        <v>0.9</v>
      </c>
      <c r="Y28" s="192">
        <f>D28*W28*X28</f>
        <v>0</v>
      </c>
      <c r="AI28" s="30" t="s">
        <v>333</v>
      </c>
      <c r="AJ28" s="30">
        <v>1.1499999999999999</v>
      </c>
      <c r="AK28" s="30">
        <v>0.9</v>
      </c>
      <c r="AL28" s="37"/>
      <c r="AM28" s="33">
        <v>1.1499999999999999</v>
      </c>
      <c r="AN28" s="30">
        <v>0.9</v>
      </c>
      <c r="AO28" s="37">
        <v>2.13</v>
      </c>
      <c r="AP28" s="30">
        <v>1.1499999999999999</v>
      </c>
      <c r="AQ28" s="30">
        <v>0.9</v>
      </c>
      <c r="AR28" s="37">
        <v>2.2000000000000002</v>
      </c>
    </row>
    <row r="29" spans="1:47">
      <c r="A29" s="30" t="s">
        <v>23</v>
      </c>
      <c r="B29" s="30"/>
      <c r="C29" s="30"/>
      <c r="D29" s="185">
        <f>SUM(D27:D28)</f>
        <v>126.76700000000001</v>
      </c>
      <c r="E29" s="193"/>
      <c r="F29" s="1"/>
      <c r="G29" s="185">
        <f>SUM(G27:G28)</f>
        <v>126.76700000000001</v>
      </c>
      <c r="H29" s="1"/>
      <c r="I29" s="1"/>
      <c r="J29" s="185">
        <f>SUM(J27:J28)</f>
        <v>117.97840455381264</v>
      </c>
      <c r="K29" s="1"/>
      <c r="L29" s="1"/>
      <c r="M29" s="185">
        <f>SUM(M27:M28)</f>
        <v>110.65457501532316</v>
      </c>
      <c r="N29" s="1"/>
      <c r="O29" s="1"/>
      <c r="P29" s="185">
        <f>SUM(P27:P28)</f>
        <v>103.33074547683367</v>
      </c>
      <c r="Q29" s="1"/>
      <c r="R29" s="1"/>
      <c r="S29" s="185">
        <f>SUM(S27:S28)</f>
        <v>96.006915938344207</v>
      </c>
      <c r="T29" s="1"/>
      <c r="U29" s="1"/>
      <c r="V29" s="185">
        <f>SUM(V27:V28)</f>
        <v>88.68308639985473</v>
      </c>
      <c r="W29" s="30"/>
      <c r="X29" s="30"/>
      <c r="Y29" s="40">
        <f>SUM(Y27:Y28)</f>
        <v>81.359256861365239</v>
      </c>
      <c r="Z29" t="s">
        <v>510</v>
      </c>
      <c r="AA29" s="429">
        <f>Y27/D29</f>
        <v>0.64180154820548907</v>
      </c>
      <c r="AI29" s="35" t="s">
        <v>23</v>
      </c>
      <c r="AJ29" s="30"/>
      <c r="AK29" s="30"/>
      <c r="AL29" s="37"/>
      <c r="AM29" s="33"/>
      <c r="AN29" s="30"/>
      <c r="AO29" s="37">
        <f>SUM(AO27:AO28)</f>
        <v>11.059999999999999</v>
      </c>
      <c r="AP29" s="30"/>
      <c r="AQ29" s="30"/>
      <c r="AR29" s="37">
        <f>SUM(AR27:AR28)</f>
        <v>11.440000000000001</v>
      </c>
    </row>
    <row r="30" spans="1:47">
      <c r="A30" s="528" t="s">
        <v>610</v>
      </c>
      <c r="B30" s="528"/>
      <c r="C30" s="528"/>
      <c r="D30" s="528"/>
      <c r="E30" s="528"/>
      <c r="F30" s="528"/>
      <c r="G30" s="528"/>
      <c r="H30" s="528"/>
      <c r="I30" s="528"/>
      <c r="J30" s="528"/>
      <c r="K30" s="528"/>
      <c r="L30" s="528"/>
      <c r="M30" s="528"/>
      <c r="N30" s="528"/>
      <c r="O30" s="528"/>
      <c r="P30" s="528"/>
      <c r="Q30" s="528"/>
      <c r="R30" s="528"/>
      <c r="S30" s="528"/>
      <c r="T30" s="528"/>
      <c r="U30" s="528"/>
      <c r="V30" s="528"/>
      <c r="W30" s="528"/>
      <c r="X30" s="528"/>
      <c r="Y30" s="528"/>
      <c r="AI30" s="35"/>
      <c r="AJ30" s="35"/>
      <c r="AK30" s="35"/>
      <c r="AL30" s="35"/>
      <c r="AM30" s="35"/>
      <c r="AN30" s="35"/>
      <c r="AO30" s="35"/>
      <c r="AP30" s="35"/>
      <c r="AQ30" s="35"/>
      <c r="AR30" s="35"/>
      <c r="AS30" s="35"/>
      <c r="AT30" s="35"/>
      <c r="AU30" s="35"/>
    </row>
    <row r="31" spans="1:47">
      <c r="A31" s="519" t="s">
        <v>144</v>
      </c>
      <c r="B31" s="519"/>
      <c r="C31" s="519"/>
      <c r="D31" s="519"/>
      <c r="E31" s="519"/>
      <c r="F31" s="519"/>
      <c r="G31" s="519"/>
      <c r="H31" s="519"/>
      <c r="I31" s="519"/>
      <c r="J31" s="519"/>
      <c r="K31" s="519"/>
      <c r="L31" s="519"/>
      <c r="M31" s="519"/>
    </row>
    <row r="32" spans="1:47">
      <c r="AI32" s="519" t="s">
        <v>145</v>
      </c>
      <c r="AJ32" s="519"/>
      <c r="AK32" s="519"/>
      <c r="AL32" s="519"/>
      <c r="AM32" s="519"/>
      <c r="AN32" s="519"/>
      <c r="AO32" s="519"/>
      <c r="AP32" s="519"/>
      <c r="AQ32" s="519"/>
      <c r="AR32" s="519"/>
      <c r="AS32" s="519"/>
      <c r="AT32" s="519"/>
      <c r="AU32" s="519"/>
    </row>
    <row r="33" spans="1:41">
      <c r="A33" s="35"/>
      <c r="B33" s="551">
        <v>2019</v>
      </c>
      <c r="C33" s="551"/>
      <c r="D33" s="551"/>
      <c r="E33" s="553">
        <v>2020</v>
      </c>
      <c r="F33" s="553"/>
      <c r="G33" s="553"/>
      <c r="H33" s="553">
        <v>2025</v>
      </c>
      <c r="I33" s="553"/>
      <c r="J33" s="553"/>
      <c r="K33" s="553">
        <v>2030</v>
      </c>
      <c r="L33" s="553"/>
      <c r="M33" s="553"/>
      <c r="N33" s="553">
        <v>2035</v>
      </c>
      <c r="O33" s="553"/>
      <c r="P33" s="553"/>
      <c r="Q33" s="553">
        <v>2040</v>
      </c>
      <c r="R33" s="553"/>
      <c r="S33" s="553"/>
      <c r="T33" s="553">
        <v>2045</v>
      </c>
      <c r="U33" s="553"/>
      <c r="V33" s="553"/>
      <c r="W33" s="553">
        <v>2050</v>
      </c>
      <c r="X33" s="553"/>
      <c r="Y33" s="553"/>
    </row>
    <row r="34" spans="1:41" ht="28.8">
      <c r="A34" s="35"/>
      <c r="B34" s="41" t="s">
        <v>326</v>
      </c>
      <c r="C34" s="41" t="s">
        <v>327</v>
      </c>
      <c r="D34" s="172" t="s">
        <v>328</v>
      </c>
      <c r="E34" s="173" t="s">
        <v>326</v>
      </c>
      <c r="F34" s="41" t="s">
        <v>327</v>
      </c>
      <c r="G34" s="172" t="s">
        <v>328</v>
      </c>
      <c r="H34" s="173" t="s">
        <v>326</v>
      </c>
      <c r="I34" s="41" t="s">
        <v>327</v>
      </c>
      <c r="J34" s="172" t="s">
        <v>328</v>
      </c>
      <c r="K34" s="173" t="s">
        <v>326</v>
      </c>
      <c r="L34" s="41" t="s">
        <v>327</v>
      </c>
      <c r="M34" s="172" t="s">
        <v>328</v>
      </c>
      <c r="N34" s="173" t="s">
        <v>326</v>
      </c>
      <c r="O34" s="41" t="s">
        <v>327</v>
      </c>
      <c r="P34" s="172" t="s">
        <v>328</v>
      </c>
      <c r="Q34" s="173" t="s">
        <v>326</v>
      </c>
      <c r="R34" s="41" t="s">
        <v>327</v>
      </c>
      <c r="S34" s="172" t="s">
        <v>328</v>
      </c>
      <c r="T34" s="173" t="s">
        <v>326</v>
      </c>
      <c r="U34" s="41" t="s">
        <v>327</v>
      </c>
      <c r="V34" s="172" t="s">
        <v>328</v>
      </c>
      <c r="W34" s="173" t="s">
        <v>326</v>
      </c>
      <c r="X34" s="41" t="s">
        <v>327</v>
      </c>
      <c r="Y34" s="172" t="s">
        <v>328</v>
      </c>
      <c r="AI34" s="35"/>
      <c r="AJ34" s="551">
        <v>2015</v>
      </c>
      <c r="AK34" s="551"/>
      <c r="AL34" s="551"/>
      <c r="AM34" s="553">
        <v>2050</v>
      </c>
      <c r="AN34" s="553"/>
      <c r="AO34" s="553"/>
    </row>
    <row r="35" spans="1:41" ht="28.8">
      <c r="A35" s="174" t="s">
        <v>314</v>
      </c>
      <c r="B35" s="41">
        <v>1</v>
      </c>
      <c r="C35" s="175">
        <v>1</v>
      </c>
      <c r="D35" s="166">
        <f>D19</f>
        <v>25.790990004775875</v>
      </c>
      <c r="E35" s="177">
        <f>$B35+($W35-$B35)*1/31</f>
        <v>1.0225806451612902</v>
      </c>
      <c r="F35" s="178">
        <f>$C35+($X35-$C35)*1/31</f>
        <v>0.99112903225806448</v>
      </c>
      <c r="G35" s="176">
        <f>D35*E35*F35</f>
        <v>26.139409908768592</v>
      </c>
      <c r="H35" s="177">
        <f>$B35+($W35-$B35)*6/31</f>
        <v>1.1354838709677419</v>
      </c>
      <c r="I35" s="178">
        <f>$C35+($X35-$C35)*6/31</f>
        <v>0.9467741935483871</v>
      </c>
      <c r="J35" s="176">
        <f>$D$35*H35*I35</f>
        <v>27.726521949775286</v>
      </c>
      <c r="K35" s="177">
        <f>$B35+($W35-$B35)*11/31</f>
        <v>1.2483870967741935</v>
      </c>
      <c r="L35" s="178">
        <f>$C35+($X35-$C35)*11/31</f>
        <v>0.90241935483870961</v>
      </c>
      <c r="M35" s="176">
        <f>$D$35*K35*L35</f>
        <v>29.05532152585381</v>
      </c>
      <c r="N35" s="177">
        <f>$B35+($W35-$B35)*16/31</f>
        <v>1.3612903225806452</v>
      </c>
      <c r="O35" s="178">
        <f>$C35+($X35-$C35)*16/31</f>
        <v>0.85806451612903223</v>
      </c>
      <c r="P35" s="176">
        <f>$D$35*N35*O35</f>
        <v>30.12580863700418</v>
      </c>
      <c r="Q35" s="177">
        <f>$B35+($W35-$B35)*21/31</f>
        <v>1.4741935483870967</v>
      </c>
      <c r="R35" s="178">
        <f>$C35+($X35-$C35)*21/31</f>
        <v>0.81370967741935485</v>
      </c>
      <c r="S35" s="176">
        <f>$D$35*Q35*R35</f>
        <v>30.937983283226369</v>
      </c>
      <c r="T35" s="177">
        <f>$B35+($W35-$B35)*26/31</f>
        <v>1.5870967741935482</v>
      </c>
      <c r="U35" s="178">
        <f>$C35+($X35-$C35)*26/31</f>
        <v>0.76935483870967736</v>
      </c>
      <c r="V35" s="176">
        <f>$D$35*T35*U35</f>
        <v>31.491845464520399</v>
      </c>
      <c r="W35" s="179">
        <v>1.7</v>
      </c>
      <c r="X35" s="180">
        <v>0.72499999999999998</v>
      </c>
      <c r="Y35" s="40">
        <f>D35*W35*X35</f>
        <v>31.787395180886264</v>
      </c>
      <c r="AI35" s="35"/>
      <c r="AJ35" s="41" t="s">
        <v>326</v>
      </c>
      <c r="AK35" s="41" t="s">
        <v>327</v>
      </c>
      <c r="AL35" s="172" t="s">
        <v>328</v>
      </c>
      <c r="AM35" s="173" t="s">
        <v>326</v>
      </c>
      <c r="AN35" s="41" t="s">
        <v>327</v>
      </c>
      <c r="AO35" s="172" t="s">
        <v>328</v>
      </c>
    </row>
    <row r="36" spans="1:41">
      <c r="A36" s="174" t="s">
        <v>316</v>
      </c>
      <c r="B36" s="41">
        <v>1</v>
      </c>
      <c r="C36" s="175">
        <v>1</v>
      </c>
      <c r="D36" s="166">
        <f>D20</f>
        <v>18.79820437377111</v>
      </c>
      <c r="E36" s="177">
        <f>$B36+($W36-$B36)*1/31</f>
        <v>1.0225806451612902</v>
      </c>
      <c r="F36" s="178">
        <f>$C36+($X36-$C36)*1/31</f>
        <v>0.99838709677419357</v>
      </c>
      <c r="G36" s="176">
        <f>$D$36*E36*F36</f>
        <v>19.19167563389432</v>
      </c>
      <c r="H36" s="177">
        <f>$B36+($W36-$B36)*6/31</f>
        <v>1.1354838709677419</v>
      </c>
      <c r="I36" s="178">
        <f>$C36+($X36-$C36)*6/31</f>
        <v>0.99032258064516132</v>
      </c>
      <c r="J36" s="176">
        <f>$D$36*H36*I36</f>
        <v>21.138492793415207</v>
      </c>
      <c r="K36" s="177">
        <f>$B36+($W36-$B36)*11/31</f>
        <v>1.2483870967741935</v>
      </c>
      <c r="L36" s="178">
        <f>$C36+($X36-$C36)*11/31</f>
        <v>0.98225806451612907</v>
      </c>
      <c r="M36" s="176">
        <f>$D$36*K36*L36</f>
        <v>23.051078051110803</v>
      </c>
      <c r="N36" s="177">
        <f>$B36+($W36-$B36)*16/31</f>
        <v>1.3612903225806452</v>
      </c>
      <c r="O36" s="178">
        <f>$C36+($X36-$C36)*16/31</f>
        <v>0.97419354838709671</v>
      </c>
      <c r="P36" s="176">
        <f>$D$36*N36*O36</f>
        <v>24.929431406981116</v>
      </c>
      <c r="Q36" s="177">
        <f>$B36+($W36-$B36)*21/31</f>
        <v>1.4741935483870967</v>
      </c>
      <c r="R36" s="178">
        <f>$C36+($X36-$C36)*21/31</f>
        <v>0.96612903225806446</v>
      </c>
      <c r="S36" s="176">
        <f>$D$36*Q36*R36</f>
        <v>26.773552861026143</v>
      </c>
      <c r="T36" s="177">
        <f>$B36+($W36-$B36)*26/31</f>
        <v>1.5870967741935482</v>
      </c>
      <c r="U36" s="178">
        <f>$C36+($X36-$C36)*26/31</f>
        <v>0.95806451612903221</v>
      </c>
      <c r="V36" s="176">
        <f>$D$36*T36*U36</f>
        <v>28.583442413245884</v>
      </c>
      <c r="W36" s="179">
        <v>1.7</v>
      </c>
      <c r="X36" s="180">
        <v>0.95</v>
      </c>
      <c r="Y36" s="40">
        <f>D36*W36*X36</f>
        <v>30.359100063640341</v>
      </c>
      <c r="AA36">
        <f>77/55.2</f>
        <v>1.394927536231884</v>
      </c>
      <c r="AI36" s="174" t="s">
        <v>338</v>
      </c>
      <c r="AJ36" s="41">
        <v>1.1499999999999999</v>
      </c>
      <c r="AK36" s="175">
        <v>0.62</v>
      </c>
      <c r="AL36" s="207">
        <v>250</v>
      </c>
      <c r="AM36" s="179">
        <v>1.1499999999999999</v>
      </c>
      <c r="AN36" s="180">
        <v>0.62</v>
      </c>
      <c r="AO36" s="37">
        <v>178.25</v>
      </c>
    </row>
    <row r="37" spans="1:41">
      <c r="A37" s="174" t="s">
        <v>318</v>
      </c>
      <c r="B37" s="41"/>
      <c r="C37" s="175"/>
      <c r="D37" s="166">
        <f>D21</f>
        <v>44.589194378546985</v>
      </c>
      <c r="E37" s="181"/>
      <c r="F37" s="182"/>
      <c r="G37" s="176">
        <f>SUM(G35:G36)</f>
        <v>45.331085542662912</v>
      </c>
      <c r="H37" s="181"/>
      <c r="I37" s="182"/>
      <c r="J37" s="176">
        <f>SUM(J35:J36)</f>
        <v>48.865014743190493</v>
      </c>
      <c r="K37" s="181"/>
      <c r="L37" s="182"/>
      <c r="M37" s="176">
        <f>SUM(M35:M36)</f>
        <v>52.106399576964613</v>
      </c>
      <c r="N37" s="181"/>
      <c r="O37" s="182"/>
      <c r="P37" s="176">
        <f>SUM(P35:P36)</f>
        <v>55.055240043985293</v>
      </c>
      <c r="Q37" s="181"/>
      <c r="R37" s="182"/>
      <c r="S37" s="176">
        <f>SUM(S35:S36)</f>
        <v>57.711536144252513</v>
      </c>
      <c r="T37" s="183"/>
      <c r="U37" s="184"/>
      <c r="V37" s="176">
        <f>SUM(V35:V36)</f>
        <v>60.075287877766286</v>
      </c>
      <c r="W37" s="179"/>
      <c r="X37" s="180"/>
      <c r="Y37" s="40">
        <f>SUM(Y35:Y36)</f>
        <v>62.146495244526605</v>
      </c>
      <c r="AI37" s="174" t="s">
        <v>339</v>
      </c>
      <c r="AJ37" s="41">
        <v>1.1499999999999999</v>
      </c>
      <c r="AK37" s="175">
        <v>0.95</v>
      </c>
      <c r="AL37" s="207">
        <v>4500</v>
      </c>
      <c r="AM37" s="179">
        <v>1.1499999999999999</v>
      </c>
      <c r="AN37" s="180">
        <v>0.95</v>
      </c>
      <c r="AO37" s="37">
        <v>4916.25</v>
      </c>
    </row>
    <row r="38" spans="1:41">
      <c r="A38" s="174" t="s">
        <v>320</v>
      </c>
      <c r="B38" s="41"/>
      <c r="C38" s="175"/>
      <c r="D38" s="166">
        <f>D22</f>
        <v>44.589194378546985</v>
      </c>
      <c r="E38" s="181"/>
      <c r="F38" s="182"/>
      <c r="G38" s="176">
        <f>G37+$K$9-$K$8</f>
        <v>45.331085542662912</v>
      </c>
      <c r="H38" s="181"/>
      <c r="I38" s="182"/>
      <c r="J38" s="176">
        <f>J37+$K$9-$K$8</f>
        <v>48.865014743190493</v>
      </c>
      <c r="K38" s="181"/>
      <c r="L38" s="182"/>
      <c r="M38" s="176">
        <f>M37+$K$9-$K$8</f>
        <v>52.106399576964613</v>
      </c>
      <c r="N38" s="181"/>
      <c r="O38" s="182"/>
      <c r="P38" s="176">
        <f>P37+$K$9-$K$8</f>
        <v>55.055240043985286</v>
      </c>
      <c r="Q38" s="181"/>
      <c r="R38" s="182"/>
      <c r="S38" s="185">
        <f>S37+$K$9-$K$8</f>
        <v>57.711536144252513</v>
      </c>
      <c r="T38" s="183"/>
      <c r="U38" s="184"/>
      <c r="V38" s="185">
        <f>V37+$K$9-$K$8</f>
        <v>60.075287877766293</v>
      </c>
      <c r="W38" s="179"/>
      <c r="X38" s="180"/>
      <c r="Y38" s="40">
        <f>Y37+$K$9-$K$8</f>
        <v>62.146495244526612</v>
      </c>
      <c r="Z38" s="4">
        <f>Y38/D38</f>
        <v>1.3937568532170408</v>
      </c>
      <c r="AI38" s="174" t="s">
        <v>23</v>
      </c>
      <c r="AJ38" s="41"/>
      <c r="AK38" s="175"/>
      <c r="AL38" s="207">
        <v>187</v>
      </c>
      <c r="AM38" s="179"/>
      <c r="AN38" s="180"/>
      <c r="AO38" s="37">
        <v>176.02475000000001</v>
      </c>
    </row>
    <row r="39" spans="1:41">
      <c r="A39" s="520" t="s">
        <v>623</v>
      </c>
      <c r="B39" s="521"/>
      <c r="C39" s="521"/>
      <c r="D39" s="521"/>
      <c r="E39" s="521"/>
      <c r="F39" s="521"/>
      <c r="G39" s="521"/>
      <c r="H39" s="521"/>
      <c r="I39" s="521"/>
      <c r="J39" s="521"/>
      <c r="K39" s="521"/>
      <c r="L39" s="521"/>
      <c r="M39" s="521"/>
      <c r="N39" s="521"/>
      <c r="O39" s="521"/>
      <c r="P39" s="521"/>
      <c r="Q39" s="521"/>
      <c r="R39" s="521"/>
      <c r="S39" s="521"/>
      <c r="T39" s="521"/>
      <c r="U39" s="521"/>
      <c r="V39" s="521"/>
      <c r="W39" s="521"/>
      <c r="X39" s="521"/>
      <c r="Y39" s="521"/>
      <c r="AI39" s="174" t="s">
        <v>340</v>
      </c>
      <c r="AJ39" s="41"/>
      <c r="AK39" s="175"/>
      <c r="AL39" s="207">
        <v>197</v>
      </c>
      <c r="AM39" s="179"/>
      <c r="AN39" s="180"/>
      <c r="AO39" s="37">
        <v>182.02475000000001</v>
      </c>
    </row>
    <row r="40" spans="1:41">
      <c r="A40" s="555" t="s">
        <v>329</v>
      </c>
      <c r="B40" s="555"/>
      <c r="C40" s="555"/>
      <c r="D40" s="555"/>
      <c r="E40" s="555"/>
      <c r="F40" s="555"/>
      <c r="G40" s="555"/>
      <c r="H40" s="555"/>
      <c r="I40" s="555"/>
      <c r="J40" s="555"/>
      <c r="K40" s="555"/>
      <c r="L40" s="555"/>
      <c r="M40" s="555"/>
      <c r="N40" s="555"/>
      <c r="O40" s="555"/>
      <c r="P40" s="555"/>
      <c r="Q40" s="555"/>
      <c r="R40" s="555"/>
      <c r="S40" s="555"/>
      <c r="T40" s="555"/>
      <c r="U40" s="555"/>
      <c r="V40" s="555"/>
      <c r="W40" s="555"/>
      <c r="X40" s="555"/>
      <c r="Y40" s="555"/>
    </row>
    <row r="41" spans="1:41">
      <c r="A41" s="194"/>
      <c r="B41" s="556">
        <v>2019</v>
      </c>
      <c r="C41" s="556"/>
      <c r="D41" s="556"/>
      <c r="E41" s="556"/>
      <c r="F41" s="557">
        <v>2020</v>
      </c>
      <c r="G41" s="557"/>
      <c r="H41" s="557"/>
      <c r="I41" s="557"/>
      <c r="J41" s="557">
        <v>2025</v>
      </c>
      <c r="K41" s="557"/>
      <c r="L41" s="557"/>
      <c r="M41" s="557"/>
      <c r="N41" s="557">
        <v>2030</v>
      </c>
      <c r="O41" s="557"/>
      <c r="P41" s="557"/>
      <c r="Q41" s="557"/>
      <c r="R41" s="558">
        <v>2035</v>
      </c>
      <c r="S41" s="558"/>
      <c r="T41" s="558"/>
      <c r="U41" s="558"/>
      <c r="V41" s="559">
        <v>2040</v>
      </c>
      <c r="W41" s="559"/>
      <c r="X41" s="559"/>
      <c r="Y41" s="559"/>
      <c r="Z41" s="549">
        <v>2045</v>
      </c>
      <c r="AA41" s="549"/>
      <c r="AB41" s="549"/>
      <c r="AC41" s="549"/>
      <c r="AD41" s="550">
        <v>2050</v>
      </c>
      <c r="AE41" s="550"/>
      <c r="AF41" s="550"/>
      <c r="AG41" s="550"/>
      <c r="AH41" s="195"/>
    </row>
    <row r="42" spans="1:41" ht="43.2">
      <c r="A42" s="194"/>
      <c r="B42" s="119" t="s">
        <v>326</v>
      </c>
      <c r="C42" s="196" t="s">
        <v>334</v>
      </c>
      <c r="D42" s="119" t="s">
        <v>330</v>
      </c>
      <c r="E42" s="197" t="s">
        <v>335</v>
      </c>
      <c r="F42" s="181" t="s">
        <v>326</v>
      </c>
      <c r="G42" s="196" t="s">
        <v>334</v>
      </c>
      <c r="H42" s="119" t="s">
        <v>330</v>
      </c>
      <c r="I42" s="197" t="s">
        <v>331</v>
      </c>
      <c r="J42" s="181" t="s">
        <v>326</v>
      </c>
      <c r="K42" s="196" t="s">
        <v>334</v>
      </c>
      <c r="L42" s="119" t="s">
        <v>330</v>
      </c>
      <c r="M42" s="197" t="s">
        <v>331</v>
      </c>
      <c r="N42" s="181" t="s">
        <v>326</v>
      </c>
      <c r="O42" s="196" t="s">
        <v>334</v>
      </c>
      <c r="P42" s="119" t="s">
        <v>330</v>
      </c>
      <c r="Q42" s="197" t="s">
        <v>331</v>
      </c>
      <c r="R42" s="181" t="s">
        <v>326</v>
      </c>
      <c r="S42" s="196" t="s">
        <v>334</v>
      </c>
      <c r="T42" s="119" t="s">
        <v>330</v>
      </c>
      <c r="U42" s="197" t="s">
        <v>331</v>
      </c>
      <c r="V42" s="181" t="s">
        <v>326</v>
      </c>
      <c r="W42" s="196" t="s">
        <v>334</v>
      </c>
      <c r="X42" s="119" t="s">
        <v>330</v>
      </c>
      <c r="Y42" s="197" t="s">
        <v>331</v>
      </c>
      <c r="Z42" s="181" t="s">
        <v>326</v>
      </c>
      <c r="AA42" s="196" t="s">
        <v>334</v>
      </c>
      <c r="AB42" s="119" t="s">
        <v>330</v>
      </c>
      <c r="AC42" s="197" t="s">
        <v>331</v>
      </c>
      <c r="AD42" s="181" t="s">
        <v>326</v>
      </c>
      <c r="AE42" s="198" t="s">
        <v>334</v>
      </c>
      <c r="AF42" s="119" t="s">
        <v>330</v>
      </c>
      <c r="AG42" s="197" t="s">
        <v>331</v>
      </c>
      <c r="AH42" s="4"/>
    </row>
    <row r="43" spans="1:41">
      <c r="A43" s="199" t="s">
        <v>336</v>
      </c>
      <c r="B43" s="199">
        <v>1</v>
      </c>
      <c r="C43" s="199">
        <v>0.98</v>
      </c>
      <c r="D43" s="199">
        <v>1</v>
      </c>
      <c r="E43" s="189">
        <f>K12</f>
        <v>126.76700000000001</v>
      </c>
      <c r="F43" s="200">
        <f>$B43+($AD43-$B43)*1/31</f>
        <v>1.0225806451612902</v>
      </c>
      <c r="G43" s="201">
        <f>$C43+($AE43-$C43)*1/31</f>
        <v>0.94838709677419353</v>
      </c>
      <c r="H43" s="160">
        <f>$D43+($AF43-$D43)*1/31</f>
        <v>0.99677419354838714</v>
      </c>
      <c r="I43" s="202">
        <f>$E43+($AG43-$E43)*1/31</f>
        <v>122.67774193548388</v>
      </c>
      <c r="J43" s="200">
        <f>$B43+($AD43-$B43)*6/31</f>
        <v>1.1354838709677419</v>
      </c>
      <c r="K43" s="201">
        <f>$C43+($AE43-$C43)*6/31</f>
        <v>0.79032258064516125</v>
      </c>
      <c r="L43" s="160">
        <f>$D43+($AF43-$D43)*6/31</f>
        <v>0.98064516129032253</v>
      </c>
      <c r="M43" s="202">
        <f>$E43+($AG43-$E43)*6/31</f>
        <v>102.23145161290323</v>
      </c>
      <c r="N43" s="200">
        <f>$B43+($AD43-$B43)*11/31</f>
        <v>1.2483870967741935</v>
      </c>
      <c r="O43" s="201">
        <f>$C43+($AE43-$C43)*11/31</f>
        <v>0.63225806451612909</v>
      </c>
      <c r="P43" s="160">
        <f>$D43+($AF43-$D43)*11/31</f>
        <v>0.96451612903225803</v>
      </c>
      <c r="Q43" s="202">
        <f>$E43+($AG43-$E43)*11/31</f>
        <v>81.785161290322577</v>
      </c>
      <c r="R43" s="200">
        <f>$B43+($AD43-$B43)*16/31</f>
        <v>1.3612903225806452</v>
      </c>
      <c r="S43" s="201">
        <f>$C43+($AE43-$C43)*16/31</f>
        <v>0.47419354838709682</v>
      </c>
      <c r="T43" s="160">
        <f>$D43+($AF43-$D43)*16/31</f>
        <v>0.94838709677419353</v>
      </c>
      <c r="U43" s="202">
        <f>$E43+($AG43-$E43)*16/31</f>
        <v>61.33887096774194</v>
      </c>
      <c r="V43" s="200">
        <f>$B43+($AD43-$B43)*21/31</f>
        <v>1.4741935483870967</v>
      </c>
      <c r="W43" s="201">
        <f>$C43+($AE43-$C43)*21/31</f>
        <v>0.31612903225806455</v>
      </c>
      <c r="X43" s="160">
        <f>$D43+($AF43-$D43)*21/31</f>
        <v>0.93225806451612903</v>
      </c>
      <c r="Y43" s="202">
        <f>$E43+($AG43-$E43)*21/31</f>
        <v>40.892580645161289</v>
      </c>
      <c r="Z43" s="200">
        <f>$B43+($AD43-$B43)*26/31</f>
        <v>1.5870967741935482</v>
      </c>
      <c r="AA43" s="201">
        <f>$C43+($AE43-$C43)*26/31</f>
        <v>0.15806451612903227</v>
      </c>
      <c r="AB43" s="160">
        <f>$D43+($AF43-$D43)*26/31</f>
        <v>0.91612903225806452</v>
      </c>
      <c r="AC43" s="202">
        <f>$E43+($AG43-$E43)*26/31</f>
        <v>20.446290322580637</v>
      </c>
      <c r="AD43" s="183">
        <v>1.7</v>
      </c>
      <c r="AE43" s="203">
        <v>0</v>
      </c>
      <c r="AF43" s="204">
        <v>0.9</v>
      </c>
      <c r="AG43" s="205">
        <f>E43*AD43*AE43*AF43</f>
        <v>0</v>
      </c>
      <c r="AH43" s="4"/>
    </row>
    <row r="44" spans="1:41">
      <c r="A44" s="1" t="s">
        <v>333</v>
      </c>
      <c r="B44" s="199">
        <v>1</v>
      </c>
      <c r="C44" s="199">
        <v>0.02</v>
      </c>
      <c r="D44" s="199">
        <v>1</v>
      </c>
      <c r="E44" s="185">
        <f>K13</f>
        <v>0</v>
      </c>
      <c r="F44" s="200">
        <f>$B44+($AD44-$B44)*1/31</f>
        <v>1.0225806451612902</v>
      </c>
      <c r="G44" s="201">
        <f>$C44+($AE44-$C44)*1/31</f>
        <v>2.2580645161290325E-2</v>
      </c>
      <c r="H44" s="160">
        <f>$D44+($AF44-$D44)*1/31</f>
        <v>0.99677419354838714</v>
      </c>
      <c r="I44" s="202">
        <f>$E44+($AG44-$E44)*1/31</f>
        <v>0</v>
      </c>
      <c r="J44" s="200">
        <f>$B44+($AD44-$B44)*6/31</f>
        <v>1.1354838709677419</v>
      </c>
      <c r="K44" s="201">
        <f>$C44+($AE44-$C44)*6/31</f>
        <v>3.5483870967741936E-2</v>
      </c>
      <c r="L44" s="160">
        <f>$D44+($AF44-$D44)*6/31</f>
        <v>0.98064516129032253</v>
      </c>
      <c r="M44" s="202">
        <f>$E44+($AG44-$E44)*6/31</f>
        <v>0</v>
      </c>
      <c r="N44" s="200">
        <f>$B44+($AD44-$B44)*11/31</f>
        <v>1.2483870967741935</v>
      </c>
      <c r="O44" s="201">
        <f>$C44+($AE44-$C44)*11/31</f>
        <v>4.8387096774193547E-2</v>
      </c>
      <c r="P44" s="160">
        <f>$D44+($AF44-$D44)*11/31</f>
        <v>0.96451612903225803</v>
      </c>
      <c r="Q44" s="202">
        <f>$E44+($AG44-$E44)*11/31</f>
        <v>0</v>
      </c>
      <c r="R44" s="200">
        <f>$B44+($AD44-$B44)*16/31</f>
        <v>1.3612903225806452</v>
      </c>
      <c r="S44" s="201">
        <f>$C44+($AE44-$C44)*16/31</f>
        <v>6.1290322580645165E-2</v>
      </c>
      <c r="T44" s="160">
        <f>$D44+($AF44-$D44)*16/31</f>
        <v>0.94838709677419353</v>
      </c>
      <c r="U44" s="202">
        <f>$E44+($AG44-$E44)*16/31</f>
        <v>0</v>
      </c>
      <c r="V44" s="200">
        <f>$B44+($AD44-$B44)*21/31</f>
        <v>1.4741935483870967</v>
      </c>
      <c r="W44" s="201">
        <f>$C44+($AE44-$C44)*21/31</f>
        <v>7.4193548387096769E-2</v>
      </c>
      <c r="X44" s="160">
        <f>$D44+($AF44-$D44)*21/31</f>
        <v>0.93225806451612903</v>
      </c>
      <c r="Y44" s="202">
        <f>$E44+($AG44-$E44)*21/31</f>
        <v>0</v>
      </c>
      <c r="Z44" s="200">
        <f>$B44+($AD44-$B44)*26/31</f>
        <v>1.5870967741935482</v>
      </c>
      <c r="AA44" s="201">
        <f>$C44+($AE44-$C44)*26/31</f>
        <v>8.7096774193548387E-2</v>
      </c>
      <c r="AB44" s="160">
        <f>$D44+($AF44-$D44)*26/31</f>
        <v>0.91612903225806452</v>
      </c>
      <c r="AC44" s="202">
        <f>$E44+($AG44-$E44)*26/31</f>
        <v>0</v>
      </c>
      <c r="AD44" s="183">
        <v>1.7</v>
      </c>
      <c r="AE44" s="203">
        <v>0.1</v>
      </c>
      <c r="AF44" s="1">
        <v>0.9</v>
      </c>
      <c r="AG44" s="206">
        <f>AD44*AE44*E44*AF44</f>
        <v>0</v>
      </c>
      <c r="AH44" s="4"/>
    </row>
    <row r="45" spans="1:41">
      <c r="A45" s="158" t="s">
        <v>337</v>
      </c>
      <c r="B45" s="199">
        <v>1</v>
      </c>
      <c r="C45" s="199">
        <v>0</v>
      </c>
      <c r="D45" s="199">
        <v>1</v>
      </c>
      <c r="E45" s="185">
        <v>0</v>
      </c>
      <c r="F45" s="200">
        <f>$B45+($AD45-$B45)*1/31</f>
        <v>1.0225806451612902</v>
      </c>
      <c r="G45" s="201">
        <f>$C45+($AE45-$C45)*1/31</f>
        <v>2.903225806451613E-2</v>
      </c>
      <c r="H45" s="160">
        <f>$D45+($AF45-$D45)*1/31</f>
        <v>0.99677419354838714</v>
      </c>
      <c r="I45" s="202">
        <f>$E45+($AG45-$E45)*1/31</f>
        <v>5.6309083548387102</v>
      </c>
      <c r="J45" s="200">
        <f>$B45+($AD45-$B45)*6/31</f>
        <v>1.1354838709677419</v>
      </c>
      <c r="K45" s="201">
        <f>$C45+($AE45-$C45)*6/31</f>
        <v>0.17419354838709677</v>
      </c>
      <c r="L45" s="160">
        <f>$D45+($AF45-$D45)*6/31</f>
        <v>0.98064516129032253</v>
      </c>
      <c r="M45" s="202">
        <f>$E45+($AG45-$E45)*6/31</f>
        <v>33.785450129032263</v>
      </c>
      <c r="N45" s="200">
        <f>$B45+($AD45-$B45)*11/31</f>
        <v>1.2483870967741935</v>
      </c>
      <c r="O45" s="201">
        <f>$C45+($AE45-$C45)*11/31</f>
        <v>0.31935483870967746</v>
      </c>
      <c r="P45" s="160">
        <f>$D45+($AF45-$D45)*11/31</f>
        <v>0.96451612903225803</v>
      </c>
      <c r="Q45" s="202">
        <f>$E45+($AG45-$E45)*11/31</f>
        <v>61.93999190322581</v>
      </c>
      <c r="R45" s="200">
        <f>$B45+($AD45-$B45)*16/31</f>
        <v>1.3612903225806452</v>
      </c>
      <c r="S45" s="201">
        <f>$C45+($AE45-$C45)*16/31</f>
        <v>0.46451612903225808</v>
      </c>
      <c r="T45" s="160">
        <f>$D45+($AF45-$D45)*16/31</f>
        <v>0.94838709677419353</v>
      </c>
      <c r="U45" s="202">
        <f>$E45+($AG45-$E45)*16/31</f>
        <v>90.094533677419363</v>
      </c>
      <c r="V45" s="200">
        <f>$B45+($AD45-$B45)*21/31</f>
        <v>1.4741935483870967</v>
      </c>
      <c r="W45" s="201">
        <f>$C45+($AE45-$C45)*21/31</f>
        <v>0.60967741935483877</v>
      </c>
      <c r="X45" s="160">
        <f>$D45+($AF45-$D45)*21/31</f>
        <v>0.93225806451612903</v>
      </c>
      <c r="Y45" s="202">
        <f>$E45+($AG45-$E45)*21/31</f>
        <v>118.24907545161291</v>
      </c>
      <c r="Z45" s="200">
        <f>$B45+($AD45-$B45)*26/31</f>
        <v>1.5870967741935482</v>
      </c>
      <c r="AA45" s="201">
        <f>$C45+($AE45-$C45)*26/31</f>
        <v>0.75483870967741939</v>
      </c>
      <c r="AB45" s="160">
        <f>$D45+($AF45-$D45)*26/31</f>
        <v>0.91612903225806452</v>
      </c>
      <c r="AC45" s="202">
        <f>$E45+($AG45-$E45)*26/31</f>
        <v>146.40361722580647</v>
      </c>
      <c r="AD45" s="183">
        <v>1.7</v>
      </c>
      <c r="AE45" s="203">
        <v>0.9</v>
      </c>
      <c r="AF45" s="1">
        <v>0.9</v>
      </c>
      <c r="AG45" s="185">
        <f>AD45*AE45*E43*AF45</f>
        <v>174.55815900000002</v>
      </c>
      <c r="AH45" s="4"/>
    </row>
    <row r="46" spans="1:41">
      <c r="A46" s="158" t="s">
        <v>23</v>
      </c>
      <c r="B46" s="497"/>
      <c r="C46" s="497">
        <v>1</v>
      </c>
      <c r="D46" s="497">
        <v>1</v>
      </c>
      <c r="E46" s="498">
        <f>SUM(E43:E44)</f>
        <v>126.76700000000001</v>
      </c>
      <c r="F46" s="499"/>
      <c r="G46" s="499">
        <v>1</v>
      </c>
      <c r="H46" s="212"/>
      <c r="I46" s="498">
        <f>SUM(I43:I45)</f>
        <v>128.30865029032259</v>
      </c>
      <c r="J46" s="212"/>
      <c r="K46" s="212">
        <v>1</v>
      </c>
      <c r="L46" s="212"/>
      <c r="M46" s="498">
        <f>SUM(M43:M45)</f>
        <v>136.0169017419355</v>
      </c>
      <c r="N46" s="212"/>
      <c r="O46" s="212">
        <v>1</v>
      </c>
      <c r="P46" s="212"/>
      <c r="Q46" s="498">
        <f>SUM(Q43:Q45)</f>
        <v>143.72515319354838</v>
      </c>
      <c r="R46" s="212"/>
      <c r="S46" s="212">
        <v>1</v>
      </c>
      <c r="T46" s="212"/>
      <c r="U46" s="498">
        <f>SUM(U43:U45)</f>
        <v>151.43340464516132</v>
      </c>
      <c r="V46" s="212"/>
      <c r="W46" s="212">
        <v>1</v>
      </c>
      <c r="X46" s="212"/>
      <c r="Y46" s="498">
        <f>SUM(Y43:Y45)</f>
        <v>159.1416560967742</v>
      </c>
      <c r="Z46" s="212"/>
      <c r="AA46" s="212">
        <v>1</v>
      </c>
      <c r="AB46" s="212"/>
      <c r="AC46" s="498">
        <f>SUM(AC43:AC45)</f>
        <v>166.84990754838711</v>
      </c>
      <c r="AD46" s="212"/>
      <c r="AE46" s="212">
        <v>1</v>
      </c>
      <c r="AF46" s="212"/>
      <c r="AG46" s="498">
        <f>SUM(AG43:AG45)</f>
        <v>174.55815900000002</v>
      </c>
      <c r="AH46" s="4"/>
    </row>
    <row r="47" spans="1:41">
      <c r="A47" s="560" t="s">
        <v>622</v>
      </c>
      <c r="B47" s="560"/>
      <c r="C47" s="560"/>
      <c r="D47" s="560"/>
      <c r="E47" s="560"/>
      <c r="F47" s="560"/>
      <c r="G47" s="560"/>
      <c r="H47" s="560"/>
      <c r="I47" s="560"/>
      <c r="J47" s="560"/>
      <c r="K47" s="560"/>
      <c r="L47" s="560"/>
      <c r="M47" s="560"/>
      <c r="N47" s="560"/>
      <c r="O47" s="560"/>
      <c r="P47" s="560"/>
      <c r="Q47" s="560"/>
      <c r="R47" s="560"/>
      <c r="S47" s="560"/>
      <c r="T47" s="560"/>
      <c r="U47" s="560"/>
      <c r="V47" s="560"/>
      <c r="W47" s="560"/>
      <c r="X47" s="560"/>
      <c r="Y47" s="560"/>
      <c r="Z47" s="560"/>
      <c r="AA47" s="560"/>
      <c r="AB47" s="560"/>
      <c r="AC47" s="560"/>
      <c r="AD47" s="560"/>
      <c r="AE47" s="560"/>
      <c r="AF47" s="560"/>
      <c r="AG47" s="560"/>
    </row>
    <row r="48" spans="1:41">
      <c r="AG48">
        <f>165/120</f>
        <v>1.375</v>
      </c>
    </row>
    <row r="49" spans="14:33">
      <c r="AG49">
        <f>AG46/E46</f>
        <v>1.377</v>
      </c>
    </row>
    <row r="56" spans="14:33">
      <c r="N56" s="208"/>
      <c r="O56" s="208"/>
      <c r="P56" s="208"/>
      <c r="Q56" s="208"/>
      <c r="R56" s="208"/>
      <c r="S56" s="35"/>
      <c r="T56" s="35"/>
      <c r="U56" s="35"/>
      <c r="V56" s="35"/>
      <c r="W56" s="35"/>
      <c r="X56" s="35"/>
      <c r="Y56" s="35"/>
    </row>
    <row r="57" spans="14:33">
      <c r="N57" s="76"/>
      <c r="O57" s="76"/>
      <c r="P57" s="76"/>
      <c r="Q57" s="76"/>
      <c r="R57" s="76"/>
      <c r="S57" s="76"/>
      <c r="T57" s="76"/>
      <c r="U57" s="76"/>
      <c r="V57" s="76"/>
      <c r="W57" s="76"/>
      <c r="X57" s="76"/>
      <c r="Y57" s="76"/>
    </row>
    <row r="63" spans="14:33">
      <c r="N63" s="35"/>
      <c r="O63" s="35"/>
      <c r="P63" s="35"/>
      <c r="Q63" s="35"/>
      <c r="R63" s="35"/>
      <c r="S63" s="35"/>
      <c r="T63" s="35"/>
      <c r="U63" s="35"/>
      <c r="V63" s="35"/>
      <c r="W63" s="35"/>
      <c r="X63" s="35"/>
      <c r="Y63" s="35"/>
    </row>
  </sheetData>
  <mergeCells count="52">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40:Y40"/>
    <mergeCell ref="B41:E41"/>
    <mergeCell ref="F41:I41"/>
    <mergeCell ref="J41:M41"/>
    <mergeCell ref="N41:Q41"/>
    <mergeCell ref="R41:U41"/>
    <mergeCell ref="V41:Y41"/>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A11" sqref="A11:J11"/>
    </sheetView>
  </sheetViews>
  <sheetFormatPr baseColWidth="10" defaultColWidth="8.88671875" defaultRowHeight="14.4"/>
  <cols>
    <col min="1" max="1" width="18.5546875" customWidth="1"/>
    <col min="2" max="1025" width="10.44140625" customWidth="1"/>
  </cols>
  <sheetData>
    <row r="2" spans="1:24">
      <c r="A2" s="519" t="s">
        <v>55</v>
      </c>
      <c r="B2" s="519"/>
      <c r="C2" s="519"/>
      <c r="D2" s="519"/>
      <c r="E2" s="519"/>
      <c r="F2" s="519"/>
      <c r="G2" s="519"/>
      <c r="H2" s="519"/>
      <c r="I2" s="519"/>
      <c r="P2" s="519" t="s">
        <v>141</v>
      </c>
      <c r="Q2" s="519"/>
      <c r="R2" s="519"/>
      <c r="S2" s="519"/>
      <c r="T2" s="519"/>
      <c r="U2" s="519"/>
      <c r="V2" s="519"/>
      <c r="W2" s="519"/>
      <c r="X2" s="519"/>
    </row>
    <row r="4" spans="1:24">
      <c r="B4" s="210">
        <v>2010</v>
      </c>
      <c r="C4" s="210">
        <v>2011</v>
      </c>
      <c r="D4" s="210">
        <v>2012</v>
      </c>
      <c r="E4" s="210">
        <v>2013</v>
      </c>
      <c r="F4" s="210">
        <v>2014</v>
      </c>
      <c r="G4" s="210">
        <v>2015</v>
      </c>
      <c r="H4" s="210">
        <v>2016</v>
      </c>
      <c r="I4" s="210">
        <v>2017</v>
      </c>
      <c r="J4" s="210">
        <v>2018</v>
      </c>
      <c r="K4" s="210">
        <v>2019</v>
      </c>
      <c r="L4" s="210">
        <v>2020</v>
      </c>
      <c r="M4" s="237" t="s">
        <v>389</v>
      </c>
      <c r="Q4" s="212">
        <v>2015</v>
      </c>
      <c r="R4" s="212">
        <v>2020</v>
      </c>
      <c r="S4" s="212">
        <v>2025</v>
      </c>
      <c r="T4" s="212">
        <v>2030</v>
      </c>
      <c r="U4" s="212">
        <v>2035</v>
      </c>
      <c r="V4" s="212">
        <v>2040</v>
      </c>
      <c r="W4" s="212">
        <v>2045</v>
      </c>
      <c r="X4" s="212">
        <v>2050</v>
      </c>
    </row>
    <row r="5" spans="1:24">
      <c r="A5" s="30" t="s">
        <v>313</v>
      </c>
      <c r="B5" s="39">
        <f>GES!V14</f>
        <v>0</v>
      </c>
      <c r="C5" s="39">
        <f>GES!W14</f>
        <v>0</v>
      </c>
      <c r="D5" s="39">
        <f>GES!X14</f>
        <v>0</v>
      </c>
      <c r="E5" s="39">
        <f>GES!Y14</f>
        <v>0</v>
      </c>
      <c r="F5" s="39">
        <f>GES!Z14</f>
        <v>0</v>
      </c>
      <c r="G5" s="39">
        <f>GES!AA14</f>
        <v>0</v>
      </c>
      <c r="H5" s="39">
        <f>GES!AB14</f>
        <v>0</v>
      </c>
      <c r="I5" s="39">
        <f>GES!AC14</f>
        <v>0</v>
      </c>
      <c r="J5" s="39">
        <f>GES!AD14</f>
        <v>0</v>
      </c>
      <c r="K5" s="39">
        <f>GES!AE14</f>
        <v>0</v>
      </c>
      <c r="L5" s="30"/>
      <c r="M5" s="287" t="s">
        <v>343</v>
      </c>
      <c r="P5" s="30" t="s">
        <v>313</v>
      </c>
      <c r="Q5" s="30">
        <v>8</v>
      </c>
      <c r="R5" s="30"/>
      <c r="S5" s="30"/>
      <c r="T5" s="30"/>
      <c r="U5" s="30"/>
      <c r="V5" s="30"/>
      <c r="W5" s="30"/>
      <c r="X5" s="30">
        <v>8</v>
      </c>
    </row>
    <row r="6" spans="1:24">
      <c r="G6" s="39"/>
      <c r="H6" s="25"/>
    </row>
    <row r="7" spans="1:24">
      <c r="A7" s="519" t="s">
        <v>140</v>
      </c>
      <c r="B7" s="519"/>
      <c r="C7" s="519"/>
      <c r="D7" s="519"/>
      <c r="E7" s="519"/>
      <c r="F7" s="519"/>
      <c r="G7" s="519"/>
      <c r="H7" s="519"/>
      <c r="I7" s="519"/>
    </row>
    <row r="8" spans="1:24">
      <c r="P8" s="519" t="s">
        <v>145</v>
      </c>
      <c r="Q8" s="519"/>
      <c r="R8" s="519"/>
      <c r="S8" s="519"/>
      <c r="T8" s="519"/>
      <c r="U8" s="519"/>
      <c r="V8" s="519"/>
      <c r="W8" s="519"/>
      <c r="X8" s="519"/>
    </row>
    <row r="9" spans="1:24">
      <c r="B9" s="210">
        <v>2019</v>
      </c>
      <c r="C9" s="210">
        <v>2020</v>
      </c>
      <c r="D9" s="210">
        <v>2025</v>
      </c>
      <c r="E9" s="210">
        <v>2030</v>
      </c>
      <c r="F9" s="210">
        <v>2035</v>
      </c>
      <c r="G9" s="210">
        <v>2040</v>
      </c>
      <c r="H9" s="210">
        <v>2045</v>
      </c>
      <c r="I9" s="30">
        <v>2050</v>
      </c>
      <c r="J9" s="237" t="s">
        <v>389</v>
      </c>
      <c r="K9" t="s">
        <v>405</v>
      </c>
    </row>
    <row r="10" spans="1:24">
      <c r="A10" s="30" t="s">
        <v>313</v>
      </c>
      <c r="B10" s="39">
        <f>K5</f>
        <v>0</v>
      </c>
      <c r="C10" s="146">
        <f>$B10+($I10-$B10)*1/31</f>
        <v>0</v>
      </c>
      <c r="D10" s="146">
        <f>$B10+($I10-$B10)*6/31</f>
        <v>0</v>
      </c>
      <c r="E10" s="146">
        <f>$B10+($I10-$B10)*11/31</f>
        <v>0</v>
      </c>
      <c r="F10" s="146">
        <f>$B10+($I10-$B10)*16/31</f>
        <v>0</v>
      </c>
      <c r="G10" s="146">
        <f>$B10+($I10-$B10)*21/31</f>
        <v>0</v>
      </c>
      <c r="H10" s="146">
        <f>$B10+($I10-$B10)*26/31</f>
        <v>0</v>
      </c>
      <c r="I10" s="160">
        <v>0</v>
      </c>
      <c r="J10" s="287"/>
      <c r="K10" t="s">
        <v>406</v>
      </c>
      <c r="Q10" s="210">
        <v>2015</v>
      </c>
      <c r="R10" s="210">
        <v>2020</v>
      </c>
      <c r="S10" s="210">
        <v>2025</v>
      </c>
      <c r="T10" s="210">
        <v>2030</v>
      </c>
      <c r="U10" s="210">
        <v>2035</v>
      </c>
      <c r="V10" s="210">
        <v>2040</v>
      </c>
      <c r="W10" s="210">
        <v>2045</v>
      </c>
      <c r="X10" s="210">
        <v>2050</v>
      </c>
    </row>
    <row r="11" spans="1:24" ht="26.4" customHeight="1">
      <c r="A11" s="547"/>
      <c r="B11" s="547"/>
      <c r="C11" s="547"/>
      <c r="D11" s="547"/>
      <c r="E11" s="547"/>
      <c r="F11" s="547"/>
      <c r="G11" s="547"/>
      <c r="H11" s="547"/>
      <c r="I11" s="547"/>
      <c r="J11" s="547"/>
      <c r="P11" s="30" t="s">
        <v>313</v>
      </c>
      <c r="Q11" s="30">
        <v>6</v>
      </c>
      <c r="R11" s="30"/>
      <c r="S11" s="30"/>
      <c r="T11" s="30"/>
      <c r="U11" s="30"/>
      <c r="V11" s="30"/>
      <c r="W11" s="30"/>
      <c r="X11" s="30">
        <v>0</v>
      </c>
    </row>
    <row r="13" spans="1:24">
      <c r="A13" s="519" t="s">
        <v>144</v>
      </c>
      <c r="B13" s="519"/>
      <c r="C13" s="519"/>
      <c r="D13" s="519"/>
      <c r="E13" s="519"/>
      <c r="F13" s="519"/>
      <c r="G13" s="519"/>
      <c r="H13" s="519"/>
      <c r="I13" s="519"/>
    </row>
    <row r="15" spans="1:24">
      <c r="B15" s="210">
        <v>2019</v>
      </c>
      <c r="C15" s="210">
        <v>2020</v>
      </c>
      <c r="D15" s="210">
        <v>2025</v>
      </c>
      <c r="E15" s="210">
        <v>2030</v>
      </c>
      <c r="F15" s="210">
        <v>2035</v>
      </c>
      <c r="G15" s="210">
        <v>2040</v>
      </c>
      <c r="H15" s="210">
        <v>2045</v>
      </c>
      <c r="I15" s="210">
        <v>2050</v>
      </c>
    </row>
    <row r="16" spans="1:24">
      <c r="A16" s="30" t="s">
        <v>313</v>
      </c>
      <c r="B16" s="39">
        <f>K5</f>
        <v>0</v>
      </c>
      <c r="C16" s="146">
        <f>$B16+($I16-$B16)*1/31</f>
        <v>0</v>
      </c>
      <c r="D16" s="146">
        <f>$B16+($I16-$B16)*6/31</f>
        <v>0</v>
      </c>
      <c r="E16" s="146">
        <f>$B16+($I16-$B16)*11/31</f>
        <v>0</v>
      </c>
      <c r="F16" s="146">
        <f>$B16+($I16-$B16)*16/31</f>
        <v>0</v>
      </c>
      <c r="G16" s="146">
        <f>$B16+($I16-$B16)*21/31</f>
        <v>0</v>
      </c>
      <c r="H16" s="146">
        <f>$B16+($I16-$B16)*26/31</f>
        <v>0</v>
      </c>
      <c r="I16" s="30">
        <v>0</v>
      </c>
    </row>
    <row r="17" spans="1:9">
      <c r="A17" s="540" t="s">
        <v>407</v>
      </c>
      <c r="B17" s="540"/>
      <c r="C17" s="540"/>
      <c r="D17" s="540"/>
      <c r="E17" s="540"/>
      <c r="F17" s="540"/>
      <c r="G17" s="540"/>
      <c r="H17" s="540"/>
      <c r="I17" s="540"/>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9"/>
  <sheetViews>
    <sheetView topLeftCell="A22" zoomScaleNormal="100" workbookViewId="0">
      <selection activeCell="J41" sqref="J41"/>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519" t="s">
        <v>55</v>
      </c>
      <c r="B2" s="519"/>
      <c r="C2" s="519"/>
      <c r="D2" s="519"/>
      <c r="E2" s="519"/>
      <c r="F2" s="519"/>
      <c r="G2" s="519"/>
      <c r="H2" s="519"/>
      <c r="I2" s="519"/>
    </row>
    <row r="4" spans="1:21">
      <c r="A4" s="35"/>
      <c r="B4" s="210">
        <v>2010</v>
      </c>
      <c r="C4" s="210">
        <v>2011</v>
      </c>
      <c r="D4" s="210">
        <v>2012</v>
      </c>
      <c r="E4" s="210">
        <v>2013</v>
      </c>
      <c r="F4" s="210">
        <v>2014</v>
      </c>
      <c r="G4" s="210">
        <v>2015</v>
      </c>
      <c r="H4" s="210">
        <v>2016</v>
      </c>
      <c r="I4" s="210">
        <v>2017</v>
      </c>
      <c r="J4" s="210">
        <v>2018</v>
      </c>
      <c r="K4" s="210">
        <v>2019</v>
      </c>
      <c r="L4" s="210">
        <v>2020</v>
      </c>
      <c r="M4" s="274" t="s">
        <v>389</v>
      </c>
      <c r="O4" t="s">
        <v>508</v>
      </c>
    </row>
    <row r="5" spans="1:21">
      <c r="A5" s="30" t="s">
        <v>448</v>
      </c>
      <c r="B5" s="30"/>
      <c r="C5" s="30"/>
      <c r="D5" s="30"/>
      <c r="E5" s="30"/>
      <c r="F5" s="30"/>
      <c r="G5" s="30"/>
      <c r="H5" s="30"/>
      <c r="I5" s="30"/>
      <c r="J5" s="30"/>
      <c r="K5" s="30">
        <f>K9/K7</f>
        <v>0.66548864282326947</v>
      </c>
      <c r="L5" s="30"/>
      <c r="M5" s="287" t="s">
        <v>213</v>
      </c>
      <c r="O5" t="s">
        <v>509</v>
      </c>
    </row>
    <row r="6" spans="1:21">
      <c r="A6" s="30" t="s">
        <v>447</v>
      </c>
      <c r="B6" s="30"/>
      <c r="C6" s="30"/>
      <c r="D6" s="30"/>
      <c r="E6" s="30"/>
      <c r="F6" s="30"/>
      <c r="G6" s="166">
        <f>'Cadrage macroéconomique '!G5/'Cadrage macroéconomique '!$K$5</f>
        <v>0.98238108944376479</v>
      </c>
      <c r="H6" s="166">
        <f>'Cadrage macroéconomique '!H5/'Cadrage macroéconomique '!$K$5</f>
        <v>0.98787867885155067</v>
      </c>
      <c r="I6" s="166">
        <f>'Cadrage macroéconomique '!I5/'Cadrage macroéconomique '!$K$5</f>
        <v>0.99237965028423403</v>
      </c>
      <c r="J6" s="166">
        <f>'Cadrage macroéconomique '!J5/'Cadrage macroéconomique '!$K$5</f>
        <v>0.99613585665971072</v>
      </c>
      <c r="K6" s="166">
        <f>'Cadrage macroéconomique '!K5/'Cadrage macroéconomique '!$K$5</f>
        <v>1</v>
      </c>
      <c r="L6" s="30"/>
      <c r="M6" s="287" t="s">
        <v>256</v>
      </c>
    </row>
    <row r="7" spans="1:21">
      <c r="A7" s="30" t="s">
        <v>346</v>
      </c>
      <c r="B7" s="30"/>
      <c r="C7" s="43"/>
      <c r="D7" s="30">
        <v>147</v>
      </c>
      <c r="E7" s="30"/>
      <c r="F7" s="30"/>
      <c r="G7" s="30"/>
      <c r="H7" s="166"/>
      <c r="I7" s="25"/>
      <c r="J7" s="25"/>
      <c r="K7" s="160">
        <f>D7</f>
        <v>147</v>
      </c>
      <c r="L7" s="160"/>
      <c r="M7" s="287" t="s">
        <v>512</v>
      </c>
    </row>
    <row r="8" spans="1:21">
      <c r="A8" s="30" t="s">
        <v>347</v>
      </c>
      <c r="B8" s="166">
        <f>'CH4'!W9/1000</f>
        <v>2.6826268109091886</v>
      </c>
      <c r="C8" s="166">
        <f>'CH4'!X9/1000</f>
        <v>2.8771125257547858</v>
      </c>
      <c r="D8" s="166">
        <f>'CH4'!Y9/1000</f>
        <v>3.0316934495555383</v>
      </c>
      <c r="E8" s="166">
        <f>'CH4'!Z9/1000</f>
        <v>3.1590059452072055</v>
      </c>
      <c r="F8" s="166">
        <f>'CH4'!AA9/1000</f>
        <v>3.2156002044136454</v>
      </c>
      <c r="G8" s="166">
        <f>'CH4'!AB9/1000</f>
        <v>3.4594049622729446</v>
      </c>
      <c r="H8" s="166">
        <f>'CH4'!AC9/1000</f>
        <v>3.5797776131679533</v>
      </c>
      <c r="I8" s="166">
        <f>'CH4'!AD9/1000</f>
        <v>3.6596053769175798</v>
      </c>
      <c r="J8" s="166">
        <f>'CH4'!AE9/1000</f>
        <v>3.7516788770876679</v>
      </c>
      <c r="K8" s="166">
        <f>'CH4'!AF9/1000</f>
        <v>3.9130732198008245</v>
      </c>
      <c r="L8" s="30"/>
      <c r="M8" s="287" t="s">
        <v>213</v>
      </c>
      <c r="P8" s="237" t="s">
        <v>513</v>
      </c>
      <c r="Q8" s="237">
        <v>2020</v>
      </c>
      <c r="R8" s="237">
        <v>2030</v>
      </c>
      <c r="S8" s="237">
        <v>2050</v>
      </c>
    </row>
    <row r="9" spans="1:21">
      <c r="A9" s="30" t="s">
        <v>348</v>
      </c>
      <c r="B9" s="30">
        <f t="shared" ref="B9:K9" si="0">B8*25</f>
        <v>67.065670272729719</v>
      </c>
      <c r="C9" s="30">
        <f t="shared" si="0"/>
        <v>71.927813143869642</v>
      </c>
      <c r="D9" s="30">
        <f t="shared" si="0"/>
        <v>75.792336238888453</v>
      </c>
      <c r="E9" s="30">
        <f t="shared" si="0"/>
        <v>78.975148630180144</v>
      </c>
      <c r="F9" s="30">
        <f t="shared" si="0"/>
        <v>80.390005110341136</v>
      </c>
      <c r="G9" s="30">
        <f t="shared" si="0"/>
        <v>86.485124056823608</v>
      </c>
      <c r="H9" s="30">
        <f t="shared" si="0"/>
        <v>89.494440329198838</v>
      </c>
      <c r="I9" s="30">
        <f t="shared" si="0"/>
        <v>91.490134422939491</v>
      </c>
      <c r="J9" s="30">
        <f t="shared" si="0"/>
        <v>93.791971927191696</v>
      </c>
      <c r="K9" s="30">
        <f t="shared" si="0"/>
        <v>97.826830495020616</v>
      </c>
      <c r="L9" s="30"/>
      <c r="M9" s="287"/>
      <c r="P9" s="237" t="s">
        <v>514</v>
      </c>
      <c r="Q9" s="339">
        <v>0</v>
      </c>
      <c r="R9" s="339">
        <v>7.0000000000000007E-2</v>
      </c>
      <c r="S9" s="339">
        <v>0.23</v>
      </c>
    </row>
    <row r="10" spans="1:21">
      <c r="A10" s="30" t="s">
        <v>349</v>
      </c>
      <c r="B10" s="39">
        <f>GES!V8</f>
        <v>71.249576387006911</v>
      </c>
      <c r="C10" s="39">
        <f>GES!W8</f>
        <v>76.115768769562763</v>
      </c>
      <c r="D10" s="39">
        <f>GES!X8</f>
        <v>80.028059898728813</v>
      </c>
      <c r="E10" s="39">
        <f>GES!Y8</f>
        <v>83.222161028257489</v>
      </c>
      <c r="F10" s="39">
        <f>GES!Z8</f>
        <v>84.674777004943849</v>
      </c>
      <c r="G10" s="39">
        <f>GES!AA8</f>
        <v>90.772506599342904</v>
      </c>
      <c r="H10" s="39">
        <f>GES!AB8</f>
        <v>93.796957702386464</v>
      </c>
      <c r="I10" s="39">
        <f>GES!AC8</f>
        <v>95.905061990401123</v>
      </c>
      <c r="J10" s="39">
        <f>GES!AD8</f>
        <v>98.275266576820897</v>
      </c>
      <c r="K10" s="39">
        <f>GES!AE8</f>
        <v>102.36293749569069</v>
      </c>
      <c r="L10" s="30"/>
      <c r="M10" s="287" t="s">
        <v>213</v>
      </c>
    </row>
    <row r="11" spans="1:21">
      <c r="A11" s="297" t="s">
        <v>402</v>
      </c>
      <c r="B11" s="298">
        <f t="shared" ref="B11:K11" si="1">B10/B9</f>
        <v>1.0623852128408304</v>
      </c>
      <c r="C11" s="298">
        <f t="shared" si="1"/>
        <v>1.0582244258881663</v>
      </c>
      <c r="D11" s="298">
        <f t="shared" si="1"/>
        <v>1.0558859097111066</v>
      </c>
      <c r="E11" s="298">
        <f t="shared" si="1"/>
        <v>1.0537765673346813</v>
      </c>
      <c r="F11" s="298">
        <f t="shared" si="1"/>
        <v>1.0532998087103185</v>
      </c>
      <c r="G11" s="298">
        <f t="shared" si="1"/>
        <v>1.0495736415860646</v>
      </c>
      <c r="H11" s="298">
        <f t="shared" si="1"/>
        <v>1.0480758062440654</v>
      </c>
      <c r="I11" s="298">
        <f t="shared" si="1"/>
        <v>1.0482557774705232</v>
      </c>
      <c r="J11" s="298">
        <f t="shared" si="1"/>
        <v>1.0478004093261784</v>
      </c>
      <c r="K11" s="298">
        <f t="shared" si="1"/>
        <v>1.0463687413536409</v>
      </c>
      <c r="L11" s="298">
        <f>AVERAGE(B11:K11)</f>
        <v>1.0523646300465574</v>
      </c>
      <c r="M11" s="287" t="s">
        <v>403</v>
      </c>
    </row>
    <row r="13" spans="1:21">
      <c r="A13" s="519" t="s">
        <v>140</v>
      </c>
      <c r="B13" s="519"/>
      <c r="C13" s="519"/>
      <c r="D13" s="519"/>
      <c r="E13" s="519"/>
      <c r="F13" s="519"/>
      <c r="G13" s="519"/>
      <c r="H13" s="519"/>
      <c r="I13" s="519"/>
      <c r="M13" s="519" t="s">
        <v>141</v>
      </c>
      <c r="N13" s="519"/>
      <c r="O13" s="519"/>
      <c r="P13" s="519"/>
      <c r="Q13" s="519"/>
      <c r="R13" s="519"/>
      <c r="S13" s="519"/>
      <c r="T13" s="519"/>
      <c r="U13" s="519"/>
    </row>
    <row r="15" spans="1:21">
      <c r="A15" s="35"/>
      <c r="B15" s="210">
        <v>2019</v>
      </c>
      <c r="C15" s="210">
        <v>2020</v>
      </c>
      <c r="D15" s="210">
        <v>2025</v>
      </c>
      <c r="E15" s="210">
        <v>2030</v>
      </c>
      <c r="F15" s="210">
        <v>2035</v>
      </c>
      <c r="G15" s="210">
        <v>2040</v>
      </c>
      <c r="H15" s="210">
        <v>2045</v>
      </c>
      <c r="I15" s="210">
        <v>2050</v>
      </c>
      <c r="J15" s="237" t="s">
        <v>389</v>
      </c>
      <c r="K15" t="s">
        <v>405</v>
      </c>
      <c r="M15" s="35"/>
      <c r="N15" s="210">
        <v>2015</v>
      </c>
      <c r="O15" s="210">
        <v>2017</v>
      </c>
      <c r="P15" s="210">
        <v>2025</v>
      </c>
      <c r="Q15" s="210">
        <v>2030</v>
      </c>
      <c r="R15" s="210">
        <v>2035</v>
      </c>
      <c r="S15" s="210">
        <v>2040</v>
      </c>
      <c r="T15" s="210">
        <v>2045</v>
      </c>
      <c r="U15" s="210">
        <v>2050</v>
      </c>
    </row>
    <row r="16" spans="1:21">
      <c r="A16" s="30" t="s">
        <v>450</v>
      </c>
      <c r="B16" s="211">
        <f>K5</f>
        <v>0.66548864282326947</v>
      </c>
      <c r="C16" s="211">
        <f t="shared" ref="C16:H16" si="2">$B$16*C17</f>
        <v>0.66548864282326947</v>
      </c>
      <c r="D16" s="211">
        <f t="shared" si="2"/>
        <v>0.66548864282326947</v>
      </c>
      <c r="E16" s="211">
        <f t="shared" si="2"/>
        <v>0.66548864282326947</v>
      </c>
      <c r="F16" s="211">
        <f t="shared" si="2"/>
        <v>0.66548864282326947</v>
      </c>
      <c r="G16" s="211">
        <f t="shared" si="2"/>
        <v>0.66548864282326947</v>
      </c>
      <c r="H16" s="211">
        <f t="shared" si="2"/>
        <v>0.66548864282326947</v>
      </c>
      <c r="I16" s="211">
        <f>$B$16*I17</f>
        <v>0.66548864282326947</v>
      </c>
      <c r="J16" s="287" t="s">
        <v>350</v>
      </c>
      <c r="K16" t="s">
        <v>405</v>
      </c>
      <c r="M16" s="30" t="s">
        <v>344</v>
      </c>
      <c r="N16" s="30">
        <v>1</v>
      </c>
      <c r="O16" s="30"/>
      <c r="P16" s="30"/>
      <c r="Q16" s="30"/>
      <c r="R16" s="30"/>
      <c r="S16" s="30"/>
      <c r="T16" s="30"/>
      <c r="U16" s="30">
        <v>0.9</v>
      </c>
    </row>
    <row r="17" spans="1:21" s="344" customFormat="1">
      <c r="A17" s="30" t="s">
        <v>449</v>
      </c>
      <c r="B17" s="211">
        <f>1</f>
        <v>1</v>
      </c>
      <c r="C17" s="160">
        <f>$B17+($I17-$B17)*1/31</f>
        <v>1</v>
      </c>
      <c r="D17" s="160">
        <f>$B17+($I17-$B17)*6/31</f>
        <v>1</v>
      </c>
      <c r="E17" s="160">
        <f>$B17+($I17-$B17)*11/31</f>
        <v>1</v>
      </c>
      <c r="F17" s="160">
        <f>$B17+($I17-$B17)*16/31</f>
        <v>1</v>
      </c>
      <c r="G17" s="160">
        <f>$B17+($I17-$B17)*21/31</f>
        <v>1</v>
      </c>
      <c r="H17" s="160">
        <f>$B17+($I17-$B17)*26/31</f>
        <v>1</v>
      </c>
      <c r="I17" s="211">
        <v>1</v>
      </c>
      <c r="J17" s="287"/>
      <c r="M17" s="30"/>
      <c r="N17" s="30"/>
      <c r="O17" s="30"/>
      <c r="P17" s="30"/>
      <c r="Q17" s="30"/>
      <c r="R17" s="30"/>
      <c r="S17" s="30"/>
      <c r="T17" s="30"/>
      <c r="U17" s="30"/>
    </row>
    <row r="18" spans="1:21">
      <c r="A18" s="30" t="s">
        <v>447</v>
      </c>
      <c r="B18" s="211">
        <f>K6</f>
        <v>1</v>
      </c>
      <c r="C18" s="39">
        <f>'Cadrage macroéconomique '!$B$15/'Cadrage macroéconomique '!$K$5*1000000</f>
        <v>1.0000000000000002</v>
      </c>
      <c r="D18" s="39">
        <f>'Cadrage macroéconomique '!$C$15/'Cadrage macroéconomique '!$K$5*1000000</f>
        <v>1.0367525365186732</v>
      </c>
      <c r="E18" s="39">
        <f>'Cadrage macroéconomique '!$D$15/'Cadrage macroéconomique '!$K$5*1000000</f>
        <v>1.064269266748219</v>
      </c>
      <c r="F18" s="39">
        <f>'Cadrage macroéconomique '!$E$15/'Cadrage macroéconomique '!$K$5*1000000</f>
        <v>1.0917859969777652</v>
      </c>
      <c r="G18" s="39">
        <f>'Cadrage macroéconomique '!$F$15/'Cadrage macroéconomique '!$K$5*1000000</f>
        <v>1.1193027272073111</v>
      </c>
      <c r="H18" s="39">
        <f>'Cadrage macroéconomique '!$G$15/'Cadrage macroéconomique '!$K$5*1000000</f>
        <v>1.1468194574368569</v>
      </c>
      <c r="I18" s="39">
        <f>'Cadrage macroéconomique '!$H$15/'Cadrage macroéconomique '!$K$5*1000000</f>
        <v>1.1743361876664027</v>
      </c>
      <c r="J18" s="287" t="s">
        <v>219</v>
      </c>
      <c r="K18" t="s">
        <v>405</v>
      </c>
      <c r="M18" s="30" t="s">
        <v>345</v>
      </c>
      <c r="N18" s="30"/>
      <c r="O18" s="30"/>
      <c r="P18" s="30"/>
      <c r="Q18" s="30"/>
      <c r="R18" s="30"/>
      <c r="S18" s="30"/>
      <c r="T18" s="30"/>
      <c r="U18" s="30"/>
    </row>
    <row r="19" spans="1:21">
      <c r="A19" s="30" t="s">
        <v>347</v>
      </c>
      <c r="B19" s="299">
        <f>K8</f>
        <v>3.9130732198008245</v>
      </c>
      <c r="C19" s="299">
        <f t="shared" ref="C19:I19" si="3">C18*C17*$B$19*C22</f>
        <v>3.9187534873779555</v>
      </c>
      <c r="D19" s="299">
        <f t="shared" si="3"/>
        <v>4.0922227771239639</v>
      </c>
      <c r="E19" s="299">
        <f t="shared" si="3"/>
        <v>4.2310622426712223</v>
      </c>
      <c r="F19" s="299">
        <f t="shared" si="3"/>
        <v>4.3714647321239992</v>
      </c>
      <c r="G19" s="299">
        <f t="shared" si="3"/>
        <v>4.5134302454822883</v>
      </c>
      <c r="H19" s="299">
        <f t="shared" si="3"/>
        <v>4.6569587827460923</v>
      </c>
      <c r="I19" s="299">
        <f t="shared" si="3"/>
        <v>4.802050343915413</v>
      </c>
      <c r="J19" s="287" t="s">
        <v>404</v>
      </c>
      <c r="K19" t="s">
        <v>405</v>
      </c>
      <c r="M19" s="30" t="s">
        <v>347</v>
      </c>
      <c r="N19" s="30">
        <v>3.1</v>
      </c>
      <c r="O19" s="30">
        <v>3.0350000000000001</v>
      </c>
      <c r="P19" s="30"/>
      <c r="Q19" s="30"/>
      <c r="R19" s="30"/>
      <c r="S19" s="30"/>
      <c r="T19" s="30"/>
      <c r="U19" s="30">
        <v>2.8</v>
      </c>
    </row>
    <row r="20" spans="1:21">
      <c r="A20" s="30" t="s">
        <v>348</v>
      </c>
      <c r="B20" s="39">
        <f>K9</f>
        <v>97.826830495020616</v>
      </c>
      <c r="C20" s="39">
        <f t="shared" ref="C20:I20" si="4">C19*25</f>
        <v>97.968837184448887</v>
      </c>
      <c r="D20" s="39">
        <f t="shared" si="4"/>
        <v>102.30556942809909</v>
      </c>
      <c r="E20" s="39">
        <f t="shared" si="4"/>
        <v>105.77655606678056</v>
      </c>
      <c r="F20" s="39">
        <f t="shared" si="4"/>
        <v>109.28661830309998</v>
      </c>
      <c r="G20" s="39">
        <f t="shared" si="4"/>
        <v>112.8357561370572</v>
      </c>
      <c r="H20" s="39">
        <f t="shared" si="4"/>
        <v>116.42396956865231</v>
      </c>
      <c r="I20" s="39">
        <f t="shared" si="4"/>
        <v>120.05125859788532</v>
      </c>
      <c r="J20" s="287"/>
      <c r="K20">
        <f>I20/B20</f>
        <v>1.2271813161113907</v>
      </c>
      <c r="M20" s="30" t="s">
        <v>348</v>
      </c>
      <c r="N20" s="30">
        <v>77.8</v>
      </c>
      <c r="O20" s="30">
        <v>75.875</v>
      </c>
      <c r="P20" s="30"/>
      <c r="Q20" s="30"/>
      <c r="R20" s="30"/>
      <c r="S20" s="30"/>
      <c r="T20" s="30"/>
      <c r="U20" s="30">
        <v>70</v>
      </c>
    </row>
    <row r="21" spans="1:21">
      <c r="A21" s="30" t="s">
        <v>349</v>
      </c>
      <c r="B21" s="146">
        <f>K10</f>
        <v>102.36293749569069</v>
      </c>
      <c r="C21" s="146">
        <f t="shared" ref="C21:I21" si="5">C20*$L11</f>
        <v>103.09893909970397</v>
      </c>
      <c r="D21" s="146">
        <f t="shared" si="5"/>
        <v>107.66276272290389</v>
      </c>
      <c r="E21" s="146">
        <f t="shared" si="5"/>
        <v>111.31550629281647</v>
      </c>
      <c r="F21" s="146">
        <f t="shared" si="5"/>
        <v>115.00937163958115</v>
      </c>
      <c r="G21" s="146">
        <f t="shared" si="5"/>
        <v>118.74435876319778</v>
      </c>
      <c r="H21" s="146">
        <f t="shared" si="5"/>
        <v>122.52046766366645</v>
      </c>
      <c r="I21" s="146">
        <f t="shared" si="5"/>
        <v>126.33769834098719</v>
      </c>
      <c r="J21" s="287" t="s">
        <v>401</v>
      </c>
      <c r="M21" s="30" t="s">
        <v>352</v>
      </c>
      <c r="N21" s="30">
        <v>93.8</v>
      </c>
      <c r="O21" s="30">
        <v>90.875</v>
      </c>
      <c r="P21" s="30"/>
      <c r="Q21" s="30"/>
      <c r="R21" s="30"/>
      <c r="S21" s="30"/>
      <c r="T21" s="30"/>
      <c r="U21" s="30">
        <v>80</v>
      </c>
    </row>
    <row r="22" spans="1:21" s="354" customFormat="1">
      <c r="A22" s="30" t="s">
        <v>516</v>
      </c>
      <c r="B22" s="160">
        <v>1</v>
      </c>
      <c r="C22" s="160">
        <f>$B$22+($I$22-$B$22)*1/31</f>
        <v>1.0014516129032258</v>
      </c>
      <c r="D22" s="160">
        <f>$B$22+($I$22-$B$22)*6/31</f>
        <v>1.0087096774193549</v>
      </c>
      <c r="E22" s="160">
        <f>$B$22+($I$22-$B$22)*11/31</f>
        <v>1.0159677419354838</v>
      </c>
      <c r="F22" s="160">
        <f>$B$22+($I$22-$B$22)*16/31</f>
        <v>1.0232258064516129</v>
      </c>
      <c r="G22" s="160">
        <f>$B$22+($I$22-$B$22)*21/31</f>
        <v>1.030483870967742</v>
      </c>
      <c r="H22" s="160">
        <f>$B$22+($I$22-$B$22)*26/31</f>
        <v>1.0377419354838708</v>
      </c>
      <c r="I22" s="160">
        <v>1.0449999999999999</v>
      </c>
      <c r="J22" s="287"/>
      <c r="M22" s="167"/>
      <c r="N22" s="167"/>
      <c r="O22" s="167"/>
      <c r="P22" s="167"/>
      <c r="Q22" s="167"/>
      <c r="R22" s="167"/>
      <c r="S22" s="167"/>
      <c r="T22" s="167"/>
      <c r="U22" s="167"/>
    </row>
    <row r="23" spans="1:21">
      <c r="A23" s="30" t="s">
        <v>353</v>
      </c>
      <c r="B23" s="299">
        <f>K7</f>
        <v>147</v>
      </c>
      <c r="C23" s="299">
        <f t="shared" ref="C23:H23" si="6">C20/C16</f>
        <v>147.21338709677423</v>
      </c>
      <c r="D23" s="299">
        <f t="shared" si="6"/>
        <v>153.73000055129097</v>
      </c>
      <c r="E23" s="299">
        <f t="shared" si="6"/>
        <v>158.94569683117962</v>
      </c>
      <c r="F23" s="299">
        <f t="shared" si="6"/>
        <v>164.22011026283238</v>
      </c>
      <c r="G23" s="299">
        <f t="shared" si="6"/>
        <v>169.55324084624903</v>
      </c>
      <c r="H23" s="299">
        <f t="shared" si="6"/>
        <v>174.9450885814297</v>
      </c>
      <c r="I23" s="299">
        <f>I20/I16</f>
        <v>180.39565346837443</v>
      </c>
      <c r="J23" s="287"/>
      <c r="M23" s="35"/>
      <c r="N23" s="35"/>
      <c r="O23" s="35"/>
      <c r="P23" s="35"/>
      <c r="Q23" s="35"/>
      <c r="R23" s="35"/>
      <c r="S23" s="35"/>
      <c r="T23" s="35"/>
      <c r="U23" s="35"/>
    </row>
    <row r="24" spans="1:21" ht="31.8" customHeight="1">
      <c r="A24" s="561" t="s">
        <v>515</v>
      </c>
      <c r="B24" s="561"/>
      <c r="C24" s="561"/>
      <c r="D24" s="561"/>
      <c r="E24" s="561"/>
      <c r="F24" s="561"/>
      <c r="G24" s="561"/>
      <c r="H24" s="561"/>
      <c r="I24" s="561"/>
      <c r="J24" s="561"/>
      <c r="M24" s="519" t="s">
        <v>145</v>
      </c>
      <c r="N24" s="519"/>
      <c r="O24" s="519"/>
      <c r="P24" s="519"/>
      <c r="Q24" s="519"/>
      <c r="R24" s="519"/>
      <c r="S24" s="519"/>
      <c r="T24" s="519"/>
      <c r="U24" s="519"/>
    </row>
    <row r="25" spans="1:21">
      <c r="A25" s="296"/>
      <c r="B25" s="296"/>
      <c r="C25" s="296"/>
      <c r="D25" s="296"/>
      <c r="E25" s="296"/>
      <c r="F25" s="296"/>
      <c r="G25" s="296"/>
      <c r="H25" s="296"/>
      <c r="I25" s="296"/>
      <c r="J25" s="296"/>
      <c r="M25" s="262"/>
      <c r="N25" s="262"/>
      <c r="O25" s="262"/>
      <c r="P25" s="262"/>
      <c r="Q25" s="262"/>
      <c r="R25" s="262"/>
      <c r="S25" s="262"/>
      <c r="T25" s="262"/>
      <c r="U25" s="262"/>
    </row>
    <row r="26" spans="1:21">
      <c r="A26" s="519" t="s">
        <v>144</v>
      </c>
      <c r="B26" s="519"/>
      <c r="C26" s="519"/>
      <c r="D26" s="519"/>
      <c r="E26" s="519"/>
      <c r="F26" s="519"/>
      <c r="G26" s="519"/>
      <c r="H26" s="519"/>
      <c r="I26" s="519"/>
    </row>
    <row r="27" spans="1:21">
      <c r="M27" s="35"/>
      <c r="N27" s="210">
        <v>2015</v>
      </c>
      <c r="O27" s="210">
        <v>2020</v>
      </c>
      <c r="P27" s="210">
        <v>2025</v>
      </c>
      <c r="Q27" s="210">
        <v>2030</v>
      </c>
      <c r="R27" s="210">
        <v>2035</v>
      </c>
      <c r="S27" s="210">
        <v>2040</v>
      </c>
      <c r="T27" s="210">
        <v>2045</v>
      </c>
      <c r="U27" s="210">
        <v>2050</v>
      </c>
    </row>
    <row r="28" spans="1:21">
      <c r="A28" s="158"/>
      <c r="B28" s="212">
        <v>2019</v>
      </c>
      <c r="C28" s="212">
        <v>2020</v>
      </c>
      <c r="D28" s="212">
        <v>2025</v>
      </c>
      <c r="E28" s="212">
        <v>2030</v>
      </c>
      <c r="F28" s="212">
        <v>2035</v>
      </c>
      <c r="G28" s="212">
        <v>2040</v>
      </c>
      <c r="H28" s="212">
        <v>2045</v>
      </c>
      <c r="I28" s="212">
        <v>2050</v>
      </c>
      <c r="J28" s="237" t="s">
        <v>389</v>
      </c>
      <c r="K28" t="s">
        <v>405</v>
      </c>
      <c r="M28" s="30" t="s">
        <v>344</v>
      </c>
      <c r="N28" s="30">
        <v>1</v>
      </c>
      <c r="O28" s="30"/>
      <c r="P28" s="30"/>
      <c r="Q28" s="30"/>
      <c r="R28" s="30"/>
      <c r="S28" s="30"/>
      <c r="T28" s="30"/>
      <c r="U28" s="30">
        <v>0.5</v>
      </c>
    </row>
    <row r="29" spans="1:21">
      <c r="A29" s="1" t="s">
        <v>344</v>
      </c>
      <c r="B29" s="160">
        <f>K5</f>
        <v>0.66548864282326947</v>
      </c>
      <c r="C29" s="160">
        <f t="shared" ref="C29:H29" si="7">$B$29*C30</f>
        <v>0.65260821747830289</v>
      </c>
      <c r="D29" s="160">
        <f t="shared" si="7"/>
        <v>0.58820609075347041</v>
      </c>
      <c r="E29" s="160">
        <f t="shared" si="7"/>
        <v>0.52380396402863794</v>
      </c>
      <c r="F29" s="160">
        <f t="shared" si="7"/>
        <v>0.45940183730380535</v>
      </c>
      <c r="G29" s="160">
        <f t="shared" si="7"/>
        <v>0.39499971057897282</v>
      </c>
      <c r="H29" s="160">
        <f t="shared" si="7"/>
        <v>0.33059758385414034</v>
      </c>
      <c r="I29" s="160">
        <f>$B$29*I30</f>
        <v>0.26619545712930781</v>
      </c>
      <c r="J29" s="287" t="s">
        <v>350</v>
      </c>
      <c r="K29" t="s">
        <v>405</v>
      </c>
      <c r="M29" s="30" t="s">
        <v>345</v>
      </c>
      <c r="N29" s="30"/>
      <c r="O29" s="30"/>
      <c r="P29" s="30"/>
      <c r="Q29" s="30"/>
      <c r="R29" s="30"/>
      <c r="S29" s="30"/>
      <c r="T29" s="30"/>
      <c r="U29" s="30"/>
    </row>
    <row r="30" spans="1:21" s="344" customFormat="1">
      <c r="A30" s="30" t="s">
        <v>449</v>
      </c>
      <c r="B30" s="160">
        <v>1</v>
      </c>
      <c r="C30" s="160">
        <f>$B30+($I30-$B30)*1/31</f>
        <v>0.98064516129032253</v>
      </c>
      <c r="D30" s="160">
        <f>$B30+($I30-$B30)*6/31</f>
        <v>0.88387096774193552</v>
      </c>
      <c r="E30" s="160">
        <f>$B30+($I30-$B30)*11/31</f>
        <v>0.7870967741935484</v>
      </c>
      <c r="F30" s="160">
        <f>$B30+($I30-$B30)*16/31</f>
        <v>0.69032258064516128</v>
      </c>
      <c r="G30" s="160">
        <f>$B30+($I30-$B30)*21/31</f>
        <v>0.59354838709677415</v>
      </c>
      <c r="H30" s="160">
        <f>$B30+($I30-$B30)*26/31</f>
        <v>0.49677419354838714</v>
      </c>
      <c r="I30" s="160">
        <v>0.4</v>
      </c>
      <c r="J30" s="287"/>
      <c r="M30" s="30"/>
      <c r="N30" s="30"/>
      <c r="O30" s="30"/>
      <c r="P30" s="30"/>
      <c r="Q30" s="30"/>
      <c r="R30" s="30"/>
      <c r="S30" s="30"/>
      <c r="T30" s="30"/>
      <c r="U30" s="30"/>
    </row>
    <row r="31" spans="1:21">
      <c r="A31" s="1" t="s">
        <v>345</v>
      </c>
      <c r="B31" s="160">
        <f>B18</f>
        <v>1</v>
      </c>
      <c r="C31" s="160">
        <f t="shared" ref="C31:I31" si="8">C18</f>
        <v>1.0000000000000002</v>
      </c>
      <c r="D31" s="160">
        <f t="shared" si="8"/>
        <v>1.0367525365186732</v>
      </c>
      <c r="E31" s="160">
        <f t="shared" si="8"/>
        <v>1.064269266748219</v>
      </c>
      <c r="F31" s="160">
        <f t="shared" si="8"/>
        <v>1.0917859969777652</v>
      </c>
      <c r="G31" s="160">
        <f t="shared" si="8"/>
        <v>1.1193027272073111</v>
      </c>
      <c r="H31" s="160">
        <f t="shared" si="8"/>
        <v>1.1468194574368569</v>
      </c>
      <c r="I31" s="160">
        <f t="shared" si="8"/>
        <v>1.1743361876664027</v>
      </c>
      <c r="J31" s="287" t="s">
        <v>219</v>
      </c>
      <c r="K31" t="s">
        <v>405</v>
      </c>
      <c r="M31" s="30" t="s">
        <v>347</v>
      </c>
      <c r="N31" s="30">
        <v>16.3</v>
      </c>
      <c r="O31" s="30"/>
      <c r="P31" s="30"/>
      <c r="Q31" s="30"/>
      <c r="R31" s="30"/>
      <c r="S31" s="30"/>
      <c r="T31" s="30"/>
      <c r="U31" s="30">
        <v>8.15</v>
      </c>
    </row>
    <row r="32" spans="1:21">
      <c r="A32" s="1" t="s">
        <v>354</v>
      </c>
      <c r="B32" s="30">
        <v>1</v>
      </c>
      <c r="C32" s="160">
        <f>$B32+($I32-$B32)*1/31</f>
        <v>0.98774193548387101</v>
      </c>
      <c r="D32" s="160">
        <f>$B32+($I32-$B32)*6/31</f>
        <v>0.92645161290322575</v>
      </c>
      <c r="E32" s="160">
        <f>$B32+($I32-$B32)*11/31</f>
        <v>0.86516129032258071</v>
      </c>
      <c r="F32" s="160">
        <f>$B32+($I32-$B32)*16/31</f>
        <v>0.80387096774193545</v>
      </c>
      <c r="G32" s="160">
        <f>$B32+($I32-$B32)*21/31</f>
        <v>0.7425806451612903</v>
      </c>
      <c r="H32" s="160">
        <f>$B32+($I32-$B32)*26/31</f>
        <v>0.68129032258064515</v>
      </c>
      <c r="I32" s="160">
        <v>0.62</v>
      </c>
      <c r="J32" s="287"/>
      <c r="K32" t="s">
        <v>405</v>
      </c>
      <c r="M32" s="30" t="s">
        <v>348</v>
      </c>
      <c r="N32" s="30">
        <v>407.5</v>
      </c>
      <c r="O32" s="30"/>
      <c r="P32" s="30"/>
      <c r="Q32" s="30"/>
      <c r="R32" s="30"/>
      <c r="S32" s="30"/>
      <c r="T32" s="30"/>
      <c r="U32" s="30">
        <v>203.75</v>
      </c>
    </row>
    <row r="33" spans="1:21">
      <c r="A33" s="1" t="s">
        <v>347</v>
      </c>
      <c r="B33" s="160">
        <f>K8</f>
        <v>3.9130732198008245</v>
      </c>
      <c r="C33" s="160">
        <f t="shared" ref="C33:H33" si="9">$B$33*C32*C31*C30</f>
        <v>3.7902980026068249</v>
      </c>
      <c r="D33" s="160">
        <f t="shared" si="9"/>
        <v>3.3220387319151676</v>
      </c>
      <c r="E33" s="160">
        <f t="shared" si="9"/>
        <v>2.8359247807916153</v>
      </c>
      <c r="F33" s="160">
        <f t="shared" si="9"/>
        <v>2.370794536941121</v>
      </c>
      <c r="G33" s="160">
        <f t="shared" si="9"/>
        <v>1.9304799299384947</v>
      </c>
      <c r="H33" s="160">
        <f t="shared" si="9"/>
        <v>1.5188128893585502</v>
      </c>
      <c r="I33" s="160">
        <f>$B$33*I32*I31*I30</f>
        <v>1.1396253447760982</v>
      </c>
      <c r="J33" s="287" t="s">
        <v>351</v>
      </c>
      <c r="K33" t="s">
        <v>405</v>
      </c>
      <c r="M33" s="30" t="s">
        <v>352</v>
      </c>
      <c r="N33" s="30">
        <f>SUM(N31:N32)</f>
        <v>423.8</v>
      </c>
      <c r="O33" s="30"/>
      <c r="P33" s="30"/>
      <c r="Q33" s="30"/>
      <c r="R33" s="30"/>
      <c r="S33" s="30"/>
      <c r="T33" s="30"/>
      <c r="U33" s="30">
        <f>SUM(U31:U32)</f>
        <v>211.9</v>
      </c>
    </row>
    <row r="34" spans="1:21">
      <c r="A34" s="1" t="s">
        <v>348</v>
      </c>
      <c r="B34" s="160">
        <f>K9</f>
        <v>97.826830495020616</v>
      </c>
      <c r="C34" s="160">
        <f t="shared" ref="C34:I34" si="10">C33*25</f>
        <v>94.757450065170616</v>
      </c>
      <c r="D34" s="160">
        <f t="shared" si="10"/>
        <v>83.050968297879194</v>
      </c>
      <c r="E34" s="160">
        <f t="shared" si="10"/>
        <v>70.898119519790384</v>
      </c>
      <c r="F34" s="160">
        <f t="shared" si="10"/>
        <v>59.269863423528022</v>
      </c>
      <c r="G34" s="160">
        <f t="shared" si="10"/>
        <v>48.261998248462369</v>
      </c>
      <c r="H34" s="160">
        <f t="shared" si="10"/>
        <v>37.970322233963756</v>
      </c>
      <c r="I34" s="160">
        <f t="shared" si="10"/>
        <v>28.490633619402455</v>
      </c>
      <c r="J34" s="287"/>
      <c r="K34" t="s">
        <v>405</v>
      </c>
    </row>
    <row r="35" spans="1:21">
      <c r="A35" s="1" t="s">
        <v>349</v>
      </c>
      <c r="B35" s="160">
        <f>K10</f>
        <v>102.36293749569069</v>
      </c>
      <c r="C35" s="160">
        <f t="shared" ref="C35:I35" si="11">C34*$L11</f>
        <v>99.719388881988422</v>
      </c>
      <c r="D35" s="160">
        <f t="shared" si="11"/>
        <v>87.399901527806009</v>
      </c>
      <c r="E35" s="160">
        <f t="shared" si="11"/>
        <v>74.610673319440821</v>
      </c>
      <c r="F35" s="160">
        <f t="shared" si="11"/>
        <v>62.373507894611052</v>
      </c>
      <c r="G35" s="160">
        <f t="shared" si="11"/>
        <v>50.789219932050706</v>
      </c>
      <c r="H35" s="160">
        <f t="shared" si="11"/>
        <v>39.958624110493844</v>
      </c>
      <c r="I35" s="160">
        <f t="shared" si="11"/>
        <v>29.982535108674476</v>
      </c>
      <c r="J35" s="287" t="s">
        <v>401</v>
      </c>
      <c r="K35" t="s">
        <v>405</v>
      </c>
    </row>
    <row r="36" spans="1:21">
      <c r="A36" s="30" t="s">
        <v>346</v>
      </c>
      <c r="B36" s="160">
        <f>K7</f>
        <v>147</v>
      </c>
      <c r="C36" s="160">
        <f t="shared" ref="C36:H36" si="12">C34/C29</f>
        <v>145.19806451612908</v>
      </c>
      <c r="D36" s="160">
        <f t="shared" si="12"/>
        <v>141.19365576696759</v>
      </c>
      <c r="E36" s="160">
        <f t="shared" si="12"/>
        <v>135.35239209437174</v>
      </c>
      <c r="F36" s="160">
        <f t="shared" si="12"/>
        <v>129.01529469576869</v>
      </c>
      <c r="G36" s="160">
        <f t="shared" si="12"/>
        <v>122.18236357115832</v>
      </c>
      <c r="H36" s="160">
        <f t="shared" si="12"/>
        <v>114.85359872054075</v>
      </c>
      <c r="I36" s="160">
        <f>I34/I29</f>
        <v>107.02900014391594</v>
      </c>
      <c r="J36" s="287"/>
      <c r="K36" t="s">
        <v>405</v>
      </c>
    </row>
    <row r="37" spans="1:21">
      <c r="A37" s="540" t="s">
        <v>624</v>
      </c>
      <c r="B37" s="540"/>
      <c r="C37" s="540"/>
      <c r="D37" s="540"/>
      <c r="E37" s="540"/>
      <c r="F37" s="540"/>
      <c r="G37" s="540"/>
      <c r="H37" s="540"/>
      <c r="I37" s="540"/>
      <c r="J37" s="540"/>
    </row>
    <row r="38" spans="1:21">
      <c r="I38">
        <f>I35/B35</f>
        <v>0.29290420773570214</v>
      </c>
    </row>
    <row r="39" spans="1:21">
      <c r="H39">
        <f>50.5/172</f>
        <v>0.29360465116279072</v>
      </c>
    </row>
  </sheetData>
  <mergeCells count="7">
    <mergeCell ref="A37:J37"/>
    <mergeCell ref="A2:I2"/>
    <mergeCell ref="A13:I13"/>
    <mergeCell ref="M13:U13"/>
    <mergeCell ref="M24:U24"/>
    <mergeCell ref="A26:I26"/>
    <mergeCell ref="A24:J24"/>
  </mergeCells>
  <pageMargins left="0.7" right="0.7" top="0.75" bottom="0.75" header="0.51180555555555496" footer="0.51180555555555496"/>
  <pageSetup paperSize="9" firstPageNumber="0"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topLeftCell="A4" zoomScaleNormal="100" workbookViewId="0">
      <selection activeCell="A16" sqref="A16:A17"/>
    </sheetView>
  </sheetViews>
  <sheetFormatPr baseColWidth="10" defaultColWidth="8.88671875" defaultRowHeight="14.4"/>
  <cols>
    <col min="1" max="1025" width="10.44140625" customWidth="1"/>
  </cols>
  <sheetData>
    <row r="2" spans="1:35">
      <c r="A2" s="548" t="s">
        <v>74</v>
      </c>
      <c r="B2" s="548"/>
      <c r="C2" s="548"/>
      <c r="D2" s="548"/>
      <c r="E2" s="548"/>
      <c r="F2" s="548"/>
      <c r="G2" s="548"/>
      <c r="H2" s="548"/>
      <c r="I2" s="548"/>
      <c r="J2" s="548"/>
      <c r="K2" s="548"/>
    </row>
    <row r="4" spans="1:35" ht="18">
      <c r="A4" s="46" t="s">
        <v>75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84">
      <c r="A5" s="48" t="s">
        <v>76</v>
      </c>
      <c r="B5" s="49">
        <v>1990</v>
      </c>
      <c r="C5" s="49">
        <v>1991</v>
      </c>
      <c r="D5" s="49">
        <v>1992</v>
      </c>
      <c r="E5" s="49">
        <v>1993</v>
      </c>
      <c r="F5" s="49">
        <v>1994</v>
      </c>
      <c r="G5" s="49">
        <v>1995</v>
      </c>
      <c r="H5" s="49">
        <v>1996</v>
      </c>
      <c r="I5" s="49">
        <v>1997</v>
      </c>
      <c r="J5" s="49">
        <v>1998</v>
      </c>
      <c r="K5" s="49">
        <v>1999</v>
      </c>
      <c r="L5" s="49">
        <v>2000</v>
      </c>
      <c r="M5" s="49">
        <v>2001</v>
      </c>
      <c r="N5" s="49">
        <v>2002</v>
      </c>
      <c r="O5" s="49">
        <v>2003</v>
      </c>
      <c r="P5" s="49">
        <v>2004</v>
      </c>
      <c r="Q5" s="49">
        <v>2005</v>
      </c>
      <c r="R5" s="49">
        <v>2006</v>
      </c>
      <c r="S5" s="49">
        <v>2007</v>
      </c>
      <c r="T5" s="49">
        <v>2008</v>
      </c>
      <c r="U5" s="49">
        <v>2009</v>
      </c>
      <c r="V5" s="49">
        <v>2010</v>
      </c>
      <c r="W5" s="49">
        <v>2011</v>
      </c>
      <c r="X5" s="49">
        <v>2012</v>
      </c>
      <c r="Y5" s="49">
        <v>2013</v>
      </c>
      <c r="Z5" s="49">
        <v>2014</v>
      </c>
      <c r="AA5" s="49">
        <v>2015</v>
      </c>
      <c r="AB5" s="49">
        <v>2016</v>
      </c>
      <c r="AC5" s="49">
        <v>2017</v>
      </c>
      <c r="AD5" s="49">
        <v>2018</v>
      </c>
      <c r="AE5" s="49">
        <v>2019</v>
      </c>
      <c r="AF5" s="50"/>
      <c r="AG5" s="51" t="s">
        <v>77</v>
      </c>
      <c r="AH5" s="52" t="s">
        <v>78</v>
      </c>
      <c r="AI5" s="52" t="s">
        <v>79</v>
      </c>
    </row>
    <row r="6" spans="1:35">
      <c r="A6" s="53" t="s">
        <v>80</v>
      </c>
      <c r="B6" s="357">
        <v>162.42664255526074</v>
      </c>
      <c r="C6" s="357">
        <v>165.60657340949629</v>
      </c>
      <c r="D6" s="357">
        <v>185.0202650113697</v>
      </c>
      <c r="E6" s="357">
        <v>196.0630471699767</v>
      </c>
      <c r="F6" s="357">
        <v>205.84472492846024</v>
      </c>
      <c r="G6" s="357">
        <v>196.56126907529838</v>
      </c>
      <c r="H6" s="357">
        <v>192.53236288852543</v>
      </c>
      <c r="I6" s="357">
        <v>183.71170514417787</v>
      </c>
      <c r="J6" s="357">
        <v>196.38442102726933</v>
      </c>
      <c r="K6" s="357">
        <v>257.4256181553215</v>
      </c>
      <c r="L6" s="357">
        <v>284.53583584695775</v>
      </c>
      <c r="M6" s="357">
        <v>314.55061800469025</v>
      </c>
      <c r="N6" s="357">
        <v>367.34601162375333</v>
      </c>
      <c r="O6" s="357">
        <v>373.66693697578086</v>
      </c>
      <c r="P6" s="357">
        <v>366.54799994763806</v>
      </c>
      <c r="Q6" s="357">
        <v>381.31180220541313</v>
      </c>
      <c r="R6" s="357">
        <v>385.44605120556383</v>
      </c>
      <c r="S6" s="357">
        <v>399.62829368939992</v>
      </c>
      <c r="T6" s="357">
        <v>406.15825426879638</v>
      </c>
      <c r="U6" s="357">
        <v>423.62420850265977</v>
      </c>
      <c r="V6" s="357">
        <v>370.13823238084331</v>
      </c>
      <c r="W6" s="357">
        <v>364.63372446877179</v>
      </c>
      <c r="X6" s="357">
        <v>368.89539151222334</v>
      </c>
      <c r="Y6" s="357">
        <v>369.98762662454391</v>
      </c>
      <c r="Z6" s="357">
        <v>345.41402907355626</v>
      </c>
      <c r="AA6" s="357">
        <v>356.74296071244987</v>
      </c>
      <c r="AB6" s="357">
        <v>345.84613823202528</v>
      </c>
      <c r="AC6" s="357">
        <v>352.38084618195853</v>
      </c>
      <c r="AD6" s="357">
        <v>353.00593924315353</v>
      </c>
      <c r="AE6" s="357">
        <v>355.15561307959109</v>
      </c>
      <c r="AF6" s="358"/>
      <c r="AG6" s="359" t="s">
        <v>80</v>
      </c>
      <c r="AH6" s="360">
        <v>1.1865600833235235</v>
      </c>
      <c r="AI6" s="360">
        <v>6.089625123720209E-3</v>
      </c>
    </row>
    <row r="7" spans="1:35">
      <c r="A7" s="53" t="s">
        <v>81</v>
      </c>
      <c r="B7" s="357">
        <v>0.72649128794519147</v>
      </c>
      <c r="C7" s="357">
        <v>0.74220098690399161</v>
      </c>
      <c r="D7" s="357">
        <v>0.75713268172387949</v>
      </c>
      <c r="E7" s="357">
        <v>0.77158186436146148</v>
      </c>
      <c r="F7" s="357">
        <v>0.90173087471090907</v>
      </c>
      <c r="G7" s="357">
        <v>1.3510404714280384</v>
      </c>
      <c r="H7" s="357">
        <v>1.8485381824419844</v>
      </c>
      <c r="I7" s="357">
        <v>1.9392398057761626</v>
      </c>
      <c r="J7" s="357">
        <v>2.0431661241874068</v>
      </c>
      <c r="K7" s="357">
        <v>2.1398196964324625</v>
      </c>
      <c r="L7" s="357">
        <v>2.1779332223484973</v>
      </c>
      <c r="M7" s="357">
        <v>2.2879701444381997</v>
      </c>
      <c r="N7" s="357">
        <v>2.4324169587695521</v>
      </c>
      <c r="O7" s="357">
        <v>2.7825059861340935</v>
      </c>
      <c r="P7" s="357">
        <v>2.9884019760730802</v>
      </c>
      <c r="Q7" s="357">
        <v>3.1700367268326364</v>
      </c>
      <c r="R7" s="357">
        <v>3.3554712885355178</v>
      </c>
      <c r="S7" s="357">
        <v>3.4887543757889863</v>
      </c>
      <c r="T7" s="357">
        <v>3.3916545862341176</v>
      </c>
      <c r="U7" s="357">
        <v>3.2905820978947107</v>
      </c>
      <c r="V7" s="357">
        <v>3.4351685420702855</v>
      </c>
      <c r="W7" s="357">
        <v>3.426410791747402</v>
      </c>
      <c r="X7" s="357">
        <v>3.2325611320090895</v>
      </c>
      <c r="Y7" s="357">
        <v>3.2039500060254946</v>
      </c>
      <c r="Z7" s="357">
        <v>3.1267524348165887</v>
      </c>
      <c r="AA7" s="357">
        <v>3.0353294170492546</v>
      </c>
      <c r="AB7" s="357">
        <v>3.011849980612602</v>
      </c>
      <c r="AC7" s="357">
        <v>3.0195631380786319</v>
      </c>
      <c r="AD7" s="357">
        <v>2.3117825368295191</v>
      </c>
      <c r="AE7" s="357">
        <v>2.231163316408789</v>
      </c>
      <c r="AF7" s="358"/>
      <c r="AG7" s="361" t="s">
        <v>81</v>
      </c>
      <c r="AH7" s="360">
        <v>2.0711494458789907</v>
      </c>
      <c r="AI7" s="360">
        <v>-3.4873185144522666E-2</v>
      </c>
    </row>
    <row r="8" spans="1:35">
      <c r="A8" s="53" t="s">
        <v>82</v>
      </c>
      <c r="B8" s="357">
        <v>50.260678760261037</v>
      </c>
      <c r="C8" s="357">
        <v>53.155038568755707</v>
      </c>
      <c r="D8" s="357">
        <v>58.608372049156515</v>
      </c>
      <c r="E8" s="357">
        <v>65.795996549812159</v>
      </c>
      <c r="F8" s="357">
        <v>44.305205475300156</v>
      </c>
      <c r="G8" s="357">
        <v>47.543415363502788</v>
      </c>
      <c r="H8" s="357">
        <v>50.233249508371678</v>
      </c>
      <c r="I8" s="357">
        <v>52.122501800006475</v>
      </c>
      <c r="J8" s="357">
        <v>53.863482658497333</v>
      </c>
      <c r="K8" s="357">
        <v>55.437826500895099</v>
      </c>
      <c r="L8" s="357">
        <v>56.904297435672774</v>
      </c>
      <c r="M8" s="357">
        <v>58.029779795603808</v>
      </c>
      <c r="N8" s="357">
        <v>59.144096623682479</v>
      </c>
      <c r="O8" s="357">
        <v>59.958791615009254</v>
      </c>
      <c r="P8" s="357">
        <v>59.27771379375671</v>
      </c>
      <c r="Q8" s="357">
        <v>59.670630463012898</v>
      </c>
      <c r="R8" s="357">
        <v>59.919507681851009</v>
      </c>
      <c r="S8" s="357">
        <v>60.849443494683534</v>
      </c>
      <c r="T8" s="357">
        <v>61.888363161235496</v>
      </c>
      <c r="U8" s="357">
        <v>64.986487573427766</v>
      </c>
      <c r="V8" s="357">
        <v>71.249576387006911</v>
      </c>
      <c r="W8" s="357">
        <v>76.115768769562763</v>
      </c>
      <c r="X8" s="357">
        <v>80.028059898728813</v>
      </c>
      <c r="Y8" s="357">
        <v>83.222161028257489</v>
      </c>
      <c r="Z8" s="357">
        <v>84.674777004943849</v>
      </c>
      <c r="AA8" s="357">
        <v>90.772506599342904</v>
      </c>
      <c r="AB8" s="357">
        <v>93.796957702386464</v>
      </c>
      <c r="AC8" s="357">
        <v>95.905061990401123</v>
      </c>
      <c r="AD8" s="357">
        <v>98.275266576820897</v>
      </c>
      <c r="AE8" s="357">
        <v>102.36293749569069</v>
      </c>
      <c r="AF8" s="358"/>
      <c r="AG8" s="362" t="s">
        <v>82</v>
      </c>
      <c r="AH8" s="360">
        <v>1.0366405711302227</v>
      </c>
      <c r="AI8" s="360">
        <v>4.1594096472630723E-2</v>
      </c>
    </row>
    <row r="9" spans="1:35">
      <c r="A9" s="53" t="s">
        <v>83</v>
      </c>
      <c r="B9" s="357">
        <v>56.378774575944639</v>
      </c>
      <c r="C9" s="357">
        <v>56.608636626802891</v>
      </c>
      <c r="D9" s="357">
        <v>57.084088979252613</v>
      </c>
      <c r="E9" s="357">
        <v>56.673099937215966</v>
      </c>
      <c r="F9" s="357">
        <v>60.965725310735039</v>
      </c>
      <c r="G9" s="357">
        <v>94.223641667698004</v>
      </c>
      <c r="H9" s="357">
        <v>58.079263467718988</v>
      </c>
      <c r="I9" s="357">
        <v>57.397203158462794</v>
      </c>
      <c r="J9" s="357">
        <v>58.520670761439291</v>
      </c>
      <c r="K9" s="357">
        <v>61.075925186797058</v>
      </c>
      <c r="L9" s="357">
        <v>61.57989629080425</v>
      </c>
      <c r="M9" s="357">
        <v>62.493894516783271</v>
      </c>
      <c r="N9" s="357">
        <v>61.339759755362252</v>
      </c>
      <c r="O9" s="357">
        <v>65.704189513641452</v>
      </c>
      <c r="P9" s="357">
        <v>68.460260147242892</v>
      </c>
      <c r="Q9" s="357">
        <v>69.055699975859454</v>
      </c>
      <c r="R9" s="357">
        <v>69.806508396873525</v>
      </c>
      <c r="S9" s="357">
        <v>71.680495744794939</v>
      </c>
      <c r="T9" s="357">
        <v>73.644020269204688</v>
      </c>
      <c r="U9" s="357">
        <v>72.373172677981302</v>
      </c>
      <c r="V9" s="357">
        <v>77.283393381862794</v>
      </c>
      <c r="W9" s="357">
        <v>82.185646656425163</v>
      </c>
      <c r="X9" s="357">
        <v>80.723895537259892</v>
      </c>
      <c r="Y9" s="357">
        <v>84.719009095208861</v>
      </c>
      <c r="Z9" s="357">
        <v>81.460634327060518</v>
      </c>
      <c r="AA9" s="357">
        <v>81.896242113733081</v>
      </c>
      <c r="AB9" s="357">
        <v>77.530666697064831</v>
      </c>
      <c r="AC9" s="357">
        <v>79.937036210700526</v>
      </c>
      <c r="AD9" s="357">
        <v>80.448087593770964</v>
      </c>
      <c r="AE9" s="357">
        <v>77.175817048916784</v>
      </c>
      <c r="AF9" s="358"/>
      <c r="AG9" s="363" t="s">
        <v>84</v>
      </c>
      <c r="AH9" s="360">
        <v>0.36888071139179573</v>
      </c>
      <c r="AI9" s="360">
        <v>-4.0675554170756321E-2</v>
      </c>
    </row>
    <row r="10" spans="1:35">
      <c r="A10" s="53" t="s">
        <v>4</v>
      </c>
      <c r="B10" s="357">
        <v>62.680495746385155</v>
      </c>
      <c r="C10" s="357">
        <v>63.078438270510574</v>
      </c>
      <c r="D10" s="357">
        <v>63.655722558776603</v>
      </c>
      <c r="E10" s="357">
        <v>63.827393009761366</v>
      </c>
      <c r="F10" s="357">
        <v>64.022073799787023</v>
      </c>
      <c r="G10" s="357">
        <v>66.358237923116832</v>
      </c>
      <c r="H10" s="357">
        <v>63.827839484492799</v>
      </c>
      <c r="I10" s="357">
        <v>62.699916560962791</v>
      </c>
      <c r="J10" s="357">
        <v>61.663717836338414</v>
      </c>
      <c r="K10" s="357">
        <v>60.567402403790524</v>
      </c>
      <c r="L10" s="357">
        <v>58.947155706558313</v>
      </c>
      <c r="M10" s="357">
        <v>58.038209946159832</v>
      </c>
      <c r="N10" s="357">
        <v>58.357755121676014</v>
      </c>
      <c r="O10" s="357">
        <v>56.820249625780555</v>
      </c>
      <c r="P10" s="357">
        <v>56.438269771688155</v>
      </c>
      <c r="Q10" s="357">
        <v>54.495362074960568</v>
      </c>
      <c r="R10" s="357">
        <v>53.622761021329318</v>
      </c>
      <c r="S10" s="357">
        <v>52.662567420648614</v>
      </c>
      <c r="T10" s="357">
        <v>51.55014319761014</v>
      </c>
      <c r="U10" s="357">
        <v>50.101624283043989</v>
      </c>
      <c r="V10" s="357">
        <v>48.521021975170861</v>
      </c>
      <c r="W10" s="357">
        <v>47.574404278706403</v>
      </c>
      <c r="X10" s="357">
        <v>46.29353023868488</v>
      </c>
      <c r="Y10" s="357">
        <v>45.857201265854549</v>
      </c>
      <c r="Z10" s="357">
        <v>44.8909134145321</v>
      </c>
      <c r="AA10" s="357">
        <v>43.697790115339515</v>
      </c>
      <c r="AB10" s="357">
        <v>44.66752113486573</v>
      </c>
      <c r="AC10" s="357">
        <v>44.393668162942461</v>
      </c>
      <c r="AD10" s="357">
        <v>43.892884246637315</v>
      </c>
      <c r="AE10" s="357">
        <v>44.649303255328576</v>
      </c>
      <c r="AF10" s="358"/>
      <c r="AG10" s="364" t="s">
        <v>4</v>
      </c>
      <c r="AH10" s="360">
        <v>-0.2876683133460452</v>
      </c>
      <c r="AI10" s="360">
        <v>1.7233294682593353E-2</v>
      </c>
    </row>
    <row r="11" spans="1:35">
      <c r="A11" s="53" t="s">
        <v>85</v>
      </c>
      <c r="B11" s="357">
        <v>524.72884520602474</v>
      </c>
      <c r="C11" s="357">
        <v>475.92438182751022</v>
      </c>
      <c r="D11" s="357">
        <v>483.7795059870711</v>
      </c>
      <c r="E11" s="357">
        <v>474.65371425749436</v>
      </c>
      <c r="F11" s="357">
        <v>500.73393776355459</v>
      </c>
      <c r="G11" s="357">
        <v>493.44093913089961</v>
      </c>
      <c r="H11" s="357">
        <v>496.51288652324058</v>
      </c>
      <c r="I11" s="357">
        <v>523.74699029916553</v>
      </c>
      <c r="J11" s="357">
        <v>534.04068220767022</v>
      </c>
      <c r="K11" s="357">
        <v>557.21982187887807</v>
      </c>
      <c r="L11" s="357">
        <v>558.1545168729433</v>
      </c>
      <c r="M11" s="357">
        <v>528.32305059830173</v>
      </c>
      <c r="N11" s="357">
        <v>603.08283291046621</v>
      </c>
      <c r="O11" s="357">
        <v>608.68291774303941</v>
      </c>
      <c r="P11" s="357">
        <v>649.52893578088208</v>
      </c>
      <c r="Q11" s="357">
        <v>643.47446754245243</v>
      </c>
      <c r="R11" s="357">
        <v>616.01886403086939</v>
      </c>
      <c r="S11" s="357">
        <v>595.13569116755377</v>
      </c>
      <c r="T11" s="357">
        <v>544.43151943624594</v>
      </c>
      <c r="U11" s="357">
        <v>515.8817961022645</v>
      </c>
      <c r="V11" s="357">
        <v>537.97300920417388</v>
      </c>
      <c r="W11" s="357">
        <v>508.34825607008031</v>
      </c>
      <c r="X11" s="357">
        <v>497.8934772499714</v>
      </c>
      <c r="Y11" s="357">
        <v>502.30948731148123</v>
      </c>
      <c r="Z11" s="357">
        <v>493.33305737518606</v>
      </c>
      <c r="AA11" s="357">
        <v>511.53771245962349</v>
      </c>
      <c r="AB11" s="357">
        <v>562.13544188622177</v>
      </c>
      <c r="AC11" s="357">
        <v>553.18071279996764</v>
      </c>
      <c r="AD11" s="357">
        <v>559.50105137715707</v>
      </c>
      <c r="AE11" s="357">
        <v>590.72873150100145</v>
      </c>
      <c r="AF11" s="358"/>
      <c r="AG11" s="365" t="s">
        <v>85</v>
      </c>
      <c r="AH11" s="360">
        <v>0.1257790321571956</v>
      </c>
      <c r="AI11" s="360">
        <v>5.5813443150786762E-2</v>
      </c>
    </row>
    <row r="12" spans="1:35">
      <c r="A12" s="54" t="s">
        <v>86</v>
      </c>
      <c r="B12" s="366">
        <v>138.36688441870666</v>
      </c>
      <c r="C12" s="366">
        <v>217.46056819290772</v>
      </c>
      <c r="D12" s="366">
        <v>182.38854529197485</v>
      </c>
      <c r="E12" s="366">
        <v>134.94861760061568</v>
      </c>
      <c r="F12" s="366">
        <v>136.6590421902674</v>
      </c>
      <c r="G12" s="366">
        <v>168.64740054149578</v>
      </c>
      <c r="H12" s="366">
        <v>155.40254383059883</v>
      </c>
      <c r="I12" s="366">
        <v>167.81735096076275</v>
      </c>
      <c r="J12" s="366">
        <v>153.9060838753993</v>
      </c>
      <c r="K12" s="366">
        <v>211.53115355576824</v>
      </c>
      <c r="L12" s="366">
        <v>246.93914014599801</v>
      </c>
      <c r="M12" s="366">
        <v>204.88987266204845</v>
      </c>
      <c r="N12" s="366">
        <v>165.13964868847486</v>
      </c>
      <c r="O12" s="366">
        <v>226.25909224939772</v>
      </c>
      <c r="P12" s="366">
        <v>225.35602141170645</v>
      </c>
      <c r="Q12" s="366">
        <v>232.58586675283109</v>
      </c>
      <c r="R12" s="366">
        <v>276.54358539819259</v>
      </c>
      <c r="S12" s="366">
        <v>264.5235499309527</v>
      </c>
      <c r="T12" s="366">
        <v>235.83602873659368</v>
      </c>
      <c r="U12" s="366">
        <v>203.69088017447865</v>
      </c>
      <c r="V12" s="366">
        <v>195.57806826466802</v>
      </c>
      <c r="W12" s="366">
        <v>214.14817392462012</v>
      </c>
      <c r="X12" s="366">
        <v>216.22539200450927</v>
      </c>
      <c r="Y12" s="366">
        <v>216.96173960544914</v>
      </c>
      <c r="Z12" s="366">
        <v>266.73838028449717</v>
      </c>
      <c r="AA12" s="366">
        <v>228.41360594897446</v>
      </c>
      <c r="AB12" s="366">
        <v>236.38191114799145</v>
      </c>
      <c r="AC12" s="366">
        <v>234.67440366638778</v>
      </c>
      <c r="AD12" s="366">
        <v>246.93632021403351</v>
      </c>
      <c r="AE12" s="366">
        <v>226.90122802622591</v>
      </c>
      <c r="AF12" s="367"/>
      <c r="AG12" s="368" t="s">
        <v>86</v>
      </c>
      <c r="AH12" s="369">
        <v>0.63985211475607784</v>
      </c>
      <c r="AI12" s="369">
        <v>-8.1134651113461451E-2</v>
      </c>
    </row>
    <row r="13" spans="1:35">
      <c r="A13" s="55" t="s">
        <v>87</v>
      </c>
      <c r="B13" s="370">
        <v>857.20192813182143</v>
      </c>
      <c r="C13" s="370">
        <v>815.11526968997964</v>
      </c>
      <c r="D13" s="370">
        <v>848.90508726735038</v>
      </c>
      <c r="E13" s="370">
        <v>857.784832788622</v>
      </c>
      <c r="F13" s="370">
        <v>876.773398152548</v>
      </c>
      <c r="G13" s="370">
        <v>899.47854363194369</v>
      </c>
      <c r="H13" s="370">
        <v>863.03414005479146</v>
      </c>
      <c r="I13" s="370">
        <v>881.61755676855159</v>
      </c>
      <c r="J13" s="370">
        <v>906.51614061540204</v>
      </c>
      <c r="K13" s="370">
        <v>993.86641382211474</v>
      </c>
      <c r="L13" s="370">
        <v>1022.2996353752849</v>
      </c>
      <c r="M13" s="370">
        <v>1023.7235230059771</v>
      </c>
      <c r="N13" s="370">
        <v>1151.7028729937099</v>
      </c>
      <c r="O13" s="370">
        <v>1167.6155914593855</v>
      </c>
      <c r="P13" s="370">
        <v>1203.2415814172809</v>
      </c>
      <c r="Q13" s="370">
        <v>1211.1779989885313</v>
      </c>
      <c r="R13" s="370">
        <v>1188.1691636250225</v>
      </c>
      <c r="S13" s="370">
        <v>1183.4452458928699</v>
      </c>
      <c r="T13" s="370">
        <v>1141.0639549193268</v>
      </c>
      <c r="U13" s="370">
        <v>1130.257871237272</v>
      </c>
      <c r="V13" s="370">
        <v>1108.600401871128</v>
      </c>
      <c r="W13" s="370">
        <v>1082.284211035294</v>
      </c>
      <c r="X13" s="370">
        <v>1077.0669155688774</v>
      </c>
      <c r="Y13" s="370">
        <v>1089.2994353313716</v>
      </c>
      <c r="Z13" s="370">
        <v>1052.9001636300954</v>
      </c>
      <c r="AA13" s="370">
        <v>1087.682541417538</v>
      </c>
      <c r="AB13" s="370">
        <v>1126.9885756331769</v>
      </c>
      <c r="AC13" s="370">
        <v>1128.8168884840488</v>
      </c>
      <c r="AD13" s="370">
        <v>1137.4350115743694</v>
      </c>
      <c r="AE13" s="370">
        <v>1172.3035656969373</v>
      </c>
      <c r="AF13" s="358"/>
      <c r="AG13" s="371" t="s">
        <v>87</v>
      </c>
      <c r="AH13" s="372">
        <v>0.36759324404676236</v>
      </c>
      <c r="AI13" s="372">
        <v>3.0655425380571848E-2</v>
      </c>
    </row>
    <row r="14" spans="1:35">
      <c r="A14" s="53" t="s">
        <v>88</v>
      </c>
      <c r="B14" s="357">
        <v>0</v>
      </c>
      <c r="C14" s="357">
        <v>0</v>
      </c>
      <c r="D14" s="357">
        <v>0</v>
      </c>
      <c r="E14" s="357">
        <v>0</v>
      </c>
      <c r="F14" s="357">
        <v>0</v>
      </c>
      <c r="G14" s="357">
        <v>0</v>
      </c>
      <c r="H14" s="357">
        <v>0</v>
      </c>
      <c r="I14" s="357">
        <v>0</v>
      </c>
      <c r="J14" s="357">
        <v>0</v>
      </c>
      <c r="K14" s="357">
        <v>0</v>
      </c>
      <c r="L14" s="357">
        <v>0</v>
      </c>
      <c r="M14" s="357">
        <v>0</v>
      </c>
      <c r="N14" s="357">
        <v>0</v>
      </c>
      <c r="O14" s="357">
        <v>0</v>
      </c>
      <c r="P14" s="357">
        <v>0</v>
      </c>
      <c r="Q14" s="357">
        <v>0</v>
      </c>
      <c r="R14" s="357">
        <v>0</v>
      </c>
      <c r="S14" s="357">
        <v>0</v>
      </c>
      <c r="T14" s="357">
        <v>0</v>
      </c>
      <c r="U14" s="357">
        <v>0</v>
      </c>
      <c r="V14" s="357">
        <v>0</v>
      </c>
      <c r="W14" s="357">
        <v>0</v>
      </c>
      <c r="X14" s="357">
        <v>0</v>
      </c>
      <c r="Y14" s="357">
        <v>0</v>
      </c>
      <c r="Z14" s="357">
        <v>0</v>
      </c>
      <c r="AA14" s="357">
        <v>0</v>
      </c>
      <c r="AB14" s="357">
        <v>0</v>
      </c>
      <c r="AC14" s="357">
        <v>0</v>
      </c>
      <c r="AD14" s="357">
        <v>0</v>
      </c>
      <c r="AE14" s="357">
        <v>0</v>
      </c>
      <c r="AF14" s="358"/>
      <c r="AG14" s="373" t="s">
        <v>88</v>
      </c>
      <c r="AH14" s="360">
        <v>0</v>
      </c>
      <c r="AI14" s="360">
        <v>0</v>
      </c>
    </row>
    <row r="15" spans="1:35">
      <c r="A15" s="54" t="s">
        <v>89</v>
      </c>
      <c r="B15" s="366">
        <v>0</v>
      </c>
      <c r="C15" s="366">
        <v>0</v>
      </c>
      <c r="D15" s="366">
        <v>0</v>
      </c>
      <c r="E15" s="366">
        <v>0</v>
      </c>
      <c r="F15" s="366">
        <v>0</v>
      </c>
      <c r="G15" s="366">
        <v>0</v>
      </c>
      <c r="H15" s="366">
        <v>0</v>
      </c>
      <c r="I15" s="366">
        <v>0</v>
      </c>
      <c r="J15" s="366">
        <v>0</v>
      </c>
      <c r="K15" s="366">
        <v>0</v>
      </c>
      <c r="L15" s="366">
        <v>0</v>
      </c>
      <c r="M15" s="366">
        <v>0</v>
      </c>
      <c r="N15" s="366">
        <v>0</v>
      </c>
      <c r="O15" s="366">
        <v>0</v>
      </c>
      <c r="P15" s="366">
        <v>0</v>
      </c>
      <c r="Q15" s="366">
        <v>0</v>
      </c>
      <c r="R15" s="366">
        <v>0</v>
      </c>
      <c r="S15" s="366">
        <v>0</v>
      </c>
      <c r="T15" s="366">
        <v>0</v>
      </c>
      <c r="U15" s="366">
        <v>0</v>
      </c>
      <c r="V15" s="366">
        <v>0</v>
      </c>
      <c r="W15" s="366">
        <v>0</v>
      </c>
      <c r="X15" s="366">
        <v>0</v>
      </c>
      <c r="Y15" s="366">
        <v>0</v>
      </c>
      <c r="Z15" s="366">
        <v>0</v>
      </c>
      <c r="AA15" s="366">
        <v>0</v>
      </c>
      <c r="AB15" s="366">
        <v>0</v>
      </c>
      <c r="AC15" s="366">
        <v>0</v>
      </c>
      <c r="AD15" s="366">
        <v>0</v>
      </c>
      <c r="AE15" s="366">
        <v>0</v>
      </c>
      <c r="AF15" s="367"/>
      <c r="AG15" s="368" t="s">
        <v>89</v>
      </c>
      <c r="AH15" s="369">
        <v>0</v>
      </c>
      <c r="AI15" s="369">
        <v>0</v>
      </c>
    </row>
    <row r="16" spans="1:35">
      <c r="A16" s="54" t="s">
        <v>90</v>
      </c>
      <c r="B16" s="366">
        <v>0</v>
      </c>
      <c r="C16" s="366">
        <v>0</v>
      </c>
      <c r="D16" s="366">
        <v>0</v>
      </c>
      <c r="E16" s="366">
        <v>0</v>
      </c>
      <c r="F16" s="366">
        <v>0</v>
      </c>
      <c r="G16" s="366">
        <v>0</v>
      </c>
      <c r="H16" s="366">
        <v>0</v>
      </c>
      <c r="I16" s="366">
        <v>0</v>
      </c>
      <c r="J16" s="366">
        <v>0</v>
      </c>
      <c r="K16" s="366">
        <v>0</v>
      </c>
      <c r="L16" s="366">
        <v>0</v>
      </c>
      <c r="M16" s="366">
        <v>0</v>
      </c>
      <c r="N16" s="366">
        <v>0</v>
      </c>
      <c r="O16" s="366">
        <v>0</v>
      </c>
      <c r="P16" s="366">
        <v>0</v>
      </c>
      <c r="Q16" s="366">
        <v>0</v>
      </c>
      <c r="R16" s="366">
        <v>0</v>
      </c>
      <c r="S16" s="366">
        <v>0</v>
      </c>
      <c r="T16" s="366">
        <v>0</v>
      </c>
      <c r="U16" s="366">
        <v>0</v>
      </c>
      <c r="V16" s="366">
        <v>0</v>
      </c>
      <c r="W16" s="366">
        <v>0</v>
      </c>
      <c r="X16" s="366">
        <v>0</v>
      </c>
      <c r="Y16" s="366">
        <v>0</v>
      </c>
      <c r="Z16" s="366">
        <v>0</v>
      </c>
      <c r="AA16" s="366">
        <v>0</v>
      </c>
      <c r="AB16" s="366">
        <v>0</v>
      </c>
      <c r="AC16" s="366">
        <v>0</v>
      </c>
      <c r="AD16" s="366">
        <v>0</v>
      </c>
      <c r="AE16" s="366">
        <v>0</v>
      </c>
      <c r="AF16" s="367"/>
      <c r="AG16" s="368" t="s">
        <v>90</v>
      </c>
      <c r="AH16" s="369">
        <v>0</v>
      </c>
      <c r="AI16" s="369">
        <v>0</v>
      </c>
    </row>
    <row r="17" spans="1:41">
      <c r="A17" s="55" t="s">
        <v>91</v>
      </c>
      <c r="B17" s="370">
        <v>857.20192813182143</v>
      </c>
      <c r="C17" s="370">
        <v>815.11526968997964</v>
      </c>
      <c r="D17" s="370">
        <v>848.90508726735038</v>
      </c>
      <c r="E17" s="370">
        <v>857.784832788622</v>
      </c>
      <c r="F17" s="370">
        <v>876.773398152548</v>
      </c>
      <c r="G17" s="370">
        <v>899.47854363194369</v>
      </c>
      <c r="H17" s="370">
        <v>863.03414005479146</v>
      </c>
      <c r="I17" s="370">
        <v>881.61755676855159</v>
      </c>
      <c r="J17" s="370">
        <v>906.51614061540204</v>
      </c>
      <c r="K17" s="370">
        <v>993.86641382211474</v>
      </c>
      <c r="L17" s="370">
        <v>1022.2996353752849</v>
      </c>
      <c r="M17" s="370">
        <v>1023.7235230059771</v>
      </c>
      <c r="N17" s="370">
        <v>1151.7028729937099</v>
      </c>
      <c r="O17" s="370">
        <v>1167.6155914593855</v>
      </c>
      <c r="P17" s="370">
        <v>1203.2415814172809</v>
      </c>
      <c r="Q17" s="370">
        <v>1211.1779989885313</v>
      </c>
      <c r="R17" s="370">
        <v>1188.1691636250225</v>
      </c>
      <c r="S17" s="370">
        <v>1183.4452458928699</v>
      </c>
      <c r="T17" s="370">
        <v>1141.0639549193268</v>
      </c>
      <c r="U17" s="370">
        <v>1130.257871237272</v>
      </c>
      <c r="V17" s="370">
        <v>1108.600401871128</v>
      </c>
      <c r="W17" s="370">
        <v>1082.284211035294</v>
      </c>
      <c r="X17" s="370">
        <v>1077.0669155688774</v>
      </c>
      <c r="Y17" s="370">
        <v>1089.2994353313716</v>
      </c>
      <c r="Z17" s="370">
        <v>1052.9001636300954</v>
      </c>
      <c r="AA17" s="370">
        <v>1087.682541417538</v>
      </c>
      <c r="AB17" s="370">
        <v>1126.9885756331769</v>
      </c>
      <c r="AC17" s="370">
        <v>1128.8168884840488</v>
      </c>
      <c r="AD17" s="370">
        <v>1137.4350115743694</v>
      </c>
      <c r="AE17" s="370">
        <v>1172.3035656969373</v>
      </c>
      <c r="AF17" s="374"/>
      <c r="AG17" s="375" t="s">
        <v>91</v>
      </c>
      <c r="AH17" s="372">
        <v>0.36759324404676236</v>
      </c>
      <c r="AI17" s="372">
        <v>3.0655425380571848E-2</v>
      </c>
    </row>
    <row r="18" spans="1:41">
      <c r="A18" s="54" t="s">
        <v>92</v>
      </c>
      <c r="B18" s="366">
        <v>138.36688441870666</v>
      </c>
      <c r="C18" s="366">
        <v>217.46056819290772</v>
      </c>
      <c r="D18" s="366">
        <v>182.38854529197485</v>
      </c>
      <c r="E18" s="366">
        <v>134.94861760061568</v>
      </c>
      <c r="F18" s="366">
        <v>136.6590421902674</v>
      </c>
      <c r="G18" s="366">
        <v>168.64740054149578</v>
      </c>
      <c r="H18" s="366">
        <v>155.40254383059883</v>
      </c>
      <c r="I18" s="366">
        <v>167.81735096076275</v>
      </c>
      <c r="J18" s="366">
        <v>153.9060838753993</v>
      </c>
      <c r="K18" s="366">
        <v>211.53115355576824</v>
      </c>
      <c r="L18" s="366">
        <v>246.93914014599801</v>
      </c>
      <c r="M18" s="366">
        <v>204.88987266204845</v>
      </c>
      <c r="N18" s="366">
        <v>165.13964868847486</v>
      </c>
      <c r="O18" s="366">
        <v>226.25909224939772</v>
      </c>
      <c r="P18" s="366">
        <v>225.35602141170645</v>
      </c>
      <c r="Q18" s="366">
        <v>232.58586675283109</v>
      </c>
      <c r="R18" s="366">
        <v>276.54358539819259</v>
      </c>
      <c r="S18" s="366">
        <v>264.5235499309527</v>
      </c>
      <c r="T18" s="366">
        <v>235.83602873659368</v>
      </c>
      <c r="U18" s="366">
        <v>203.69088017447865</v>
      </c>
      <c r="V18" s="366">
        <v>195.57806826466802</v>
      </c>
      <c r="W18" s="366">
        <v>214.14817392462012</v>
      </c>
      <c r="X18" s="366">
        <v>216.22539200450927</v>
      </c>
      <c r="Y18" s="366">
        <v>216.96173960544914</v>
      </c>
      <c r="Z18" s="366">
        <v>266.73838028449717</v>
      </c>
      <c r="AA18" s="366">
        <v>228.41360594897446</v>
      </c>
      <c r="AB18" s="366">
        <v>236.38191114799145</v>
      </c>
      <c r="AC18" s="366">
        <v>234.67440366638778</v>
      </c>
      <c r="AD18" s="366">
        <v>246.93632021403351</v>
      </c>
      <c r="AE18" s="366">
        <v>226.90122802622591</v>
      </c>
      <c r="AF18" s="367"/>
      <c r="AG18" s="368" t="s">
        <v>92</v>
      </c>
      <c r="AH18" s="369">
        <v>0.63985211475607784</v>
      </c>
      <c r="AI18" s="369">
        <v>-8.1134651113461451E-2</v>
      </c>
    </row>
    <row r="19" spans="1:41">
      <c r="M19" s="56" t="s">
        <v>93</v>
      </c>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row>
    <row r="20" spans="1:41">
      <c r="M20" s="56" t="s">
        <v>94</v>
      </c>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row>
    <row r="22" spans="1:41" ht="18">
      <c r="A22" s="562" t="s">
        <v>95</v>
      </c>
      <c r="B22" s="562"/>
      <c r="C22" s="562"/>
      <c r="D22" s="562"/>
      <c r="E22" s="562"/>
      <c r="F22" s="562"/>
      <c r="G22" s="562"/>
      <c r="H22" s="562"/>
      <c r="I22" s="562"/>
    </row>
    <row r="23" spans="1:41" ht="15">
      <c r="B23" s="57"/>
      <c r="C23" s="58"/>
      <c r="D23" s="58"/>
      <c r="E23" s="58"/>
      <c r="F23" s="58"/>
      <c r="G23" s="58"/>
      <c r="H23" s="58"/>
      <c r="I23" s="58"/>
    </row>
    <row r="24" spans="1:41" ht="15" customHeight="1">
      <c r="B24" s="59"/>
      <c r="C24" s="563" t="s">
        <v>96</v>
      </c>
      <c r="D24" s="563"/>
      <c r="E24" s="563"/>
      <c r="F24" s="563"/>
      <c r="G24" s="563"/>
      <c r="H24" s="60"/>
    </row>
    <row r="25" spans="1:41" ht="47.25" customHeight="1">
      <c r="B25" s="564" t="s">
        <v>97</v>
      </c>
      <c r="C25" s="61" t="s">
        <v>98</v>
      </c>
      <c r="D25" s="61" t="s">
        <v>99</v>
      </c>
      <c r="E25" s="61" t="s">
        <v>100</v>
      </c>
      <c r="F25" s="62" t="s">
        <v>101</v>
      </c>
      <c r="G25" s="61" t="s">
        <v>102</v>
      </c>
      <c r="H25" s="61" t="s">
        <v>103</v>
      </c>
    </row>
    <row r="26" spans="1:41">
      <c r="B26" s="564"/>
      <c r="C26" s="63" t="s">
        <v>104</v>
      </c>
      <c r="D26" s="63" t="s">
        <v>105</v>
      </c>
      <c r="E26" s="63" t="s">
        <v>106</v>
      </c>
      <c r="F26" s="64" t="s">
        <v>107</v>
      </c>
      <c r="G26" s="63" t="s">
        <v>108</v>
      </c>
      <c r="H26" s="63" t="s">
        <v>109</v>
      </c>
    </row>
    <row r="27" spans="1:41">
      <c r="B27" s="65" t="s">
        <v>110</v>
      </c>
      <c r="C27" s="66">
        <v>1</v>
      </c>
      <c r="D27" s="66">
        <v>1</v>
      </c>
      <c r="E27" s="66">
        <v>1</v>
      </c>
      <c r="F27" s="52">
        <v>1</v>
      </c>
      <c r="G27" s="66">
        <v>1</v>
      </c>
      <c r="H27" s="66">
        <v>1</v>
      </c>
    </row>
    <row r="28" spans="1:41" ht="15" customHeight="1">
      <c r="B28" s="65" t="s">
        <v>111</v>
      </c>
      <c r="C28" s="67">
        <v>21</v>
      </c>
      <c r="D28" s="67">
        <v>21</v>
      </c>
      <c r="E28" s="67">
        <v>23</v>
      </c>
      <c r="F28" s="68">
        <v>25</v>
      </c>
      <c r="G28" s="67">
        <v>28</v>
      </c>
      <c r="H28" s="565" t="s">
        <v>112</v>
      </c>
    </row>
    <row r="29" spans="1:41">
      <c r="B29" s="65" t="s">
        <v>113</v>
      </c>
      <c r="C29" s="67">
        <v>290</v>
      </c>
      <c r="D29" s="67">
        <v>310</v>
      </c>
      <c r="E29" s="67">
        <v>296</v>
      </c>
      <c r="F29" s="68">
        <v>298</v>
      </c>
      <c r="G29" s="67">
        <v>265</v>
      </c>
      <c r="H29" s="565"/>
    </row>
    <row r="30" spans="1:41" ht="24">
      <c r="B30" s="65" t="s">
        <v>114</v>
      </c>
      <c r="C30" s="67" t="s">
        <v>115</v>
      </c>
      <c r="D30" s="67" t="s">
        <v>116</v>
      </c>
      <c r="E30" s="67" t="s">
        <v>117</v>
      </c>
      <c r="F30" s="68" t="s">
        <v>118</v>
      </c>
      <c r="G30" s="67" t="s">
        <v>119</v>
      </c>
      <c r="H30" s="565"/>
    </row>
    <row r="31" spans="1:41" ht="24">
      <c r="B31" s="65" t="s">
        <v>120</v>
      </c>
      <c r="C31" s="67" t="s">
        <v>121</v>
      </c>
      <c r="D31" s="69" t="s">
        <v>122</v>
      </c>
      <c r="E31" s="67" t="s">
        <v>123</v>
      </c>
      <c r="F31" s="68" t="s">
        <v>124</v>
      </c>
      <c r="G31" s="67" t="s">
        <v>125</v>
      </c>
      <c r="H31" s="565"/>
    </row>
    <row r="32" spans="1:41">
      <c r="B32" s="65" t="s">
        <v>126</v>
      </c>
      <c r="C32" s="67" t="s">
        <v>121</v>
      </c>
      <c r="D32" s="70">
        <v>23900</v>
      </c>
      <c r="E32" s="70">
        <v>22200</v>
      </c>
      <c r="F32" s="71">
        <v>22800</v>
      </c>
      <c r="G32" s="67" t="s">
        <v>127</v>
      </c>
      <c r="H32" s="565"/>
    </row>
    <row r="33" spans="2:8">
      <c r="B33" s="65" t="s">
        <v>128</v>
      </c>
      <c r="C33" s="67" t="s">
        <v>121</v>
      </c>
      <c r="D33" s="67" t="s">
        <v>121</v>
      </c>
      <c r="E33" s="67" t="s">
        <v>121</v>
      </c>
      <c r="F33" s="71">
        <v>17200</v>
      </c>
      <c r="G33" s="67" t="s">
        <v>129</v>
      </c>
      <c r="H33" s="565"/>
    </row>
    <row r="34" spans="2:8" ht="72">
      <c r="B34" s="68" t="s">
        <v>130</v>
      </c>
      <c r="C34" s="67" t="s">
        <v>131</v>
      </c>
      <c r="D34" s="67" t="s">
        <v>132</v>
      </c>
      <c r="E34" s="67" t="s">
        <v>131</v>
      </c>
      <c r="F34" s="68" t="s">
        <v>133</v>
      </c>
      <c r="G34" s="67" t="s">
        <v>134</v>
      </c>
      <c r="H34" s="565"/>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J25"/>
  <sheetViews>
    <sheetView workbookViewId="0">
      <selection activeCell="AK1" sqref="AK1:AP1048576"/>
    </sheetView>
  </sheetViews>
  <sheetFormatPr baseColWidth="10" defaultColWidth="11.44140625" defaultRowHeight="14.4"/>
  <cols>
    <col min="1" max="1" width="3" style="380" customWidth="1"/>
    <col min="2" max="2" width="54" style="380" customWidth="1"/>
    <col min="3" max="6" width="5.6640625" style="380" customWidth="1"/>
    <col min="7" max="8" width="6.109375" style="380" customWidth="1"/>
    <col min="9" max="33" width="5.6640625" style="380" customWidth="1"/>
    <col min="34" max="34" width="43.33203125" style="380" customWidth="1"/>
    <col min="35" max="36" width="10.33203125" style="380" customWidth="1"/>
    <col min="37" max="16384" width="11.44140625" style="380"/>
  </cols>
  <sheetData>
    <row r="1" spans="1:36" s="379" customFormat="1" ht="29.4">
      <c r="A1" s="376"/>
      <c r="B1" s="377" t="s">
        <v>458</v>
      </c>
      <c r="C1" s="378" t="s">
        <v>459</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6" t="s">
        <v>460</v>
      </c>
      <c r="C2" s="567"/>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461</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462</v>
      </c>
      <c r="AI6" s="391" t="s">
        <v>78</v>
      </c>
      <c r="AJ6" s="391" t="s">
        <v>79</v>
      </c>
    </row>
    <row r="7" spans="1:36" s="395" customFormat="1" ht="13.2">
      <c r="A7" s="392"/>
      <c r="B7" s="393" t="s">
        <v>80</v>
      </c>
      <c r="C7" s="394">
        <v>8.3846074399999999</v>
      </c>
      <c r="D7" s="394">
        <v>8.5890329200000011</v>
      </c>
      <c r="E7" s="394">
        <v>9.5780986450800008</v>
      </c>
      <c r="F7" s="394">
        <v>10.156475920000002</v>
      </c>
      <c r="G7" s="394">
        <v>10.659122107199998</v>
      </c>
      <c r="H7" s="394">
        <v>10.182208730399999</v>
      </c>
      <c r="I7" s="394">
        <v>9.9758933933999998</v>
      </c>
      <c r="J7" s="394">
        <v>9.5275524182399991</v>
      </c>
      <c r="K7" s="394">
        <v>10.187984111759999</v>
      </c>
      <c r="L7" s="394">
        <v>13.351282333199999</v>
      </c>
      <c r="M7" s="394">
        <v>14.766789316806198</v>
      </c>
      <c r="N7" s="394">
        <v>16.333924092380794</v>
      </c>
      <c r="O7" s="394">
        <v>19.062609081726933</v>
      </c>
      <c r="P7" s="394">
        <v>19.402933817719759</v>
      </c>
      <c r="Q7" s="394">
        <v>19.047279880556111</v>
      </c>
      <c r="R7" s="394">
        <v>19.824317454094423</v>
      </c>
      <c r="S7" s="394">
        <v>20.088508008033802</v>
      </c>
      <c r="T7" s="394">
        <v>20.855426743022555</v>
      </c>
      <c r="U7" s="394">
        <v>21.163938583568566</v>
      </c>
      <c r="V7" s="394">
        <v>22.044161270298638</v>
      </c>
      <c r="W7" s="394">
        <v>19.283609558714435</v>
      </c>
      <c r="X7" s="394">
        <v>18.986157590865524</v>
      </c>
      <c r="Y7" s="394">
        <v>19.205470414386852</v>
      </c>
      <c r="Z7" s="394">
        <v>19.26723634294364</v>
      </c>
      <c r="AA7" s="394">
        <v>18.000298043941687</v>
      </c>
      <c r="AB7" s="394">
        <v>18.58313404336652</v>
      </c>
      <c r="AC7" s="394">
        <v>18.021054454874875</v>
      </c>
      <c r="AD7" s="394">
        <v>18.378291494141138</v>
      </c>
      <c r="AE7" s="394">
        <v>18.395060235604074</v>
      </c>
      <c r="AF7" s="394">
        <v>18.512548390179777</v>
      </c>
      <c r="AH7" s="392" t="s">
        <v>80</v>
      </c>
      <c r="AI7" s="396">
        <v>1.2079207073980529</v>
      </c>
      <c r="AJ7" s="396">
        <v>6.3869404650440916E-3</v>
      </c>
    </row>
    <row r="8" spans="1:36" s="395" customFormat="1" ht="13.2">
      <c r="A8" s="397"/>
      <c r="B8" s="393" t="s">
        <v>81</v>
      </c>
      <c r="C8" s="394">
        <v>0</v>
      </c>
      <c r="D8" s="394">
        <v>0</v>
      </c>
      <c r="E8" s="394">
        <v>0</v>
      </c>
      <c r="F8" s="394">
        <v>0</v>
      </c>
      <c r="G8" s="394">
        <v>0</v>
      </c>
      <c r="H8" s="394">
        <v>0</v>
      </c>
      <c r="I8" s="394">
        <v>0</v>
      </c>
      <c r="J8" s="394">
        <v>0</v>
      </c>
      <c r="K8" s="394">
        <v>0</v>
      </c>
      <c r="L8" s="394">
        <v>0</v>
      </c>
      <c r="M8" s="394">
        <v>0</v>
      </c>
      <c r="N8" s="394">
        <v>0</v>
      </c>
      <c r="O8" s="394">
        <v>0</v>
      </c>
      <c r="P8" s="394">
        <v>0</v>
      </c>
      <c r="Q8" s="394">
        <v>0</v>
      </c>
      <c r="R8" s="394">
        <v>0</v>
      </c>
      <c r="S8" s="394">
        <v>0</v>
      </c>
      <c r="T8" s="394">
        <v>0</v>
      </c>
      <c r="U8" s="394">
        <v>0</v>
      </c>
      <c r="V8" s="394">
        <v>0</v>
      </c>
      <c r="W8" s="394">
        <v>0</v>
      </c>
      <c r="X8" s="394">
        <v>0</v>
      </c>
      <c r="Y8" s="394">
        <v>0</v>
      </c>
      <c r="Z8" s="394">
        <v>0</v>
      </c>
      <c r="AA8" s="394">
        <v>0</v>
      </c>
      <c r="AB8" s="394">
        <v>0</v>
      </c>
      <c r="AC8" s="394">
        <v>0</v>
      </c>
      <c r="AD8" s="394">
        <v>0</v>
      </c>
      <c r="AE8" s="394">
        <v>0</v>
      </c>
      <c r="AF8" s="394">
        <v>0</v>
      </c>
      <c r="AH8" s="398" t="s">
        <v>81</v>
      </c>
      <c r="AI8" s="396">
        <v>0</v>
      </c>
      <c r="AJ8" s="396">
        <v>0</v>
      </c>
    </row>
    <row r="9" spans="1:36" s="395" customFormat="1" ht="13.2">
      <c r="A9" s="399"/>
      <c r="B9" s="393" t="s">
        <v>82</v>
      </c>
      <c r="C9" s="400">
        <v>1894.1885443392107</v>
      </c>
      <c r="D9" s="400">
        <v>1914.8156022471251</v>
      </c>
      <c r="E9" s="400">
        <v>1982.3458181344315</v>
      </c>
      <c r="F9" s="400">
        <v>2045.2178507023291</v>
      </c>
      <c r="G9" s="400">
        <v>1646.4540238571599</v>
      </c>
      <c r="H9" s="400">
        <v>1773.8040077963115</v>
      </c>
      <c r="I9" s="400">
        <v>1879.3607981412842</v>
      </c>
      <c r="J9" s="400">
        <v>1952.7273426993884</v>
      </c>
      <c r="K9" s="400">
        <v>2019.9529688142291</v>
      </c>
      <c r="L9" s="400">
        <v>2080.6130578939596</v>
      </c>
      <c r="M9" s="400">
        <v>2136.769115816659</v>
      </c>
      <c r="N9" s="400">
        <v>2179.2156103729903</v>
      </c>
      <c r="O9" s="400">
        <v>2221.3267980935643</v>
      </c>
      <c r="P9" s="400">
        <v>2251.5458743760096</v>
      </c>
      <c r="Q9" s="400">
        <v>2214.8113557545048</v>
      </c>
      <c r="R9" s="400">
        <v>2228.7509366584745</v>
      </c>
      <c r="S9" s="400">
        <v>2236.9173607421885</v>
      </c>
      <c r="T9" s="400">
        <v>2271.1446694380693</v>
      </c>
      <c r="U9" s="400">
        <v>2312.1319794027127</v>
      </c>
      <c r="V9" s="400">
        <v>2434.0643292124114</v>
      </c>
      <c r="W9" s="400">
        <v>2682.6268109091889</v>
      </c>
      <c r="X9" s="400">
        <v>2877.112525754786</v>
      </c>
      <c r="Y9" s="400">
        <v>3031.6934495555383</v>
      </c>
      <c r="Z9" s="400">
        <v>3159.0059452072055</v>
      </c>
      <c r="AA9" s="400">
        <v>3215.6002044136453</v>
      </c>
      <c r="AB9" s="400">
        <v>3459.4049622729444</v>
      </c>
      <c r="AC9" s="400">
        <v>3579.7776131679534</v>
      </c>
      <c r="AD9" s="400">
        <v>3659.6053769175796</v>
      </c>
      <c r="AE9" s="400">
        <v>3751.6788770876678</v>
      </c>
      <c r="AF9" s="400">
        <v>3913.0732198008245</v>
      </c>
      <c r="AH9" s="399" t="s">
        <v>82</v>
      </c>
      <c r="AI9" s="396">
        <v>1.0658308970852231</v>
      </c>
      <c r="AJ9" s="396">
        <v>4.3019231656213332E-2</v>
      </c>
    </row>
    <row r="10" spans="1:36" s="395" customFormat="1" ht="13.2">
      <c r="A10" s="401"/>
      <c r="B10" s="393" t="s">
        <v>83</v>
      </c>
      <c r="C10" s="400">
        <v>1087.05064756</v>
      </c>
      <c r="D10" s="400">
        <v>1110.45809444</v>
      </c>
      <c r="E10" s="400">
        <v>1132.7184488</v>
      </c>
      <c r="F10" s="400">
        <v>1154.1921012599998</v>
      </c>
      <c r="G10" s="400">
        <v>1175.8974441600001</v>
      </c>
      <c r="H10" s="400">
        <v>1200.4251943099998</v>
      </c>
      <c r="I10" s="400">
        <v>1214.54369978</v>
      </c>
      <c r="J10" s="400">
        <v>1234.9295352999995</v>
      </c>
      <c r="K10" s="400">
        <v>1257.4435386</v>
      </c>
      <c r="L10" s="400">
        <v>1279.2382226000002</v>
      </c>
      <c r="M10" s="400">
        <v>1302.6606409999999</v>
      </c>
      <c r="N10" s="400">
        <v>1326.6835732669999</v>
      </c>
      <c r="O10" s="400">
        <v>1349.4829076751996</v>
      </c>
      <c r="P10" s="400">
        <v>1371.8094856275998</v>
      </c>
      <c r="Q10" s="400">
        <v>1389.5840318830003</v>
      </c>
      <c r="R10" s="400">
        <v>1406.778707383</v>
      </c>
      <c r="S10" s="400">
        <v>1423.5657143830001</v>
      </c>
      <c r="T10" s="400">
        <v>1451.767439383</v>
      </c>
      <c r="U10" s="400">
        <v>1457.4855</v>
      </c>
      <c r="V10" s="400">
        <v>1475.8129684999997</v>
      </c>
      <c r="W10" s="400">
        <v>1493.32779926592</v>
      </c>
      <c r="X10" s="400">
        <v>1495.9066316172803</v>
      </c>
      <c r="Y10" s="400">
        <v>1500.2959078118399</v>
      </c>
      <c r="Z10" s="400">
        <v>1505.0220649157602</v>
      </c>
      <c r="AA10" s="400">
        <v>1513.0617763282401</v>
      </c>
      <c r="AB10" s="400">
        <v>1520.2669672331999</v>
      </c>
      <c r="AC10" s="400">
        <v>1525.3665610224796</v>
      </c>
      <c r="AD10" s="400">
        <v>1542.8006718963202</v>
      </c>
      <c r="AE10" s="400">
        <v>1552.9623502643205</v>
      </c>
      <c r="AF10" s="400">
        <v>1556.7318701971196</v>
      </c>
      <c r="AH10" s="401" t="s">
        <v>84</v>
      </c>
      <c r="AI10" s="396">
        <v>0.43206930945799876</v>
      </c>
      <c r="AJ10" s="396">
        <v>2.4273092854810662E-3</v>
      </c>
    </row>
    <row r="11" spans="1:36" s="395" customFormat="1" ht="13.2">
      <c r="A11" s="402"/>
      <c r="B11" s="393" t="s">
        <v>4</v>
      </c>
      <c r="C11" s="400">
        <v>1150.1931308574233</v>
      </c>
      <c r="D11" s="400">
        <v>1200.3615242584931</v>
      </c>
      <c r="E11" s="400">
        <v>1260.2265830268366</v>
      </c>
      <c r="F11" s="400">
        <v>1317.8658241615631</v>
      </c>
      <c r="G11" s="400">
        <v>1376.3119867272392</v>
      </c>
      <c r="H11" s="400">
        <v>1501.8019267929958</v>
      </c>
      <c r="I11" s="400">
        <v>1422.3678262971246</v>
      </c>
      <c r="J11" s="400">
        <v>1387.4128645363899</v>
      </c>
      <c r="K11" s="400">
        <v>1354.4334211156693</v>
      </c>
      <c r="L11" s="400">
        <v>1320.5998621904682</v>
      </c>
      <c r="M11" s="400">
        <v>1271.0753820260934</v>
      </c>
      <c r="N11" s="400">
        <v>1246.9000474481411</v>
      </c>
      <c r="O11" s="400">
        <v>1228.0459674650415</v>
      </c>
      <c r="P11" s="400">
        <v>1205.1836456476719</v>
      </c>
      <c r="Q11" s="400">
        <v>1178.4381642835228</v>
      </c>
      <c r="R11" s="400">
        <v>1150.8822546933488</v>
      </c>
      <c r="S11" s="400">
        <v>1126.9798280459192</v>
      </c>
      <c r="T11" s="400">
        <v>1075.451259294593</v>
      </c>
      <c r="U11" s="400">
        <v>1023.7503093004436</v>
      </c>
      <c r="V11" s="400">
        <v>968.5073645862941</v>
      </c>
      <c r="W11" s="400">
        <v>912.54025614902048</v>
      </c>
      <c r="X11" s="400">
        <v>870.26717166907179</v>
      </c>
      <c r="Y11" s="400">
        <v>832.29979714187573</v>
      </c>
      <c r="Z11" s="400">
        <v>799.49109815114525</v>
      </c>
      <c r="AA11" s="400">
        <v>737.68366188843356</v>
      </c>
      <c r="AB11" s="400">
        <v>707.97406119069024</v>
      </c>
      <c r="AC11" s="400">
        <v>778.39881352095381</v>
      </c>
      <c r="AD11" s="400">
        <v>753.5582890219755</v>
      </c>
      <c r="AE11" s="400">
        <v>751.38568842071379</v>
      </c>
      <c r="AF11" s="400">
        <v>751.92817495084444</v>
      </c>
      <c r="AH11" s="402" t="s">
        <v>4</v>
      </c>
      <c r="AI11" s="396">
        <v>-0.34625920223474832</v>
      </c>
      <c r="AJ11" s="396">
        <v>7.2198145172402842E-4</v>
      </c>
    </row>
    <row r="12" spans="1:36" s="395" customFormat="1" ht="13.2">
      <c r="A12" s="403"/>
      <c r="B12" s="393" t="s">
        <v>85</v>
      </c>
      <c r="C12" s="394">
        <v>111.42784071723452</v>
      </c>
      <c r="D12" s="394">
        <v>107.79059178151709</v>
      </c>
      <c r="E12" s="394">
        <v>109.68634448238186</v>
      </c>
      <c r="F12" s="394">
        <v>108.40189094094376</v>
      </c>
      <c r="G12" s="394">
        <v>105.40903782077307</v>
      </c>
      <c r="H12" s="394">
        <v>101.09035901947431</v>
      </c>
      <c r="I12" s="394">
        <v>98.543227102341021</v>
      </c>
      <c r="J12" s="394">
        <v>97.023063561693036</v>
      </c>
      <c r="K12" s="394">
        <v>93.832673602120678</v>
      </c>
      <c r="L12" s="394">
        <v>91.792237379886174</v>
      </c>
      <c r="M12" s="394">
        <v>87.59071712083437</v>
      </c>
      <c r="N12" s="394">
        <v>79.905638587785376</v>
      </c>
      <c r="O12" s="394">
        <v>78.870096591733187</v>
      </c>
      <c r="P12" s="394">
        <v>73.960051133222194</v>
      </c>
      <c r="Q12" s="394">
        <v>76.043248945963455</v>
      </c>
      <c r="R12" s="394">
        <v>70.708395472288615</v>
      </c>
      <c r="S12" s="394">
        <v>63.707790270323741</v>
      </c>
      <c r="T12" s="394">
        <v>57.782944108960173</v>
      </c>
      <c r="U12" s="394">
        <v>49.476506372607687</v>
      </c>
      <c r="V12" s="394">
        <v>44.423595267982989</v>
      </c>
      <c r="W12" s="394">
        <v>44.066420056981514</v>
      </c>
      <c r="X12" s="394">
        <v>40.886508305871764</v>
      </c>
      <c r="Y12" s="394">
        <v>38.989930691690155</v>
      </c>
      <c r="Z12" s="394">
        <v>37.737975354648185</v>
      </c>
      <c r="AA12" s="394">
        <v>35.688564011275261</v>
      </c>
      <c r="AB12" s="394">
        <v>36.262872555353262</v>
      </c>
      <c r="AC12" s="394">
        <v>38.454296977825564</v>
      </c>
      <c r="AD12" s="394">
        <v>37.263032759595596</v>
      </c>
      <c r="AE12" s="394">
        <v>37.443162300187453</v>
      </c>
      <c r="AF12" s="394">
        <v>38.15264228525141</v>
      </c>
      <c r="AH12" s="404" t="s">
        <v>85</v>
      </c>
      <c r="AI12" s="396">
        <v>-0.65760224698179637</v>
      </c>
      <c r="AJ12" s="396">
        <v>1.894818550249442E-2</v>
      </c>
    </row>
    <row r="13" spans="1:36" s="408" customFormat="1" ht="13.2">
      <c r="A13" s="405"/>
      <c r="B13" s="406" t="s">
        <v>86</v>
      </c>
      <c r="C13" s="407">
        <v>2.8412398104997552</v>
      </c>
      <c r="D13" s="407">
        <v>9.1719636372315456</v>
      </c>
      <c r="E13" s="407">
        <v>6.6543807624952134</v>
      </c>
      <c r="F13" s="407">
        <v>3.7949039953639216</v>
      </c>
      <c r="G13" s="407">
        <v>3.7133197573614125</v>
      </c>
      <c r="H13" s="407">
        <v>4.2838533395056784</v>
      </c>
      <c r="I13" s="407">
        <v>4.433144760701019</v>
      </c>
      <c r="J13" s="407">
        <v>5.8790760671551592</v>
      </c>
      <c r="K13" s="407">
        <v>4.9313786259741423</v>
      </c>
      <c r="L13" s="407">
        <v>7.9679081467515225</v>
      </c>
      <c r="M13" s="407">
        <v>9.2071781730437419</v>
      </c>
      <c r="N13" s="407">
        <v>6.8286780814262329</v>
      </c>
      <c r="O13" s="407">
        <v>5.1287537386059521</v>
      </c>
      <c r="P13" s="407">
        <v>9.9510932786363337</v>
      </c>
      <c r="Q13" s="407">
        <v>9.8163418895120245</v>
      </c>
      <c r="R13" s="407">
        <v>9.2512444378153091</v>
      </c>
      <c r="S13" s="407">
        <v>11.670444697040404</v>
      </c>
      <c r="T13" s="407">
        <v>12.190462233867711</v>
      </c>
      <c r="U13" s="407">
        <v>11.270080463121415</v>
      </c>
      <c r="V13" s="407">
        <v>10.381333031026603</v>
      </c>
      <c r="W13" s="407">
        <v>8.9794837670860641</v>
      </c>
      <c r="X13" s="407">
        <v>11.791105040028047</v>
      </c>
      <c r="Y13" s="407">
        <v>12.073290809556815</v>
      </c>
      <c r="Z13" s="407">
        <v>11.522885035708047</v>
      </c>
      <c r="AA13" s="407">
        <v>15.738271282842035</v>
      </c>
      <c r="AB13" s="407">
        <v>12.063927556639658</v>
      </c>
      <c r="AC13" s="407">
        <v>12.075574200999474</v>
      </c>
      <c r="AD13" s="407">
        <v>12.038827741312851</v>
      </c>
      <c r="AE13" s="407">
        <v>12.040610167833256</v>
      </c>
      <c r="AF13" s="407">
        <v>11.964676995417401</v>
      </c>
      <c r="AH13" s="405" t="s">
        <v>86</v>
      </c>
      <c r="AI13" s="409">
        <v>3.2110760771414411</v>
      </c>
      <c r="AJ13" s="409">
        <v>-6.3064222956667124E-3</v>
      </c>
    </row>
    <row r="14" spans="1:36" s="395" customFormat="1" ht="13.2">
      <c r="A14" s="410"/>
      <c r="B14" s="411" t="s">
        <v>87</v>
      </c>
      <c r="C14" s="412">
        <v>4251.2447709138678</v>
      </c>
      <c r="D14" s="412">
        <v>4342.0148456471352</v>
      </c>
      <c r="E14" s="412">
        <v>4494.5552930887307</v>
      </c>
      <c r="F14" s="412">
        <v>4635.8341429848351</v>
      </c>
      <c r="G14" s="412">
        <v>4314.7316146723715</v>
      </c>
      <c r="H14" s="412">
        <v>4587.3036966491809</v>
      </c>
      <c r="I14" s="412">
        <v>4624.7914447141493</v>
      </c>
      <c r="J14" s="412">
        <v>4681.62035851571</v>
      </c>
      <c r="K14" s="412">
        <v>4735.8505862437796</v>
      </c>
      <c r="L14" s="412">
        <v>4785.5946623975142</v>
      </c>
      <c r="M14" s="412">
        <v>4812.8626452803928</v>
      </c>
      <c r="N14" s="412">
        <v>4849.0387937682972</v>
      </c>
      <c r="O14" s="412">
        <v>4896.7883789072648</v>
      </c>
      <c r="P14" s="412">
        <v>4921.9019906022231</v>
      </c>
      <c r="Q14" s="412">
        <v>4877.9240807475471</v>
      </c>
      <c r="R14" s="412">
        <v>4876.9446116612062</v>
      </c>
      <c r="S14" s="412">
        <v>4871.2592014494658</v>
      </c>
      <c r="T14" s="412">
        <v>4877.001738967645</v>
      </c>
      <c r="U14" s="412">
        <v>4864.0082336593332</v>
      </c>
      <c r="V14" s="412">
        <v>4944.8524188369865</v>
      </c>
      <c r="W14" s="412">
        <v>5151.8448959398256</v>
      </c>
      <c r="X14" s="412">
        <v>5303.1589949378749</v>
      </c>
      <c r="Y14" s="412">
        <v>5422.4845556153314</v>
      </c>
      <c r="Z14" s="412">
        <v>5520.5243199717024</v>
      </c>
      <c r="AA14" s="412">
        <v>5520.0345046855355</v>
      </c>
      <c r="AB14" s="412">
        <v>5742.491997295554</v>
      </c>
      <c r="AC14" s="412">
        <v>5940.0183391440878</v>
      </c>
      <c r="AD14" s="412">
        <v>6011.6056620896115</v>
      </c>
      <c r="AE14" s="412">
        <v>6111.8651383084934</v>
      </c>
      <c r="AF14" s="412">
        <v>6278.3984556242194</v>
      </c>
      <c r="AH14" s="413" t="s">
        <v>87</v>
      </c>
      <c r="AI14" s="414">
        <v>0.47683767789135911</v>
      </c>
      <c r="AJ14" s="414">
        <v>2.7247544497000366E-2</v>
      </c>
    </row>
    <row r="15" spans="1:36" s="395" customFormat="1" ht="13.2">
      <c r="A15" s="415"/>
      <c r="B15" s="393" t="s">
        <v>88</v>
      </c>
      <c r="C15" s="394">
        <v>0</v>
      </c>
      <c r="D15" s="394">
        <v>0</v>
      </c>
      <c r="E15" s="394">
        <v>0</v>
      </c>
      <c r="F15" s="394">
        <v>0</v>
      </c>
      <c r="G15" s="394">
        <v>0</v>
      </c>
      <c r="H15" s="416">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4251.2447709138678</v>
      </c>
      <c r="D18" s="412">
        <v>4342.0148456471352</v>
      </c>
      <c r="E18" s="412">
        <v>4494.5552930887307</v>
      </c>
      <c r="F18" s="412">
        <v>4635.8341429848351</v>
      </c>
      <c r="G18" s="412">
        <v>4314.7316146723715</v>
      </c>
      <c r="H18" s="412">
        <v>4587.3036966491809</v>
      </c>
      <c r="I18" s="412">
        <v>4624.7914447141493</v>
      </c>
      <c r="J18" s="412">
        <v>4681.62035851571</v>
      </c>
      <c r="K18" s="412">
        <v>4735.8505862437796</v>
      </c>
      <c r="L18" s="412">
        <v>4785.5946623975142</v>
      </c>
      <c r="M18" s="412">
        <v>4812.8626452803928</v>
      </c>
      <c r="N18" s="412">
        <v>4849.0387937682972</v>
      </c>
      <c r="O18" s="412">
        <v>4896.7883789072648</v>
      </c>
      <c r="P18" s="412">
        <v>4921.9019906022231</v>
      </c>
      <c r="Q18" s="412">
        <v>4877.9240807475471</v>
      </c>
      <c r="R18" s="412">
        <v>4876.9446116612062</v>
      </c>
      <c r="S18" s="412">
        <v>4871.2592014494658</v>
      </c>
      <c r="T18" s="412">
        <v>4877.001738967645</v>
      </c>
      <c r="U18" s="412">
        <v>4864.0082336593332</v>
      </c>
      <c r="V18" s="412">
        <v>4944.8524188369865</v>
      </c>
      <c r="W18" s="412">
        <v>5151.8448959398256</v>
      </c>
      <c r="X18" s="412">
        <v>5303.1589949378749</v>
      </c>
      <c r="Y18" s="412">
        <v>5422.4845556153314</v>
      </c>
      <c r="Z18" s="412">
        <v>5520.5243199717024</v>
      </c>
      <c r="AA18" s="412">
        <v>5520.0345046855355</v>
      </c>
      <c r="AB18" s="412">
        <v>5742.491997295554</v>
      </c>
      <c r="AC18" s="412">
        <v>5940.0183391440878</v>
      </c>
      <c r="AD18" s="412">
        <v>6011.6056620896115</v>
      </c>
      <c r="AE18" s="412">
        <v>6111.8651383084934</v>
      </c>
      <c r="AF18" s="412">
        <v>6278.3984556242194</v>
      </c>
      <c r="AH18" s="419" t="s">
        <v>91</v>
      </c>
      <c r="AI18" s="414">
        <v>0.47683767789135911</v>
      </c>
      <c r="AJ18" s="414">
        <v>2.7247544497000366E-2</v>
      </c>
    </row>
    <row r="19" spans="1:36" s="408" customFormat="1" ht="13.2">
      <c r="A19" s="405"/>
      <c r="B19" s="406" t="s">
        <v>92</v>
      </c>
      <c r="C19" s="407">
        <v>2.8412398104997552</v>
      </c>
      <c r="D19" s="407">
        <v>9.1719636372315456</v>
      </c>
      <c r="E19" s="407">
        <v>6.6543807624952134</v>
      </c>
      <c r="F19" s="407">
        <v>3.7949039953639216</v>
      </c>
      <c r="G19" s="407">
        <v>3.7133197573614125</v>
      </c>
      <c r="H19" s="407">
        <v>4.2838533395056784</v>
      </c>
      <c r="I19" s="407">
        <v>4.433144760701019</v>
      </c>
      <c r="J19" s="407">
        <v>5.8790760671551592</v>
      </c>
      <c r="K19" s="407">
        <v>4.9313786259741423</v>
      </c>
      <c r="L19" s="407">
        <v>7.9679081467515225</v>
      </c>
      <c r="M19" s="407">
        <v>9.2071781730437419</v>
      </c>
      <c r="N19" s="407">
        <v>6.8286780814262329</v>
      </c>
      <c r="O19" s="407">
        <v>5.1287537386059521</v>
      </c>
      <c r="P19" s="407">
        <v>9.9510932786363337</v>
      </c>
      <c r="Q19" s="407">
        <v>9.8163418895120245</v>
      </c>
      <c r="R19" s="407">
        <v>9.2512444378153091</v>
      </c>
      <c r="S19" s="407">
        <v>11.670444697040404</v>
      </c>
      <c r="T19" s="407">
        <v>12.190462233867711</v>
      </c>
      <c r="U19" s="407">
        <v>11.270080463121415</v>
      </c>
      <c r="V19" s="407">
        <v>10.381333031026603</v>
      </c>
      <c r="W19" s="407">
        <v>8.9794837670860641</v>
      </c>
      <c r="X19" s="407">
        <v>11.791105040028047</v>
      </c>
      <c r="Y19" s="407">
        <v>12.073290809556815</v>
      </c>
      <c r="Z19" s="407">
        <v>11.522885035708047</v>
      </c>
      <c r="AA19" s="407">
        <v>15.738271282842035</v>
      </c>
      <c r="AB19" s="407">
        <v>12.063927556639658</v>
      </c>
      <c r="AC19" s="407">
        <v>12.075574200999474</v>
      </c>
      <c r="AD19" s="407">
        <v>12.038827741312851</v>
      </c>
      <c r="AE19" s="407">
        <v>12.040610167833256</v>
      </c>
      <c r="AF19" s="407">
        <v>11.964676995417401</v>
      </c>
      <c r="AH19" s="405" t="s">
        <v>92</v>
      </c>
      <c r="AI19" s="409">
        <v>3.2110760771414411</v>
      </c>
      <c r="AJ19" s="409">
        <v>-6.3064222956667124E-3</v>
      </c>
    </row>
    <row r="22" spans="1:36" ht="18.600000000000001">
      <c r="A22" s="420"/>
      <c r="C22" s="421" t="s">
        <v>463</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Q25" s="423" t="s">
        <v>464</v>
      </c>
    </row>
  </sheetData>
  <mergeCells count="1">
    <mergeCell ref="B2:AD2"/>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J25"/>
  <sheetViews>
    <sheetView workbookViewId="0">
      <selection activeCell="F10" sqref="F10"/>
    </sheetView>
  </sheetViews>
  <sheetFormatPr baseColWidth="10" defaultColWidth="11.44140625" defaultRowHeight="14.4"/>
  <cols>
    <col min="1" max="1" width="3" style="380" customWidth="1"/>
    <col min="2" max="2" width="54" style="380" customWidth="1"/>
    <col min="3" max="33" width="5.6640625" style="380" customWidth="1"/>
    <col min="34" max="34" width="43.33203125" style="380" customWidth="1"/>
    <col min="35" max="36" width="10.33203125" style="380" customWidth="1"/>
    <col min="37" max="16384" width="11.44140625" style="380"/>
  </cols>
  <sheetData>
    <row r="1" spans="1:36" s="379" customFormat="1" ht="29.4">
      <c r="A1" s="376"/>
      <c r="B1" s="377" t="s">
        <v>465</v>
      </c>
      <c r="C1" s="378" t="s">
        <v>466</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6" t="s">
        <v>460</v>
      </c>
      <c r="C2" s="567"/>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467</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468</v>
      </c>
      <c r="AI6" s="391" t="s">
        <v>78</v>
      </c>
      <c r="AJ6" s="391" t="s">
        <v>79</v>
      </c>
    </row>
    <row r="7" spans="1:36" s="395" customFormat="1" ht="13.2">
      <c r="A7" s="392"/>
      <c r="B7" s="393" t="s">
        <v>80</v>
      </c>
      <c r="C7" s="394">
        <v>3.1442277900000004</v>
      </c>
      <c r="D7" s="394">
        <v>3.2208873450000004</v>
      </c>
      <c r="E7" s="394">
        <v>3.5917869919050007</v>
      </c>
      <c r="F7" s="394">
        <v>3.8086784700000003</v>
      </c>
      <c r="G7" s="394">
        <v>3.9971707901999993</v>
      </c>
      <c r="H7" s="394">
        <v>3.8183282738999993</v>
      </c>
      <c r="I7" s="394">
        <v>3.7409600225249999</v>
      </c>
      <c r="J7" s="394">
        <v>3.5728321568400001</v>
      </c>
      <c r="K7" s="394">
        <v>3.82049404191</v>
      </c>
      <c r="L7" s="394">
        <v>5.0067308749499997</v>
      </c>
      <c r="M7" s="394">
        <v>5.5375459938023237</v>
      </c>
      <c r="N7" s="394">
        <v>6.1252215346427974</v>
      </c>
      <c r="O7" s="394">
        <v>7.148478405647599</v>
      </c>
      <c r="P7" s="394">
        <v>7.2761001816449102</v>
      </c>
      <c r="Q7" s="394">
        <v>7.1427299552085426</v>
      </c>
      <c r="R7" s="394">
        <v>7.4341190452854082</v>
      </c>
      <c r="S7" s="394">
        <v>7.533190503012678</v>
      </c>
      <c r="T7" s="394">
        <v>7.8207850286334573</v>
      </c>
      <c r="U7" s="394">
        <v>7.9364769688382122</v>
      </c>
      <c r="V7" s="394">
        <v>8.26656047636199</v>
      </c>
      <c r="W7" s="394">
        <v>7.2313535845179135</v>
      </c>
      <c r="X7" s="394">
        <v>7.1198090965745706</v>
      </c>
      <c r="Y7" s="394">
        <v>7.2020514053950686</v>
      </c>
      <c r="Z7" s="394">
        <v>7.2252136286038642</v>
      </c>
      <c r="AA7" s="394">
        <v>6.7501117664781338</v>
      </c>
      <c r="AB7" s="394">
        <v>6.968675266262446</v>
      </c>
      <c r="AC7" s="394">
        <v>6.7578954205780786</v>
      </c>
      <c r="AD7" s="394">
        <v>6.8918593103029275</v>
      </c>
      <c r="AE7" s="394">
        <v>6.8981475883515273</v>
      </c>
      <c r="AF7" s="394">
        <v>6.9422056463174151</v>
      </c>
      <c r="AH7" s="392" t="s">
        <v>80</v>
      </c>
      <c r="AI7" s="396">
        <v>1.2079207073980522</v>
      </c>
      <c r="AJ7" s="396">
        <v>6.3869404650439632E-3</v>
      </c>
    </row>
    <row r="8" spans="1:36" s="395" customFormat="1" ht="13.2">
      <c r="A8" s="397"/>
      <c r="B8" s="393" t="s">
        <v>81</v>
      </c>
      <c r="C8" s="394">
        <v>2.4378902280039982</v>
      </c>
      <c r="D8" s="394">
        <v>2.4906073386039989</v>
      </c>
      <c r="E8" s="394">
        <v>2.5407136970599984</v>
      </c>
      <c r="F8" s="394">
        <v>2.5892008871189982</v>
      </c>
      <c r="G8" s="394">
        <v>2.6374621467039985</v>
      </c>
      <c r="H8" s="394">
        <v>2.6831503092239983</v>
      </c>
      <c r="I8" s="394">
        <v>2.7258637205029976</v>
      </c>
      <c r="J8" s="394">
        <v>2.7720790541289988</v>
      </c>
      <c r="K8" s="394">
        <v>2.8227000319979982</v>
      </c>
      <c r="L8" s="394">
        <v>2.8712248771359983</v>
      </c>
      <c r="M8" s="394">
        <v>2.9237160572619985</v>
      </c>
      <c r="N8" s="394">
        <v>2.9776757854689979</v>
      </c>
      <c r="O8" s="394">
        <v>3.0293008987779984</v>
      </c>
      <c r="P8" s="394">
        <v>3.0789804996719981</v>
      </c>
      <c r="Q8" s="394">
        <v>3.1186061944729984</v>
      </c>
      <c r="R8" s="394">
        <v>3.1572528572199987</v>
      </c>
      <c r="S8" s="394">
        <v>3.1949832463779986</v>
      </c>
      <c r="T8" s="394">
        <v>3.2583692960279986</v>
      </c>
      <c r="U8" s="394">
        <v>3.2709711957999978</v>
      </c>
      <c r="V8" s="394">
        <v>3.3123917826999985</v>
      </c>
      <c r="W8" s="394">
        <v>3.3513020309999977</v>
      </c>
      <c r="X8" s="394">
        <v>3.3563519954836658</v>
      </c>
      <c r="Y8" s="394">
        <v>3.3664519244509976</v>
      </c>
      <c r="Z8" s="394">
        <v>3.3764054169999982</v>
      </c>
      <c r="AA8" s="394">
        <v>3.3952329564999979</v>
      </c>
      <c r="AB8" s="394">
        <v>3.3607901872285684</v>
      </c>
      <c r="AC8" s="394">
        <v>3.3363220201142831</v>
      </c>
      <c r="AD8" s="394">
        <v>3.3949968857419979</v>
      </c>
      <c r="AE8" s="394">
        <v>3.4166648795509982</v>
      </c>
      <c r="AF8" s="394">
        <v>3.4255363295999985</v>
      </c>
      <c r="AH8" s="398" t="s">
        <v>81</v>
      </c>
      <c r="AI8" s="396">
        <v>0.40512328662337971</v>
      </c>
      <c r="AJ8" s="396">
        <v>2.5965233236940129E-3</v>
      </c>
    </row>
    <row r="9" spans="1:36" s="395" customFormat="1" ht="13.2">
      <c r="A9" s="399"/>
      <c r="B9" s="393" t="s">
        <v>82</v>
      </c>
      <c r="C9" s="424">
        <v>9.751560912015993</v>
      </c>
      <c r="D9" s="424">
        <v>10.454559229775702</v>
      </c>
      <c r="E9" s="424">
        <v>11.44239246417523</v>
      </c>
      <c r="F9" s="424">
        <v>12.817452925274523</v>
      </c>
      <c r="G9" s="424">
        <v>10.549848586815994</v>
      </c>
      <c r="H9" s="424">
        <v>10.732601236895993</v>
      </c>
      <c r="I9" s="424">
        <v>10.903454882011991</v>
      </c>
      <c r="J9" s="424">
        <v>11.088316216515995</v>
      </c>
      <c r="K9" s="424">
        <v>11.290800127991993</v>
      </c>
      <c r="L9" s="424">
        <v>11.484899508543993</v>
      </c>
      <c r="M9" s="424">
        <v>11.694864229047994</v>
      </c>
      <c r="N9" s="424">
        <v>11.910703141875992</v>
      </c>
      <c r="O9" s="424">
        <v>12.117203595111993</v>
      </c>
      <c r="P9" s="424">
        <v>12.315921998687992</v>
      </c>
      <c r="Q9" s="424">
        <v>13.112180872127798</v>
      </c>
      <c r="R9" s="424">
        <v>13.261265256882703</v>
      </c>
      <c r="S9" s="424">
        <v>13.411321017772805</v>
      </c>
      <c r="T9" s="424">
        <v>13.66049247896577</v>
      </c>
      <c r="U9" s="424">
        <v>13.708267369690205</v>
      </c>
      <c r="V9" s="424">
        <v>13.875434037306979</v>
      </c>
      <c r="W9" s="424">
        <v>14.039953403614714</v>
      </c>
      <c r="X9" s="424">
        <v>14.05354236809775</v>
      </c>
      <c r="Y9" s="424">
        <v>14.213837784699193</v>
      </c>
      <c r="Z9" s="424">
        <v>14.251719456635392</v>
      </c>
      <c r="AA9" s="424">
        <v>14.378429176519173</v>
      </c>
      <c r="AB9" s="424">
        <v>14.387189739997609</v>
      </c>
      <c r="AC9" s="424">
        <v>14.437977762374588</v>
      </c>
      <c r="AD9" s="424">
        <v>14.815193179401449</v>
      </c>
      <c r="AE9" s="424">
        <v>15.044612918218803</v>
      </c>
      <c r="AF9" s="424">
        <v>15.221835572718387</v>
      </c>
      <c r="AH9" s="399" t="s">
        <v>82</v>
      </c>
      <c r="AI9" s="396">
        <v>0.56096400464071905</v>
      </c>
      <c r="AJ9" s="396">
        <v>1.1779808192005381E-2</v>
      </c>
    </row>
    <row r="10" spans="1:36" s="395" customFormat="1" ht="13.2">
      <c r="A10" s="401"/>
      <c r="B10" s="393" t="s">
        <v>83</v>
      </c>
      <c r="C10" s="424">
        <v>1.4362846939177665</v>
      </c>
      <c r="D10" s="424">
        <v>1.4603256621390086</v>
      </c>
      <c r="E10" s="424">
        <v>1.4827167438737998</v>
      </c>
      <c r="F10" s="424">
        <v>1.5025313257981825</v>
      </c>
      <c r="G10" s="424">
        <v>1.5302856927349393</v>
      </c>
      <c r="H10" s="424">
        <v>1.8159084660014084</v>
      </c>
      <c r="I10" s="424">
        <v>1.5648523677613693</v>
      </c>
      <c r="J10" s="424">
        <v>1.5785070109517354</v>
      </c>
      <c r="K10" s="424">
        <v>1.6035211029272292</v>
      </c>
      <c r="L10" s="424">
        <v>1.6346710628433772</v>
      </c>
      <c r="M10" s="424">
        <v>1.6637063924812754</v>
      </c>
      <c r="N10" s="424">
        <v>1.6894295608577761</v>
      </c>
      <c r="O10" s="424">
        <v>1.7067774771694717</v>
      </c>
      <c r="P10" s="424">
        <v>1.7387809646030579</v>
      </c>
      <c r="Q10" s="424">
        <v>1.7603025863297028</v>
      </c>
      <c r="R10" s="424">
        <v>1.7767091843668652</v>
      </c>
      <c r="S10" s="424">
        <v>1.7928921124799535</v>
      </c>
      <c r="T10" s="424">
        <v>1.8233518850616517</v>
      </c>
      <c r="U10" s="424">
        <v>1.8288523037395152</v>
      </c>
      <c r="V10" s="424">
        <v>1.8466405906229146</v>
      </c>
      <c r="W10" s="424">
        <v>1.8680896722669942</v>
      </c>
      <c r="X10" s="424">
        <v>1.8742080690618441</v>
      </c>
      <c r="Y10" s="424">
        <v>1.8741643731107609</v>
      </c>
      <c r="Z10" s="424">
        <v>1.8839903660866457</v>
      </c>
      <c r="AA10" s="424">
        <v>1.8836056369547585</v>
      </c>
      <c r="AB10" s="424">
        <v>1.8865596611673912</v>
      </c>
      <c r="AC10" s="424">
        <v>1.876362927221348</v>
      </c>
      <c r="AD10" s="424">
        <v>1.8933058631052946</v>
      </c>
      <c r="AE10" s="424">
        <v>1.9090824040443586</v>
      </c>
      <c r="AF10" s="424">
        <v>1.9065134815223574</v>
      </c>
      <c r="AH10" s="401" t="s">
        <v>84</v>
      </c>
      <c r="AI10" s="396">
        <v>0.32739246585016774</v>
      </c>
      <c r="AJ10" s="396">
        <v>-1.3456320777766948E-3</v>
      </c>
    </row>
    <row r="11" spans="1:36" s="395" customFormat="1" ht="13.2">
      <c r="A11" s="402"/>
      <c r="B11" s="393" t="s">
        <v>4</v>
      </c>
      <c r="C11" s="400">
        <v>113.84452172801869</v>
      </c>
      <c r="D11" s="400">
        <v>110.97114149009479</v>
      </c>
      <c r="E11" s="400">
        <v>107.88610061444859</v>
      </c>
      <c r="F11" s="400">
        <v>103.62666914671908</v>
      </c>
      <c r="G11" s="400">
        <v>99.376758830892754</v>
      </c>
      <c r="H11" s="400">
        <v>96.688556219100491</v>
      </c>
      <c r="I11" s="400">
        <v>94.861220896190218</v>
      </c>
      <c r="J11" s="400">
        <v>94.008707877694775</v>
      </c>
      <c r="K11" s="400">
        <v>93.294655907225405</v>
      </c>
      <c r="L11" s="400">
        <v>92.43642910140403</v>
      </c>
      <c r="M11" s="400">
        <v>91.141297304865134</v>
      </c>
      <c r="N11" s="400">
        <v>90.101515348623394</v>
      </c>
      <c r="O11" s="400">
        <v>92.74053963157462</v>
      </c>
      <c r="P11" s="400">
        <v>89.476690233306158</v>
      </c>
      <c r="Q11" s="400">
        <v>90.409774788276792</v>
      </c>
      <c r="R11" s="400">
        <v>86.162462155285382</v>
      </c>
      <c r="S11" s="400">
        <v>85.212166888894728</v>
      </c>
      <c r="T11" s="400">
        <v>86.288271479064093</v>
      </c>
      <c r="U11" s="400">
        <v>86.905649348376869</v>
      </c>
      <c r="V11" s="400">
        <v>86.653191651341672</v>
      </c>
      <c r="W11" s="400">
        <v>86.043233414924458</v>
      </c>
      <c r="X11" s="400">
        <v>86.430795043852683</v>
      </c>
      <c r="Y11" s="400">
        <v>85.316412526470984</v>
      </c>
      <c r="Z11" s="400">
        <v>86.602285340723881</v>
      </c>
      <c r="AA11" s="400">
        <v>88.551078737664511</v>
      </c>
      <c r="AB11" s="400">
        <v>87.054413127475129</v>
      </c>
      <c r="AC11" s="400">
        <v>84.404443800691993</v>
      </c>
      <c r="AD11" s="400">
        <v>85.552355908092238</v>
      </c>
      <c r="AE11" s="400">
        <v>84.054138118583495</v>
      </c>
      <c r="AF11" s="400">
        <v>86.546946324751261</v>
      </c>
      <c r="AH11" s="402" t="s">
        <v>4</v>
      </c>
      <c r="AI11" s="396">
        <v>-0.23977943768329016</v>
      </c>
      <c r="AJ11" s="396">
        <v>2.9657174078103261E-2</v>
      </c>
    </row>
    <row r="12" spans="1:36" s="395" customFormat="1" ht="13.2">
      <c r="A12" s="403"/>
      <c r="B12" s="393" t="s">
        <v>85</v>
      </c>
      <c r="C12" s="394">
        <v>13.539395513509264</v>
      </c>
      <c r="D12" s="394">
        <v>12.32652476643921</v>
      </c>
      <c r="E12" s="394">
        <v>12.800315171414393</v>
      </c>
      <c r="F12" s="394">
        <v>13.542365348159777</v>
      </c>
      <c r="G12" s="394">
        <v>16.402038704465632</v>
      </c>
      <c r="H12" s="394">
        <v>20.114071259305792</v>
      </c>
      <c r="I12" s="394">
        <v>24.937177462022415</v>
      </c>
      <c r="J12" s="394">
        <v>29.765541651061689</v>
      </c>
      <c r="K12" s="394">
        <v>32.043961511339951</v>
      </c>
      <c r="L12" s="394">
        <v>34.982851886261749</v>
      </c>
      <c r="M12" s="394">
        <v>18.64807786276354</v>
      </c>
      <c r="N12" s="394">
        <v>17.909733201350353</v>
      </c>
      <c r="O12" s="394">
        <v>19.397837009681101</v>
      </c>
      <c r="P12" s="394">
        <v>19.742352074416953</v>
      </c>
      <c r="Q12" s="394">
        <v>21.549271694665997</v>
      </c>
      <c r="R12" s="394">
        <v>21.065979904066609</v>
      </c>
      <c r="S12" s="394">
        <v>20.258861610295753</v>
      </c>
      <c r="T12" s="394">
        <v>19.579925184344408</v>
      </c>
      <c r="U12" s="394">
        <v>18.271541104369085</v>
      </c>
      <c r="V12" s="394">
        <v>17.255578271623691</v>
      </c>
      <c r="W12" s="394">
        <v>17.33702293731746</v>
      </c>
      <c r="X12" s="394">
        <v>16.276665230242472</v>
      </c>
      <c r="Y12" s="394">
        <v>15.480587828002831</v>
      </c>
      <c r="Z12" s="394">
        <v>15.264933951404613</v>
      </c>
      <c r="AA12" s="394">
        <v>14.747820440741805</v>
      </c>
      <c r="AB12" s="394">
        <v>14.998841252831363</v>
      </c>
      <c r="AC12" s="394">
        <v>16.051880658452752</v>
      </c>
      <c r="AD12" s="394">
        <v>15.345614004673781</v>
      </c>
      <c r="AE12" s="394">
        <v>15.486634318078409</v>
      </c>
      <c r="AF12" s="394">
        <v>16.536992401555544</v>
      </c>
      <c r="AH12" s="404" t="s">
        <v>85</v>
      </c>
      <c r="AI12" s="396">
        <v>0.2213981329561836</v>
      </c>
      <c r="AJ12" s="396">
        <v>6.782352200639194E-2</v>
      </c>
    </row>
    <row r="13" spans="1:36" s="408" customFormat="1" ht="13.2">
      <c r="A13" s="405"/>
      <c r="B13" s="406" t="s">
        <v>86</v>
      </c>
      <c r="C13" s="407">
        <v>3.7250138542278637</v>
      </c>
      <c r="D13" s="407">
        <v>5.7556910294516541</v>
      </c>
      <c r="E13" s="407">
        <v>4.8434025413106836</v>
      </c>
      <c r="F13" s="407">
        <v>3.6000036382348832</v>
      </c>
      <c r="G13" s="407">
        <v>3.6450648065396067</v>
      </c>
      <c r="H13" s="407">
        <v>4.4960048044395453</v>
      </c>
      <c r="I13" s="407">
        <v>4.1259525888042239</v>
      </c>
      <c r="J13" s="407">
        <v>4.4329058901861131</v>
      </c>
      <c r="K13" s="407">
        <v>4.0676623486954346</v>
      </c>
      <c r="L13" s="407">
        <v>5.5704695490570053</v>
      </c>
      <c r="M13" s="407">
        <v>6.5063750619531735</v>
      </c>
      <c r="N13" s="407">
        <v>5.4092971082376753</v>
      </c>
      <c r="O13" s="407">
        <v>4.3645195359861546</v>
      </c>
      <c r="P13" s="407">
        <v>5.9316428205087917</v>
      </c>
      <c r="Q13" s="407">
        <v>5.9095575212542766</v>
      </c>
      <c r="R13" s="407">
        <v>6.1146869817421354</v>
      </c>
      <c r="S13" s="407">
        <v>7.2608720230976687</v>
      </c>
      <c r="T13" s="407">
        <v>6.9268288272579266</v>
      </c>
      <c r="U13" s="407">
        <v>6.1671242619558093</v>
      </c>
      <c r="V13" s="407">
        <v>5.3149856081004572</v>
      </c>
      <c r="W13" s="407">
        <v>5.1180583809880327</v>
      </c>
      <c r="X13" s="407">
        <v>5.5723902156244396</v>
      </c>
      <c r="Y13" s="407">
        <v>5.6259464034835966</v>
      </c>
      <c r="Z13" s="407">
        <v>5.6556281771064754</v>
      </c>
      <c r="AA13" s="407">
        <v>6.9285777180797297</v>
      </c>
      <c r="AB13" s="407">
        <v>5.9562822844910013</v>
      </c>
      <c r="AC13" s="407">
        <v>6.1714985238104525</v>
      </c>
      <c r="AD13" s="407">
        <v>6.1253261759781656</v>
      </c>
      <c r="AE13" s="407">
        <v>6.4659722231938428</v>
      </c>
      <c r="AF13" s="407">
        <v>5.9257904242577641</v>
      </c>
      <c r="AH13" s="405" t="s">
        <v>86</v>
      </c>
      <c r="AI13" s="409">
        <v>0.59081030464679618</v>
      </c>
      <c r="AJ13" s="409">
        <v>-8.3542239324569487E-2</v>
      </c>
    </row>
    <row r="14" spans="1:36" s="395" customFormat="1" ht="13.2">
      <c r="A14" s="410"/>
      <c r="B14" s="411" t="s">
        <v>87</v>
      </c>
      <c r="C14" s="412">
        <v>144.15388086546574</v>
      </c>
      <c r="D14" s="412">
        <v>140.92404583205271</v>
      </c>
      <c r="E14" s="412">
        <v>139.74402568287701</v>
      </c>
      <c r="F14" s="412">
        <v>137.88689810307056</v>
      </c>
      <c r="G14" s="412">
        <v>134.49356475181332</v>
      </c>
      <c r="H14" s="412">
        <v>135.8526157644277</v>
      </c>
      <c r="I14" s="412">
        <v>138.733529351014</v>
      </c>
      <c r="J14" s="412">
        <v>142.7859839671932</v>
      </c>
      <c r="K14" s="412">
        <v>144.87613272339257</v>
      </c>
      <c r="L14" s="412">
        <v>148.41680731113914</v>
      </c>
      <c r="M14" s="412">
        <v>131.60920784022227</v>
      </c>
      <c r="N14" s="412">
        <v>130.7142785728193</v>
      </c>
      <c r="O14" s="412">
        <v>136.14013701796279</v>
      </c>
      <c r="P14" s="412">
        <v>133.62882595233106</v>
      </c>
      <c r="Q14" s="412">
        <v>137.09286609108185</v>
      </c>
      <c r="R14" s="412">
        <v>132.85778840310695</v>
      </c>
      <c r="S14" s="412">
        <v>131.40341537883393</v>
      </c>
      <c r="T14" s="412">
        <v>132.43119535209738</v>
      </c>
      <c r="U14" s="412">
        <v>131.92175829081387</v>
      </c>
      <c r="V14" s="412">
        <v>131.20979680995725</v>
      </c>
      <c r="W14" s="412">
        <v>129.87095504364154</v>
      </c>
      <c r="X14" s="412">
        <v>129.11137180331298</v>
      </c>
      <c r="Y14" s="412">
        <v>127.45350584212983</v>
      </c>
      <c r="Z14" s="412">
        <v>128.60454816045439</v>
      </c>
      <c r="AA14" s="412">
        <v>129.7062787148584</v>
      </c>
      <c r="AB14" s="412">
        <v>128.65646923496251</v>
      </c>
      <c r="AC14" s="412">
        <v>126.86488258943305</v>
      </c>
      <c r="AD14" s="412">
        <v>127.89332515131768</v>
      </c>
      <c r="AE14" s="412">
        <v>126.80928022682758</v>
      </c>
      <c r="AF14" s="412">
        <v>130.58002975646497</v>
      </c>
      <c r="AH14" s="413" t="s">
        <v>87</v>
      </c>
      <c r="AI14" s="414">
        <v>-9.4162231550802417E-2</v>
      </c>
      <c r="AJ14" s="414">
        <v>2.9735596029663851E-2</v>
      </c>
    </row>
    <row r="15" spans="1:36" s="395" customFormat="1" ht="13.2">
      <c r="A15" s="415"/>
      <c r="B15" s="393" t="s">
        <v>88</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144.15388086546574</v>
      </c>
      <c r="D18" s="412">
        <v>140.92404583205271</v>
      </c>
      <c r="E18" s="412">
        <v>139.74402568287701</v>
      </c>
      <c r="F18" s="412">
        <v>137.88689810307056</v>
      </c>
      <c r="G18" s="412">
        <v>134.49356475181332</v>
      </c>
      <c r="H18" s="412">
        <v>135.8526157644277</v>
      </c>
      <c r="I18" s="412">
        <v>138.733529351014</v>
      </c>
      <c r="J18" s="412">
        <v>142.7859839671932</v>
      </c>
      <c r="K18" s="412">
        <v>144.87613272339257</v>
      </c>
      <c r="L18" s="412">
        <v>148.41680731113914</v>
      </c>
      <c r="M18" s="412">
        <v>131.60920784022227</v>
      </c>
      <c r="N18" s="412">
        <v>130.7142785728193</v>
      </c>
      <c r="O18" s="412">
        <v>136.14013701796279</v>
      </c>
      <c r="P18" s="412">
        <v>133.62882595233106</v>
      </c>
      <c r="Q18" s="412">
        <v>137.09286609108185</v>
      </c>
      <c r="R18" s="412">
        <v>132.85778840310695</v>
      </c>
      <c r="S18" s="412">
        <v>131.40341537883393</v>
      </c>
      <c r="T18" s="412">
        <v>132.43119535209738</v>
      </c>
      <c r="U18" s="412">
        <v>131.92175829081387</v>
      </c>
      <c r="V18" s="412">
        <v>131.20979680995725</v>
      </c>
      <c r="W18" s="412">
        <v>129.87095504364154</v>
      </c>
      <c r="X18" s="412">
        <v>129.11137180331298</v>
      </c>
      <c r="Y18" s="412">
        <v>127.45350584212983</v>
      </c>
      <c r="Z18" s="412">
        <v>128.60454816045439</v>
      </c>
      <c r="AA18" s="412">
        <v>129.7062787148584</v>
      </c>
      <c r="AB18" s="412">
        <v>128.65646923496251</v>
      </c>
      <c r="AC18" s="412">
        <v>126.86488258943305</v>
      </c>
      <c r="AD18" s="412">
        <v>127.89332515131768</v>
      </c>
      <c r="AE18" s="412">
        <v>126.80928022682758</v>
      </c>
      <c r="AF18" s="412">
        <v>130.58002975646497</v>
      </c>
      <c r="AH18" s="419" t="s">
        <v>91</v>
      </c>
      <c r="AI18" s="414">
        <v>-9.4162231550802417E-2</v>
      </c>
      <c r="AJ18" s="414">
        <v>2.9735596029663851E-2</v>
      </c>
    </row>
    <row r="19" spans="1:36" s="408" customFormat="1" ht="13.2">
      <c r="A19" s="405"/>
      <c r="B19" s="406" t="s">
        <v>92</v>
      </c>
      <c r="C19" s="407">
        <v>3.7250138542278637</v>
      </c>
      <c r="D19" s="407">
        <v>5.7556910294516541</v>
      </c>
      <c r="E19" s="407">
        <v>4.8434025413106836</v>
      </c>
      <c r="F19" s="407">
        <v>3.6000036382348832</v>
      </c>
      <c r="G19" s="407">
        <v>3.6450648065396067</v>
      </c>
      <c r="H19" s="407">
        <v>4.4960048044395453</v>
      </c>
      <c r="I19" s="407">
        <v>4.1259525888042239</v>
      </c>
      <c r="J19" s="407">
        <v>4.4329058901861131</v>
      </c>
      <c r="K19" s="407">
        <v>4.0676623486954346</v>
      </c>
      <c r="L19" s="407">
        <v>5.5704695490570053</v>
      </c>
      <c r="M19" s="407">
        <v>6.5063750619531735</v>
      </c>
      <c r="N19" s="407">
        <v>5.4092971082376753</v>
      </c>
      <c r="O19" s="407">
        <v>4.3645195359861546</v>
      </c>
      <c r="P19" s="407">
        <v>5.9316428205087917</v>
      </c>
      <c r="Q19" s="407">
        <v>5.9095575212542766</v>
      </c>
      <c r="R19" s="407">
        <v>6.1146869817421354</v>
      </c>
      <c r="S19" s="407">
        <v>7.2608720230976687</v>
      </c>
      <c r="T19" s="407">
        <v>6.9268288272579266</v>
      </c>
      <c r="U19" s="407">
        <v>6.1671242619558093</v>
      </c>
      <c r="V19" s="407">
        <v>5.3149856081004572</v>
      </c>
      <c r="W19" s="407">
        <v>5.1180583809880327</v>
      </c>
      <c r="X19" s="407">
        <v>5.5723902156244396</v>
      </c>
      <c r="Y19" s="407">
        <v>5.6259464034835966</v>
      </c>
      <c r="Z19" s="407">
        <v>5.6556281771064754</v>
      </c>
      <c r="AA19" s="407">
        <v>6.9285777180797297</v>
      </c>
      <c r="AB19" s="407">
        <v>5.9562822844910013</v>
      </c>
      <c r="AC19" s="407">
        <v>6.1714985238104525</v>
      </c>
      <c r="AD19" s="407">
        <v>6.1253261759781656</v>
      </c>
      <c r="AE19" s="407">
        <v>6.4659722231938428</v>
      </c>
      <c r="AF19" s="407">
        <v>5.9257904242577641</v>
      </c>
      <c r="AH19" s="405" t="s">
        <v>92</v>
      </c>
      <c r="AI19" s="409">
        <v>0.59081030464679618</v>
      </c>
      <c r="AJ19" s="409">
        <v>-8.3542239324569487E-2</v>
      </c>
    </row>
    <row r="22" spans="1:36" ht="18.600000000000001">
      <c r="A22" s="420"/>
      <c r="C22" s="421" t="s">
        <v>469</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Q25" s="423" t="s">
        <v>464</v>
      </c>
    </row>
  </sheetData>
  <mergeCells count="1">
    <mergeCell ref="B2:AD2"/>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25"/>
  <sheetViews>
    <sheetView topLeftCell="F1" workbookViewId="0">
      <selection activeCell="AE6" sqref="AE6:AF14"/>
    </sheetView>
  </sheetViews>
  <sheetFormatPr baseColWidth="10" defaultColWidth="11.44140625" defaultRowHeight="14.4"/>
  <cols>
    <col min="1" max="1" width="3" style="380" customWidth="1"/>
    <col min="2" max="2" width="54" style="380" customWidth="1"/>
    <col min="3" max="16" width="5.6640625" style="380" customWidth="1"/>
    <col min="17" max="32" width="6" style="380" customWidth="1"/>
    <col min="33" max="33" width="5.6640625" style="380" customWidth="1"/>
    <col min="34" max="34" width="43.33203125" style="380" customWidth="1"/>
    <col min="35" max="36" width="10.33203125" style="380" customWidth="1"/>
    <col min="37" max="16384" width="11.44140625" style="380"/>
  </cols>
  <sheetData>
    <row r="1" spans="1:36" s="379" customFormat="1" ht="25.8">
      <c r="A1" s="376"/>
      <c r="B1" s="377" t="s">
        <v>491</v>
      </c>
      <c r="C1" s="378" t="s">
        <v>492</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6" t="s">
        <v>460</v>
      </c>
      <c r="C2" s="567"/>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493</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491</v>
      </c>
      <c r="AI6" s="391" t="s">
        <v>78</v>
      </c>
      <c r="AJ6" s="391" t="s">
        <v>79</v>
      </c>
    </row>
    <row r="7" spans="1:36" s="395" customFormat="1" ht="13.2">
      <c r="A7" s="392"/>
      <c r="B7" s="393" t="s">
        <v>80</v>
      </c>
      <c r="C7" s="394">
        <v>0</v>
      </c>
      <c r="D7" s="394">
        <v>0</v>
      </c>
      <c r="E7" s="394">
        <v>0</v>
      </c>
      <c r="F7" s="394">
        <v>0</v>
      </c>
      <c r="G7" s="394">
        <v>0</v>
      </c>
      <c r="H7" s="394">
        <v>0.83934736996981751</v>
      </c>
      <c r="I7" s="394">
        <v>3.7890538415780344</v>
      </c>
      <c r="J7" s="394">
        <v>6.7387603131862521</v>
      </c>
      <c r="K7" s="394">
        <v>9.6884667847944659</v>
      </c>
      <c r="L7" s="394">
        <v>12.638173256402686</v>
      </c>
      <c r="M7" s="394">
        <v>15.5878797280109</v>
      </c>
      <c r="N7" s="394">
        <v>20.029226382822621</v>
      </c>
      <c r="O7" s="394">
        <v>24.048501217306661</v>
      </c>
      <c r="P7" s="394">
        <v>27.645704231463021</v>
      </c>
      <c r="Q7" s="394">
        <v>30.340997320827373</v>
      </c>
      <c r="R7" s="394">
        <v>33.400097948187401</v>
      </c>
      <c r="S7" s="394">
        <v>40.209133002492152</v>
      </c>
      <c r="T7" s="394">
        <v>38.939058395827587</v>
      </c>
      <c r="U7" s="394">
        <v>37.330668149916903</v>
      </c>
      <c r="V7" s="394">
        <v>36.150002782466267</v>
      </c>
      <c r="W7" s="394">
        <v>35.170217130779008</v>
      </c>
      <c r="X7" s="394">
        <v>39.250313297642684</v>
      </c>
      <c r="Y7" s="394">
        <v>37.415454858267083</v>
      </c>
      <c r="Z7" s="394">
        <v>35.796080818939181</v>
      </c>
      <c r="AA7" s="394">
        <v>30.429509910980343</v>
      </c>
      <c r="AB7" s="394">
        <v>26.621897714832876</v>
      </c>
      <c r="AC7" s="394">
        <v>24.618835382308788</v>
      </c>
      <c r="AD7" s="394">
        <v>22.288619064042422</v>
      </c>
      <c r="AE7" s="394">
        <v>17.207561693740772</v>
      </c>
      <c r="AF7" s="394">
        <v>13.591589401888243</v>
      </c>
      <c r="AH7" s="392" t="s">
        <v>80</v>
      </c>
      <c r="AI7" s="396">
        <v>0</v>
      </c>
      <c r="AJ7" s="396">
        <v>-0.21013856327871452</v>
      </c>
    </row>
    <row r="8" spans="1:36" s="395" customFormat="1" ht="13.2">
      <c r="A8" s="397"/>
      <c r="B8" s="393" t="s">
        <v>81</v>
      </c>
      <c r="C8" s="394">
        <v>0</v>
      </c>
      <c r="D8" s="394">
        <v>0</v>
      </c>
      <c r="E8" s="394">
        <v>0</v>
      </c>
      <c r="F8" s="394">
        <v>0</v>
      </c>
      <c r="G8" s="394">
        <v>115.76715499311763</v>
      </c>
      <c r="H8" s="394">
        <v>551.46167927928695</v>
      </c>
      <c r="I8" s="394">
        <v>1036.2307937320911</v>
      </c>
      <c r="J8" s="394">
        <v>1113.160247645721</v>
      </c>
      <c r="K8" s="394">
        <v>1202.0015146520032</v>
      </c>
      <c r="L8" s="394">
        <v>1284.1946830459351</v>
      </c>
      <c r="M8" s="394">
        <v>1306.6658372844217</v>
      </c>
      <c r="N8" s="394">
        <v>1400.6227603684388</v>
      </c>
      <c r="O8" s="394">
        <v>1529.6852909337083</v>
      </c>
      <c r="P8" s="394">
        <v>1864.9697972318381</v>
      </c>
      <c r="Q8" s="394">
        <v>2059.0573301201266</v>
      </c>
      <c r="R8" s="394">
        <v>2229.1753753810767</v>
      </c>
      <c r="S8" s="394">
        <v>2403.3662811148743</v>
      </c>
      <c r="T8" s="394">
        <v>2517.7603255726426</v>
      </c>
      <c r="U8" s="394">
        <v>2416.9051698857184</v>
      </c>
      <c r="V8" s="394">
        <v>2303.4893466501112</v>
      </c>
      <c r="W8" s="394">
        <v>2436.4805368322864</v>
      </c>
      <c r="X8" s="394">
        <v>2426.2178970932696</v>
      </c>
      <c r="Y8" s="394">
        <v>2229.3584585226918</v>
      </c>
      <c r="Z8" s="394">
        <v>2197.781191759495</v>
      </c>
      <c r="AA8" s="394">
        <v>2114.9730137795896</v>
      </c>
      <c r="AB8" s="394">
        <v>2033.8139412551413</v>
      </c>
      <c r="AC8" s="394">
        <v>2017.6260186185455</v>
      </c>
      <c r="AD8" s="394">
        <v>2007.8540661275165</v>
      </c>
      <c r="AE8" s="394">
        <v>1293.6164027233212</v>
      </c>
      <c r="AF8" s="394">
        <v>1210.3534901879896</v>
      </c>
      <c r="AH8" s="398" t="s">
        <v>81</v>
      </c>
      <c r="AI8" s="396">
        <v>0</v>
      </c>
      <c r="AJ8" s="396">
        <v>-6.4364453295464252E-2</v>
      </c>
    </row>
    <row r="9" spans="1:36" s="395" customFormat="1" ht="13.2">
      <c r="A9" s="399"/>
      <c r="B9" s="393" t="s">
        <v>82</v>
      </c>
      <c r="C9" s="394">
        <v>0</v>
      </c>
      <c r="D9" s="394">
        <v>0</v>
      </c>
      <c r="E9" s="394">
        <v>0</v>
      </c>
      <c r="F9" s="394">
        <v>0</v>
      </c>
      <c r="G9" s="394">
        <v>0</v>
      </c>
      <c r="H9" s="394">
        <v>0</v>
      </c>
      <c r="I9" s="394">
        <v>0</v>
      </c>
      <c r="J9" s="394">
        <v>0</v>
      </c>
      <c r="K9" s="394">
        <v>0</v>
      </c>
      <c r="L9" s="394">
        <v>0</v>
      </c>
      <c r="M9" s="394">
        <v>0</v>
      </c>
      <c r="N9" s="394">
        <v>0</v>
      </c>
      <c r="O9" s="394">
        <v>0</v>
      </c>
      <c r="P9" s="394">
        <v>0</v>
      </c>
      <c r="Q9" s="394">
        <v>0</v>
      </c>
      <c r="R9" s="394">
        <v>0</v>
      </c>
      <c r="S9" s="394">
        <v>0</v>
      </c>
      <c r="T9" s="394">
        <v>0</v>
      </c>
      <c r="U9" s="394">
        <v>0</v>
      </c>
      <c r="V9" s="394">
        <v>0</v>
      </c>
      <c r="W9" s="394">
        <v>0</v>
      </c>
      <c r="X9" s="394">
        <v>0</v>
      </c>
      <c r="Y9" s="394">
        <v>0</v>
      </c>
      <c r="Z9" s="394">
        <v>0</v>
      </c>
      <c r="AA9" s="394">
        <v>0</v>
      </c>
      <c r="AB9" s="394">
        <v>0</v>
      </c>
      <c r="AC9" s="394">
        <v>0</v>
      </c>
      <c r="AD9" s="394">
        <v>0</v>
      </c>
      <c r="AE9" s="394">
        <v>0</v>
      </c>
      <c r="AF9" s="394">
        <v>0</v>
      </c>
      <c r="AH9" s="399" t="s">
        <v>82</v>
      </c>
      <c r="AI9" s="396">
        <v>0</v>
      </c>
      <c r="AJ9" s="396">
        <v>0</v>
      </c>
    </row>
    <row r="10" spans="1:36" s="395" customFormat="1" ht="13.2">
      <c r="A10" s="401"/>
      <c r="B10" s="393" t="s">
        <v>83</v>
      </c>
      <c r="C10" s="394">
        <v>0</v>
      </c>
      <c r="D10" s="394">
        <v>0</v>
      </c>
      <c r="E10" s="394">
        <v>0</v>
      </c>
      <c r="F10" s="394">
        <v>0</v>
      </c>
      <c r="G10" s="416">
        <v>450.26163542099749</v>
      </c>
      <c r="H10" s="416">
        <v>2969.9572543640488</v>
      </c>
      <c r="I10" s="416">
        <v>5559.1327918610241</v>
      </c>
      <c r="J10" s="416">
        <v>5674.8663936353605</v>
      </c>
      <c r="K10" s="416">
        <v>5823.9558973634012</v>
      </c>
      <c r="L10" s="416">
        <v>5960.092204784145</v>
      </c>
      <c r="M10" s="416">
        <v>5632.2919369674637</v>
      </c>
      <c r="N10" s="416">
        <v>5837.8980184688207</v>
      </c>
      <c r="O10" s="416">
        <v>5861.3567447315818</v>
      </c>
      <c r="P10" s="416">
        <v>7456.7681425842129</v>
      </c>
      <c r="Q10" s="416">
        <v>8158.6639030121778</v>
      </c>
      <c r="R10" s="416">
        <v>8460.4361362368654</v>
      </c>
      <c r="S10" s="416">
        <v>8789.2389034007865</v>
      </c>
      <c r="T10" s="416">
        <v>9553.1705157115903</v>
      </c>
      <c r="U10" s="416">
        <v>10341.982835420498</v>
      </c>
      <c r="V10" s="416">
        <v>10336.287174095529</v>
      </c>
      <c r="W10" s="416">
        <v>11999.332837104623</v>
      </c>
      <c r="X10" s="416">
        <v>12752.253675791295</v>
      </c>
      <c r="Y10" s="416">
        <v>12839.94359070163</v>
      </c>
      <c r="Z10" s="416">
        <v>13412.85917525948</v>
      </c>
      <c r="AA10" s="416">
        <v>13994.346815088138</v>
      </c>
      <c r="AB10" s="416">
        <v>14719.510247096816</v>
      </c>
      <c r="AC10" s="416">
        <v>15593.127756277543</v>
      </c>
      <c r="AD10" s="416">
        <v>16831.351234310656</v>
      </c>
      <c r="AE10" s="416">
        <v>12628.509517561397</v>
      </c>
      <c r="AF10" s="416">
        <v>12377.71012680039</v>
      </c>
      <c r="AH10" s="401" t="s">
        <v>84</v>
      </c>
      <c r="AI10" s="396">
        <v>0</v>
      </c>
      <c r="AJ10" s="396">
        <v>-1.9859777625557604E-2</v>
      </c>
    </row>
    <row r="11" spans="1:36" s="395" customFormat="1" ht="13.2">
      <c r="A11" s="402"/>
      <c r="B11" s="393" t="s">
        <v>4</v>
      </c>
      <c r="C11" s="394">
        <v>0</v>
      </c>
      <c r="D11" s="394">
        <v>0</v>
      </c>
      <c r="E11" s="394">
        <v>0</v>
      </c>
      <c r="F11" s="394">
        <v>0</v>
      </c>
      <c r="G11" s="394">
        <v>0</v>
      </c>
      <c r="H11" s="394">
        <v>0</v>
      </c>
      <c r="I11" s="394">
        <v>0</v>
      </c>
      <c r="J11" s="394">
        <v>0</v>
      </c>
      <c r="K11" s="394">
        <v>1.0748480935113087</v>
      </c>
      <c r="L11" s="394">
        <v>6.3499768104231968</v>
      </c>
      <c r="M11" s="394">
        <v>10.164559056161483</v>
      </c>
      <c r="N11" s="394">
        <v>15.457186066537851</v>
      </c>
      <c r="O11" s="394">
        <v>19.925124840735691</v>
      </c>
      <c r="P11" s="394">
        <v>26.604795063517912</v>
      </c>
      <c r="Q11" s="394">
        <v>35.202777693599309</v>
      </c>
      <c r="R11" s="394">
        <v>46.891985351812643</v>
      </c>
      <c r="S11" s="394">
        <v>55.039587290701689</v>
      </c>
      <c r="T11" s="394">
        <v>62.381037522690526</v>
      </c>
      <c r="U11" s="394">
        <v>58.501959282735683</v>
      </c>
      <c r="V11" s="394">
        <v>66.289056286809185</v>
      </c>
      <c r="W11" s="394">
        <v>66.632013797855166</v>
      </c>
      <c r="X11" s="394">
        <v>61.348063911507936</v>
      </c>
      <c r="Y11" s="394">
        <v>61.744377249636152</v>
      </c>
      <c r="Z11" s="394">
        <v>62.442780540201269</v>
      </c>
      <c r="AA11" s="394">
        <v>60.600403497232548</v>
      </c>
      <c r="AB11" s="394">
        <v>56.22347358466638</v>
      </c>
      <c r="AC11" s="394">
        <v>55.026544235673207</v>
      </c>
      <c r="AD11" s="394">
        <v>60.108876781592031</v>
      </c>
      <c r="AE11" s="394">
        <v>60.108876781592031</v>
      </c>
      <c r="AF11" s="394">
        <v>60.108876781592031</v>
      </c>
      <c r="AH11" s="402" t="s">
        <v>4</v>
      </c>
      <c r="AI11" s="396">
        <v>0</v>
      </c>
      <c r="AJ11" s="396">
        <v>0</v>
      </c>
    </row>
    <row r="12" spans="1:36" s="395" customFormat="1" ht="13.2">
      <c r="A12" s="403"/>
      <c r="B12" s="393" t="s">
        <v>85</v>
      </c>
      <c r="C12" s="394">
        <v>0</v>
      </c>
      <c r="D12" s="394">
        <v>0</v>
      </c>
      <c r="E12" s="394">
        <v>0</v>
      </c>
      <c r="F12" s="394">
        <v>0</v>
      </c>
      <c r="G12" s="394">
        <v>6.5935348417715867</v>
      </c>
      <c r="H12" s="394">
        <v>43.460592816469067</v>
      </c>
      <c r="I12" s="394">
        <v>98.150507061852494</v>
      </c>
      <c r="J12" s="394">
        <v>155.75739760432344</v>
      </c>
      <c r="K12" s="394">
        <v>410.29431773276184</v>
      </c>
      <c r="L12" s="394">
        <v>904.36282287115216</v>
      </c>
      <c r="M12" s="394">
        <v>1791.9854098186104</v>
      </c>
      <c r="N12" s="394">
        <v>2913.3585570658597</v>
      </c>
      <c r="O12" s="394">
        <v>4203.2844390785676</v>
      </c>
      <c r="P12" s="394">
        <v>6113.7886203298813</v>
      </c>
      <c r="Q12" s="394">
        <v>7648.9298155855595</v>
      </c>
      <c r="R12" s="394">
        <v>9712.1525086220063</v>
      </c>
      <c r="S12" s="394">
        <v>10220.781760215086</v>
      </c>
      <c r="T12" s="394">
        <v>13348.627402170236</v>
      </c>
      <c r="U12" s="394">
        <v>13375.902197372947</v>
      </c>
      <c r="V12" s="394">
        <v>11207.853627798126</v>
      </c>
      <c r="W12" s="394">
        <v>11083.285578331082</v>
      </c>
      <c r="X12" s="394">
        <v>11267.940278261256</v>
      </c>
      <c r="Y12" s="394">
        <v>10602.677868697307</v>
      </c>
      <c r="Z12" s="394">
        <v>10495.861105432121</v>
      </c>
      <c r="AA12" s="394">
        <v>10451.621947634176</v>
      </c>
      <c r="AB12" s="394">
        <v>10540.242558472793</v>
      </c>
      <c r="AC12" s="394">
        <v>11195.395525804173</v>
      </c>
      <c r="AD12" s="394">
        <v>11916.151813347786</v>
      </c>
      <c r="AE12" s="394">
        <v>11854.409752122472</v>
      </c>
      <c r="AF12" s="394">
        <v>11850.30437950827</v>
      </c>
      <c r="AH12" s="404" t="s">
        <v>85</v>
      </c>
      <c r="AI12" s="396">
        <v>0</v>
      </c>
      <c r="AJ12" s="396">
        <v>-3.4631607140682169E-4</v>
      </c>
    </row>
    <row r="13" spans="1:36" s="408" customFormat="1" ht="13.2">
      <c r="A13" s="405"/>
      <c r="B13" s="406" t="s">
        <v>86</v>
      </c>
      <c r="C13" s="407">
        <v>0</v>
      </c>
      <c r="D13" s="407">
        <v>0</v>
      </c>
      <c r="E13" s="407">
        <v>0</v>
      </c>
      <c r="F13" s="407">
        <v>0</v>
      </c>
      <c r="G13" s="407">
        <v>38.062918110671163</v>
      </c>
      <c r="H13" s="407">
        <v>250.88772943679714</v>
      </c>
      <c r="I13" s="407">
        <v>469.07692359040362</v>
      </c>
      <c r="J13" s="407">
        <v>475.54237138848822</v>
      </c>
      <c r="K13" s="407">
        <v>482.6483335878969</v>
      </c>
      <c r="L13" s="407">
        <v>488.60598438583156</v>
      </c>
      <c r="M13" s="407">
        <v>453.10424590035154</v>
      </c>
      <c r="N13" s="407">
        <v>458.2556754384575</v>
      </c>
      <c r="O13" s="407">
        <v>441.90668468726938</v>
      </c>
      <c r="P13" s="407">
        <v>509.92276979386929</v>
      </c>
      <c r="Q13" s="407">
        <v>506.79441953350056</v>
      </c>
      <c r="R13" s="407">
        <v>503.37511717362469</v>
      </c>
      <c r="S13" s="407">
        <v>499.49496922258442</v>
      </c>
      <c r="T13" s="407">
        <v>499.47158384071776</v>
      </c>
      <c r="U13" s="407">
        <v>492.11200425299694</v>
      </c>
      <c r="V13" s="407">
        <v>450.29490367159309</v>
      </c>
      <c r="W13" s="407">
        <v>523.85611956722369</v>
      </c>
      <c r="X13" s="407">
        <v>487.36584170994774</v>
      </c>
      <c r="Y13" s="407">
        <v>409.90853821481215</v>
      </c>
      <c r="Z13" s="407">
        <v>409.11398285155627</v>
      </c>
      <c r="AA13" s="407">
        <v>412.02769974539103</v>
      </c>
      <c r="AB13" s="407">
        <v>405.20707555197862</v>
      </c>
      <c r="AC13" s="407">
        <v>401.14113135827648</v>
      </c>
      <c r="AD13" s="407">
        <v>404.87700985458741</v>
      </c>
      <c r="AE13" s="407">
        <v>48.474739865405958</v>
      </c>
      <c r="AF13" s="407">
        <v>24.795576497735762</v>
      </c>
      <c r="AH13" s="405" t="s">
        <v>86</v>
      </c>
      <c r="AI13" s="409">
        <v>0</v>
      </c>
      <c r="AJ13" s="409">
        <v>-0.48848458874492801</v>
      </c>
    </row>
    <row r="14" spans="1:36" s="395" customFormat="1" ht="13.2">
      <c r="A14" s="410"/>
      <c r="B14" s="411" t="s">
        <v>87</v>
      </c>
      <c r="C14" s="412">
        <v>0</v>
      </c>
      <c r="D14" s="412">
        <v>0</v>
      </c>
      <c r="E14" s="412">
        <v>0</v>
      </c>
      <c r="F14" s="412">
        <v>0</v>
      </c>
      <c r="G14" s="412">
        <v>572.62232525588661</v>
      </c>
      <c r="H14" s="412">
        <v>3565.7188738297746</v>
      </c>
      <c r="I14" s="412">
        <v>6697.3031464965452</v>
      </c>
      <c r="J14" s="412">
        <v>6950.5227991985912</v>
      </c>
      <c r="K14" s="412">
        <v>7447.0150446264715</v>
      </c>
      <c r="L14" s="412">
        <v>8167.6378607680581</v>
      </c>
      <c r="M14" s="412">
        <v>8756.6956228546678</v>
      </c>
      <c r="N14" s="412">
        <v>10187.36574835248</v>
      </c>
      <c r="O14" s="412">
        <v>11638.3001008019</v>
      </c>
      <c r="P14" s="412">
        <v>15489.777059440912</v>
      </c>
      <c r="Q14" s="412">
        <v>17932.19482373229</v>
      </c>
      <c r="R14" s="412">
        <v>20482.056103539948</v>
      </c>
      <c r="S14" s="412">
        <v>21508.63566502394</v>
      </c>
      <c r="T14" s="412">
        <v>25520.878339372986</v>
      </c>
      <c r="U14" s="412">
        <v>26230.622830111817</v>
      </c>
      <c r="V14" s="412">
        <v>23950.06920761304</v>
      </c>
      <c r="W14" s="412">
        <v>25620.901183196627</v>
      </c>
      <c r="X14" s="412">
        <v>26547.010228354971</v>
      </c>
      <c r="Y14" s="412">
        <v>25771.139750029532</v>
      </c>
      <c r="Z14" s="412">
        <v>26204.740333810238</v>
      </c>
      <c r="AA14" s="412">
        <v>26651.971689910115</v>
      </c>
      <c r="AB14" s="412">
        <v>27376.412118124248</v>
      </c>
      <c r="AC14" s="412">
        <v>28885.794680318242</v>
      </c>
      <c r="AD14" s="412">
        <v>30837.754609631593</v>
      </c>
      <c r="AE14" s="412">
        <v>25853.852110882523</v>
      </c>
      <c r="AF14" s="412">
        <v>25512.06846268013</v>
      </c>
      <c r="AH14" s="413" t="s">
        <v>87</v>
      </c>
      <c r="AI14" s="414">
        <v>0</v>
      </c>
      <c r="AJ14" s="414">
        <v>-1.3219834581575836E-2</v>
      </c>
    </row>
    <row r="15" spans="1:36" s="395" customFormat="1" ht="13.2">
      <c r="A15" s="415"/>
      <c r="B15" s="393" t="s">
        <v>88</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0</v>
      </c>
      <c r="D18" s="412">
        <v>0</v>
      </c>
      <c r="E18" s="412">
        <v>0</v>
      </c>
      <c r="F18" s="412">
        <v>0</v>
      </c>
      <c r="G18" s="412">
        <v>572.62232525588661</v>
      </c>
      <c r="H18" s="412">
        <v>3565.7188738297746</v>
      </c>
      <c r="I18" s="412">
        <v>6697.3031464965452</v>
      </c>
      <c r="J18" s="412">
        <v>6950.5227991985912</v>
      </c>
      <c r="K18" s="412">
        <v>7447.0150446264715</v>
      </c>
      <c r="L18" s="412">
        <v>8167.6378607680581</v>
      </c>
      <c r="M18" s="412">
        <v>8756.6956228546678</v>
      </c>
      <c r="N18" s="412">
        <v>10187.36574835248</v>
      </c>
      <c r="O18" s="412">
        <v>11638.3001008019</v>
      </c>
      <c r="P18" s="412">
        <v>15489.777059440912</v>
      </c>
      <c r="Q18" s="412">
        <v>17932.19482373229</v>
      </c>
      <c r="R18" s="412">
        <v>20482.056103539948</v>
      </c>
      <c r="S18" s="412">
        <v>21508.63566502394</v>
      </c>
      <c r="T18" s="412">
        <v>25520.878339372986</v>
      </c>
      <c r="U18" s="412">
        <v>26230.622830111817</v>
      </c>
      <c r="V18" s="412">
        <v>23950.06920761304</v>
      </c>
      <c r="W18" s="412">
        <v>25620.901183196627</v>
      </c>
      <c r="X18" s="412">
        <v>26547.010228354971</v>
      </c>
      <c r="Y18" s="412">
        <v>25771.139750029532</v>
      </c>
      <c r="Z18" s="412">
        <v>26204.740333810238</v>
      </c>
      <c r="AA18" s="412">
        <v>26651.971689910115</v>
      </c>
      <c r="AB18" s="412">
        <v>27376.412118124248</v>
      </c>
      <c r="AC18" s="412">
        <v>28885.794680318242</v>
      </c>
      <c r="AD18" s="412">
        <v>30837.754609631593</v>
      </c>
      <c r="AE18" s="412">
        <v>25853.852110882523</v>
      </c>
      <c r="AF18" s="412">
        <v>25512.06846268013</v>
      </c>
      <c r="AH18" s="419" t="s">
        <v>91</v>
      </c>
      <c r="AI18" s="414">
        <v>0</v>
      </c>
      <c r="AJ18" s="414">
        <v>-1.3219834581575836E-2</v>
      </c>
    </row>
    <row r="19" spans="1:36" s="408" customFormat="1" ht="13.2">
      <c r="A19" s="405"/>
      <c r="B19" s="406" t="s">
        <v>92</v>
      </c>
      <c r="C19" s="407">
        <v>0</v>
      </c>
      <c r="D19" s="407">
        <v>0</v>
      </c>
      <c r="E19" s="407">
        <v>0</v>
      </c>
      <c r="F19" s="407">
        <v>0</v>
      </c>
      <c r="G19" s="407">
        <v>38.062918110671163</v>
      </c>
      <c r="H19" s="407">
        <v>250.88772943679714</v>
      </c>
      <c r="I19" s="407">
        <v>469.07692359040362</v>
      </c>
      <c r="J19" s="407">
        <v>475.54237138848822</v>
      </c>
      <c r="K19" s="407">
        <v>482.6483335878969</v>
      </c>
      <c r="L19" s="407">
        <v>488.60598438583156</v>
      </c>
      <c r="M19" s="407">
        <v>453.10424590035154</v>
      </c>
      <c r="N19" s="407">
        <v>458.2556754384575</v>
      </c>
      <c r="O19" s="407">
        <v>441.90668468726938</v>
      </c>
      <c r="P19" s="407">
        <v>509.92276979386929</v>
      </c>
      <c r="Q19" s="407">
        <v>506.79441953350056</v>
      </c>
      <c r="R19" s="407">
        <v>503.37511717362469</v>
      </c>
      <c r="S19" s="407">
        <v>499.49496922258442</v>
      </c>
      <c r="T19" s="407">
        <v>499.47158384071776</v>
      </c>
      <c r="U19" s="407">
        <v>492.11200425299694</v>
      </c>
      <c r="V19" s="407">
        <v>450.29490367159309</v>
      </c>
      <c r="W19" s="407">
        <v>523.85611956722369</v>
      </c>
      <c r="X19" s="407">
        <v>487.36584170994774</v>
      </c>
      <c r="Y19" s="407">
        <v>409.90853821481215</v>
      </c>
      <c r="Z19" s="407">
        <v>409.11398285155627</v>
      </c>
      <c r="AA19" s="407">
        <v>412.02769974539103</v>
      </c>
      <c r="AB19" s="407">
        <v>405.20707555197862</v>
      </c>
      <c r="AC19" s="407">
        <v>401.14113135827648</v>
      </c>
      <c r="AD19" s="407">
        <v>404.87700985458741</v>
      </c>
      <c r="AE19" s="407">
        <v>48.474739865405958</v>
      </c>
      <c r="AF19" s="407">
        <v>24.795576497735762</v>
      </c>
      <c r="AH19" s="405" t="s">
        <v>92</v>
      </c>
      <c r="AI19" s="409">
        <v>0</v>
      </c>
      <c r="AJ19" s="409">
        <v>-0.48848458874492801</v>
      </c>
    </row>
    <row r="22" spans="1:36" ht="18">
      <c r="A22" s="420"/>
      <c r="C22" s="421" t="s">
        <v>494</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O25" s="426" t="s">
        <v>495</v>
      </c>
    </row>
  </sheetData>
  <mergeCells count="1">
    <mergeCell ref="B2:AD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J25"/>
  <sheetViews>
    <sheetView workbookViewId="0">
      <selection activeCell="Q22" sqref="Q22"/>
    </sheetView>
  </sheetViews>
  <sheetFormatPr baseColWidth="10" defaultColWidth="11.44140625" defaultRowHeight="14.4"/>
  <cols>
    <col min="1" max="1" width="3" style="380" customWidth="1"/>
    <col min="2" max="2" width="54" style="380" customWidth="1"/>
    <col min="3" max="33" width="5.6640625" style="380" customWidth="1"/>
    <col min="34" max="34" width="43.33203125" style="380" customWidth="1"/>
    <col min="35" max="36" width="10.33203125" style="380" customWidth="1"/>
    <col min="37" max="16384" width="11.44140625" style="380"/>
  </cols>
  <sheetData>
    <row r="1" spans="1:36" s="379" customFormat="1" ht="29.4">
      <c r="A1" s="376"/>
      <c r="B1" s="377" t="s">
        <v>470</v>
      </c>
      <c r="C1" s="378" t="s">
        <v>471</v>
      </c>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ht="15">
      <c r="B2" s="567" t="s">
        <v>472</v>
      </c>
      <c r="C2" s="567"/>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381"/>
      <c r="AF2" s="381"/>
    </row>
    <row r="3" spans="1:36" ht="15">
      <c r="B3" s="382" t="s">
        <v>94</v>
      </c>
      <c r="C3" s="381"/>
      <c r="D3" s="381"/>
      <c r="E3" s="381"/>
      <c r="F3" s="381"/>
      <c r="G3" s="381"/>
      <c r="H3" s="381"/>
      <c r="I3" s="381"/>
      <c r="J3" s="381"/>
      <c r="K3" s="381"/>
      <c r="L3" s="381"/>
      <c r="M3" s="381"/>
      <c r="N3" s="381"/>
      <c r="O3" s="381"/>
      <c r="P3" s="381"/>
      <c r="Q3" s="381"/>
      <c r="R3" s="381"/>
      <c r="S3" s="381"/>
      <c r="T3" s="381"/>
      <c r="U3" s="381"/>
      <c r="V3" s="381"/>
      <c r="W3" s="381"/>
      <c r="X3" s="381"/>
      <c r="Y3" s="381"/>
      <c r="Z3" s="381"/>
      <c r="AA3" s="381"/>
      <c r="AB3" s="381"/>
      <c r="AC3" s="381"/>
      <c r="AD3" s="381"/>
      <c r="AE3" s="381"/>
      <c r="AF3" s="381"/>
    </row>
    <row r="4" spans="1:36" ht="22.2">
      <c r="B4" s="383"/>
      <c r="C4" s="384"/>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row>
    <row r="5" spans="1:36" ht="18">
      <c r="A5" s="385"/>
      <c r="B5" s="386" t="s">
        <v>75</v>
      </c>
      <c r="C5" s="385"/>
      <c r="D5" s="385"/>
      <c r="E5" s="385"/>
      <c r="F5" s="385"/>
      <c r="G5" s="385"/>
      <c r="H5" s="385"/>
      <c r="I5" s="385"/>
      <c r="J5" s="385"/>
      <c r="K5" s="385"/>
      <c r="L5" s="385"/>
      <c r="M5" s="385"/>
      <c r="N5" s="385"/>
      <c r="O5" s="385"/>
      <c r="P5" s="385"/>
      <c r="Q5" s="385"/>
      <c r="R5" s="385"/>
      <c r="S5" s="385"/>
      <c r="T5" s="385"/>
      <c r="U5" s="385"/>
      <c r="V5" s="385"/>
      <c r="W5" s="385"/>
      <c r="X5" s="385"/>
      <c r="Y5" s="385"/>
      <c r="Z5" s="385"/>
      <c r="AA5" s="385"/>
      <c r="AB5" s="385"/>
      <c r="AC5" s="385"/>
      <c r="AD5" s="385"/>
      <c r="AE5" s="385"/>
      <c r="AF5" s="385"/>
      <c r="AG5" s="385"/>
      <c r="AH5" s="385"/>
      <c r="AI5" s="385"/>
      <c r="AJ5" s="385"/>
    </row>
    <row r="6" spans="1:36" s="387" customFormat="1" ht="28.8">
      <c r="B6" s="388" t="s">
        <v>473</v>
      </c>
      <c r="C6" s="389">
        <v>1990</v>
      </c>
      <c r="D6" s="389">
        <v>1991</v>
      </c>
      <c r="E6" s="389">
        <v>1992</v>
      </c>
      <c r="F6" s="389">
        <v>1993</v>
      </c>
      <c r="G6" s="389">
        <v>1994</v>
      </c>
      <c r="H6" s="389">
        <v>1995</v>
      </c>
      <c r="I6" s="389">
        <v>1996</v>
      </c>
      <c r="J6" s="389">
        <v>1997</v>
      </c>
      <c r="K6" s="389">
        <v>1998</v>
      </c>
      <c r="L6" s="389">
        <v>1999</v>
      </c>
      <c r="M6" s="389">
        <v>2000</v>
      </c>
      <c r="N6" s="389">
        <v>2001</v>
      </c>
      <c r="O6" s="389">
        <v>2002</v>
      </c>
      <c r="P6" s="389">
        <v>2003</v>
      </c>
      <c r="Q6" s="389">
        <v>2004</v>
      </c>
      <c r="R6" s="389">
        <v>2005</v>
      </c>
      <c r="S6" s="389">
        <v>2006</v>
      </c>
      <c r="T6" s="389">
        <v>2007</v>
      </c>
      <c r="U6" s="389">
        <v>2008</v>
      </c>
      <c r="V6" s="389">
        <v>2009</v>
      </c>
      <c r="W6" s="389">
        <v>2010</v>
      </c>
      <c r="X6" s="389">
        <v>2011</v>
      </c>
      <c r="Y6" s="389">
        <v>2012</v>
      </c>
      <c r="Z6" s="389">
        <v>2013</v>
      </c>
      <c r="AA6" s="389">
        <v>2014</v>
      </c>
      <c r="AB6" s="389">
        <v>2015</v>
      </c>
      <c r="AC6" s="389">
        <v>2016</v>
      </c>
      <c r="AD6" s="389">
        <v>2017</v>
      </c>
      <c r="AE6" s="389">
        <v>2018</v>
      </c>
      <c r="AF6" s="389">
        <v>2019</v>
      </c>
      <c r="AH6" s="390" t="s">
        <v>474</v>
      </c>
      <c r="AI6" s="391" t="s">
        <v>78</v>
      </c>
      <c r="AJ6" s="391" t="s">
        <v>79</v>
      </c>
    </row>
    <row r="7" spans="1:36" s="395" customFormat="1" ht="13.2">
      <c r="A7" s="392"/>
      <c r="B7" s="393" t="s">
        <v>80</v>
      </c>
      <c r="C7" s="400">
        <v>160.74702619783605</v>
      </c>
      <c r="D7" s="400">
        <v>163.89567048461905</v>
      </c>
      <c r="E7" s="400">
        <v>183.17077596552525</v>
      </c>
      <c r="F7" s="400">
        <v>194.13113364872441</v>
      </c>
      <c r="G7" s="400">
        <v>203.84074315804583</v>
      </c>
      <c r="H7" s="400">
        <v>194.61833447872885</v>
      </c>
      <c r="I7" s="400">
        <v>190.6359390286845</v>
      </c>
      <c r="J7" s="400">
        <v>181.89518515002283</v>
      </c>
      <c r="K7" s="400">
        <v>194.49647635929708</v>
      </c>
      <c r="L7" s="400">
        <v>255.11550558240771</v>
      </c>
      <c r="M7" s="400">
        <v>282.04256582087623</v>
      </c>
      <c r="N7" s="400">
        <v>311.85196378470607</v>
      </c>
      <c r="O7" s="400">
        <v>364.2835532899536</v>
      </c>
      <c r="P7" s="400">
        <v>370.56770486463193</v>
      </c>
      <c r="Q7" s="400">
        <v>363.5080710526189</v>
      </c>
      <c r="R7" s="400">
        <v>378.17591715489726</v>
      </c>
      <c r="S7" s="400">
        <v>382.27521882948417</v>
      </c>
      <c r="T7" s="400">
        <v>396.36184501865898</v>
      </c>
      <c r="U7" s="400">
        <v>402.85994465366161</v>
      </c>
      <c r="V7" s="400">
        <v>420.21643837026932</v>
      </c>
      <c r="W7" s="400">
        <v>367.17820319585104</v>
      </c>
      <c r="X7" s="400">
        <v>361.76843951451553</v>
      </c>
      <c r="Y7" s="400">
        <v>366.00519193032471</v>
      </c>
      <c r="Z7" s="400">
        <v>367.11833840659824</v>
      </c>
      <c r="AA7" s="400">
        <v>342.75226750325857</v>
      </c>
      <c r="AB7" s="400">
        <v>353.99284928869986</v>
      </c>
      <c r="AC7" s="400">
        <v>343.15896936640462</v>
      </c>
      <c r="AD7" s="400">
        <v>349.67105099616333</v>
      </c>
      <c r="AE7" s="400">
        <v>350.28737756694528</v>
      </c>
      <c r="AF7" s="400">
        <v>352.44825728473165</v>
      </c>
      <c r="AH7" s="392" t="s">
        <v>80</v>
      </c>
      <c r="AI7" s="396">
        <v>1.1925647125251531</v>
      </c>
      <c r="AJ7" s="396">
        <v>6.1688769169919487E-3</v>
      </c>
    </row>
    <row r="8" spans="1:36" s="395" customFormat="1" ht="13.2">
      <c r="A8" s="397"/>
      <c r="B8" s="393" t="s">
        <v>81</v>
      </c>
      <c r="C8" s="394">
        <v>0</v>
      </c>
      <c r="D8" s="394">
        <v>0</v>
      </c>
      <c r="E8" s="394">
        <v>0</v>
      </c>
      <c r="F8" s="394">
        <v>0</v>
      </c>
      <c r="G8" s="394">
        <v>0</v>
      </c>
      <c r="H8" s="394">
        <v>0</v>
      </c>
      <c r="I8" s="394">
        <v>0</v>
      </c>
      <c r="J8" s="394">
        <v>0</v>
      </c>
      <c r="K8" s="394">
        <v>0</v>
      </c>
      <c r="L8" s="394">
        <v>0</v>
      </c>
      <c r="M8" s="394">
        <v>0</v>
      </c>
      <c r="N8" s="394">
        <v>0</v>
      </c>
      <c r="O8" s="394">
        <v>0</v>
      </c>
      <c r="P8" s="394">
        <v>0</v>
      </c>
      <c r="Q8" s="394">
        <v>0</v>
      </c>
      <c r="R8" s="394">
        <v>0</v>
      </c>
      <c r="S8" s="394">
        <v>0</v>
      </c>
      <c r="T8" s="394">
        <v>0</v>
      </c>
      <c r="U8" s="394">
        <v>0</v>
      </c>
      <c r="V8" s="394">
        <v>0</v>
      </c>
      <c r="W8" s="394">
        <v>0</v>
      </c>
      <c r="X8" s="394">
        <v>0</v>
      </c>
      <c r="Y8" s="394">
        <v>0</v>
      </c>
      <c r="Z8" s="394">
        <v>0</v>
      </c>
      <c r="AA8" s="394">
        <v>0</v>
      </c>
      <c r="AB8" s="394">
        <v>0</v>
      </c>
      <c r="AC8" s="394">
        <v>0</v>
      </c>
      <c r="AD8" s="394">
        <v>0</v>
      </c>
      <c r="AE8" s="394">
        <v>0</v>
      </c>
      <c r="AF8" s="394">
        <v>0</v>
      </c>
      <c r="AH8" s="398" t="s">
        <v>81</v>
      </c>
      <c r="AI8" s="396">
        <v>0</v>
      </c>
      <c r="AJ8" s="396">
        <v>0</v>
      </c>
    </row>
    <row r="9" spans="1:36" s="395" customFormat="1" ht="13.2">
      <c r="A9" s="399"/>
      <c r="B9" s="393" t="s">
        <v>82</v>
      </c>
      <c r="C9" s="394">
        <v>0</v>
      </c>
      <c r="D9" s="394">
        <v>2.1691898621044245</v>
      </c>
      <c r="E9" s="394">
        <v>5.6398936414715033</v>
      </c>
      <c r="F9" s="394">
        <v>10.845949310522123</v>
      </c>
      <c r="G9" s="394">
        <v>0</v>
      </c>
      <c r="H9" s="394">
        <v>0</v>
      </c>
      <c r="I9" s="394">
        <v>0</v>
      </c>
      <c r="J9" s="394">
        <v>0</v>
      </c>
      <c r="K9" s="394">
        <v>0</v>
      </c>
      <c r="L9" s="394">
        <v>0</v>
      </c>
      <c r="M9" s="394">
        <v>0</v>
      </c>
      <c r="N9" s="394">
        <v>0</v>
      </c>
      <c r="O9" s="394">
        <v>0</v>
      </c>
      <c r="P9" s="394">
        <v>0</v>
      </c>
      <c r="Q9" s="394">
        <v>0</v>
      </c>
      <c r="R9" s="394">
        <v>0</v>
      </c>
      <c r="S9" s="394">
        <v>0</v>
      </c>
      <c r="T9" s="394">
        <v>0</v>
      </c>
      <c r="U9" s="394">
        <v>0</v>
      </c>
      <c r="V9" s="394">
        <v>0</v>
      </c>
      <c r="W9" s="394">
        <v>0</v>
      </c>
      <c r="X9" s="394">
        <v>0</v>
      </c>
      <c r="Y9" s="394">
        <v>0</v>
      </c>
      <c r="Z9" s="394">
        <v>0</v>
      </c>
      <c r="AA9" s="394">
        <v>0</v>
      </c>
      <c r="AB9" s="394">
        <v>0</v>
      </c>
      <c r="AC9" s="394">
        <v>0</v>
      </c>
      <c r="AD9" s="394">
        <v>0</v>
      </c>
      <c r="AE9" s="394">
        <v>0</v>
      </c>
      <c r="AF9" s="394">
        <v>0</v>
      </c>
      <c r="AH9" s="399" t="s">
        <v>82</v>
      </c>
      <c r="AI9" s="396">
        <v>0</v>
      </c>
      <c r="AJ9" s="396">
        <v>0</v>
      </c>
    </row>
    <row r="10" spans="1:36" s="395" customFormat="1" ht="13.2">
      <c r="A10" s="401"/>
      <c r="B10" s="393" t="s">
        <v>83</v>
      </c>
      <c r="C10" s="394">
        <v>28.3854843483156</v>
      </c>
      <c r="D10" s="394">
        <v>28.016594954712463</v>
      </c>
      <c r="E10" s="394">
        <v>27.922904335880286</v>
      </c>
      <c r="F10" s="394">
        <v>26.963254301348716</v>
      </c>
      <c r="G10" s="394">
        <v>30.248633008592169</v>
      </c>
      <c r="H10" s="394">
        <v>60.282847842916993</v>
      </c>
      <c r="I10" s="394">
        <v>21.266559883355683</v>
      </c>
      <c r="J10" s="394">
        <v>19.949978459435485</v>
      </c>
      <c r="K10" s="394">
        <v>20.418669346195433</v>
      </c>
      <c r="L10" s="394">
        <v>22.421874095526512</v>
      </c>
      <c r="M10" s="394">
        <v>22.801176042695879</v>
      </c>
      <c r="N10" s="394">
        <v>22.973620911354654</v>
      </c>
      <c r="O10" s="394">
        <v>21.221229844387171</v>
      </c>
      <c r="P10" s="394">
        <v>23.422902176730698</v>
      </c>
      <c r="Q10" s="394">
        <v>25.026655410226812</v>
      </c>
      <c r="R10" s="394">
        <v>24.885922411885794</v>
      </c>
      <c r="S10" s="394">
        <v>24.883642911131819</v>
      </c>
      <c r="T10" s="394">
        <v>25.279791042486654</v>
      </c>
      <c r="U10" s="394">
        <v>26.310144555562903</v>
      </c>
      <c r="V10" s="394">
        <v>24.581763808522823</v>
      </c>
      <c r="W10" s="394">
        <v>27.386518500595919</v>
      </c>
      <c r="X10" s="394">
        <v>31.4711036136252</v>
      </c>
      <c r="Y10" s="394">
        <v>29.812029923200523</v>
      </c>
      <c r="Z10" s="394">
        <v>33.113883684557152</v>
      </c>
      <c r="AA10" s="394">
        <v>29.073912065819364</v>
      </c>
      <c r="AB10" s="394">
        <v>28.603015047116852</v>
      </c>
      <c r="AC10" s="394">
        <v>23.238947290964848</v>
      </c>
      <c r="AD10" s="394">
        <v>23.966827198956878</v>
      </c>
      <c r="AE10" s="394">
        <v>28.421669575291137</v>
      </c>
      <c r="AF10" s="394">
        <v>25.30735523766031</v>
      </c>
      <c r="AH10" s="401" t="s">
        <v>84</v>
      </c>
      <c r="AI10" s="396">
        <v>-0.10844025322534075</v>
      </c>
      <c r="AJ10" s="396">
        <v>-0.10957534811179104</v>
      </c>
    </row>
    <row r="11" spans="1:36" s="395" customFormat="1" ht="13.2">
      <c r="A11" s="402"/>
      <c r="B11" s="393" t="s">
        <v>4</v>
      </c>
      <c r="C11" s="394">
        <v>0</v>
      </c>
      <c r="D11" s="394">
        <v>0</v>
      </c>
      <c r="E11" s="394">
        <v>0</v>
      </c>
      <c r="F11" s="394">
        <v>0</v>
      </c>
      <c r="G11" s="394">
        <v>0</v>
      </c>
      <c r="H11" s="394">
        <v>0</v>
      </c>
      <c r="I11" s="394">
        <v>0</v>
      </c>
      <c r="J11" s="394">
        <v>0</v>
      </c>
      <c r="K11" s="394">
        <v>0</v>
      </c>
      <c r="L11" s="394">
        <v>0</v>
      </c>
      <c r="M11" s="394">
        <v>0</v>
      </c>
      <c r="N11" s="394">
        <v>0</v>
      </c>
      <c r="O11" s="394">
        <v>0</v>
      </c>
      <c r="P11" s="394">
        <v>0</v>
      </c>
      <c r="Q11" s="394">
        <v>0</v>
      </c>
      <c r="R11" s="394">
        <v>0</v>
      </c>
      <c r="S11" s="394">
        <v>0</v>
      </c>
      <c r="T11" s="394">
        <v>0</v>
      </c>
      <c r="U11" s="394">
        <v>0</v>
      </c>
      <c r="V11" s="394">
        <v>0</v>
      </c>
      <c r="W11" s="394">
        <v>0</v>
      </c>
      <c r="X11" s="394">
        <v>0</v>
      </c>
      <c r="Y11" s="394">
        <v>0</v>
      </c>
      <c r="Z11" s="394">
        <v>0</v>
      </c>
      <c r="AA11" s="394">
        <v>0</v>
      </c>
      <c r="AB11" s="394">
        <v>0</v>
      </c>
      <c r="AC11" s="394">
        <v>0</v>
      </c>
      <c r="AD11" s="394">
        <v>0</v>
      </c>
      <c r="AE11" s="394">
        <v>0</v>
      </c>
      <c r="AF11" s="394">
        <v>0</v>
      </c>
      <c r="AH11" s="402" t="s">
        <v>4</v>
      </c>
      <c r="AI11" s="396">
        <v>0</v>
      </c>
      <c r="AJ11" s="396">
        <v>0</v>
      </c>
    </row>
    <row r="12" spans="1:36" s="395" customFormat="1" ht="13.2">
      <c r="A12" s="403"/>
      <c r="B12" s="393" t="s">
        <v>85</v>
      </c>
      <c r="C12" s="400">
        <v>517.90840932506808</v>
      </c>
      <c r="D12" s="400">
        <v>469.55631265257341</v>
      </c>
      <c r="E12" s="400">
        <v>477.22285345393004</v>
      </c>
      <c r="F12" s="400">
        <v>467.90804211021913</v>
      </c>
      <c r="G12" s="400">
        <v>493.20431074926273</v>
      </c>
      <c r="H12" s="400">
        <v>484.87622632732314</v>
      </c>
      <c r="I12" s="400">
        <v>486.5198764549375</v>
      </c>
      <c r="J12" s="400">
        <v>512.29552490050253</v>
      </c>
      <c r="K12" s="400">
        <v>521.73547051950516</v>
      </c>
      <c r="L12" s="400">
        <v>543.59576325940372</v>
      </c>
      <c r="M12" s="400">
        <v>548.61563633200035</v>
      </c>
      <c r="N12" s="400">
        <v>518.0749505825388</v>
      </c>
      <c r="O12" s="400">
        <v>591.1272406277094</v>
      </c>
      <c r="P12" s="400">
        <v>594.83690692620269</v>
      </c>
      <c r="Q12" s="400">
        <v>633.55724177663694</v>
      </c>
      <c r="R12" s="400">
        <v>625.71694313561136</v>
      </c>
      <c r="S12" s="400">
        <v>598.16824675402813</v>
      </c>
      <c r="T12" s="400">
        <v>574.50767245772488</v>
      </c>
      <c r="U12" s="400">
        <v>524.3737853304558</v>
      </c>
      <c r="V12" s="400">
        <v>498.42119026782291</v>
      </c>
      <c r="W12" s="400">
        <v>520.62163028909765</v>
      </c>
      <c r="X12" s="400">
        <v>491.20770684555998</v>
      </c>
      <c r="Y12" s="400">
        <v>481.70283594123697</v>
      </c>
      <c r="Z12" s="400">
        <v>486.32122650466431</v>
      </c>
      <c r="AA12" s="400">
        <v>477.59437083592894</v>
      </c>
      <c r="AB12" s="400">
        <v>495.62124339392312</v>
      </c>
      <c r="AC12" s="400">
        <v>545.19522849975306</v>
      </c>
      <c r="AD12" s="400">
        <v>535.75999219423716</v>
      </c>
      <c r="AE12" s="400">
        <v>542.09554554074259</v>
      </c>
      <c r="AF12" s="400">
        <v>572.9965873286983</v>
      </c>
      <c r="AH12" s="404" t="s">
        <v>85</v>
      </c>
      <c r="AI12" s="396">
        <v>0.10636664130520773</v>
      </c>
      <c r="AJ12" s="396">
        <v>5.7002943562526026E-2</v>
      </c>
    </row>
    <row r="13" spans="1:36" s="408" customFormat="1" ht="13.2">
      <c r="A13" s="405"/>
      <c r="B13" s="406" t="s">
        <v>86</v>
      </c>
      <c r="C13" s="407">
        <v>137.18579929488428</v>
      </c>
      <c r="D13" s="407">
        <v>215.51607317520035</v>
      </c>
      <c r="E13" s="407">
        <v>180.77885181560188</v>
      </c>
      <c r="F13" s="407">
        <v>133.78094391653758</v>
      </c>
      <c r="G13" s="407">
        <v>135.4419169658739</v>
      </c>
      <c r="H13" s="407">
        <v>166.94960704684837</v>
      </c>
      <c r="I13" s="407">
        <v>153.59310441652724</v>
      </c>
      <c r="J13" s="407">
        <v>165.87382573241993</v>
      </c>
      <c r="K13" s="407">
        <v>152.08798769625082</v>
      </c>
      <c r="L13" s="407">
        <v>209.18334994209462</v>
      </c>
      <c r="M13" s="407">
        <v>244.31695667730952</v>
      </c>
      <c r="N13" s="407">
        <v>202.64892949631951</v>
      </c>
      <c r="O13" s="407">
        <v>163.26889633859858</v>
      </c>
      <c r="P13" s="407">
        <v>223.73276258712633</v>
      </c>
      <c r="Q13" s="407">
        <v>222.84277030360138</v>
      </c>
      <c r="R13" s="407">
        <v>230.02903380415293</v>
      </c>
      <c r="S13" s="407">
        <v>273.58858944866091</v>
      </c>
      <c r="T13" s="407">
        <v>261.65512180074245</v>
      </c>
      <c r="U13" s="407">
        <v>233.22436169069982</v>
      </c>
      <c r="V13" s="407">
        <v>201.39718623381745</v>
      </c>
      <c r="W13" s="407">
        <v>193.3045436533892</v>
      </c>
      <c r="X13" s="407">
        <v>211.70545817265338</v>
      </c>
      <c r="Y13" s="407">
        <v>213.83711916781743</v>
      </c>
      <c r="Z13" s="407">
        <v>214.57917629992716</v>
      </c>
      <c r="AA13" s="407">
        <v>263.86817964269295</v>
      </c>
      <c r="AB13" s="407">
        <v>225.93182856372817</v>
      </c>
      <c r="AC13" s="407">
        <v>233.83977410151266</v>
      </c>
      <c r="AD13" s="407">
        <v>232.14320876255888</v>
      </c>
      <c r="AE13" s="407">
        <v>244.65997049746051</v>
      </c>
      <c r="AF13" s="407">
        <v>224.81142997841391</v>
      </c>
      <c r="AH13" s="405" t="s">
        <v>86</v>
      </c>
      <c r="AI13" s="409">
        <v>0.63873688919635307</v>
      </c>
      <c r="AJ13" s="409">
        <v>-8.1127045338430695E-2</v>
      </c>
    </row>
    <row r="14" spans="1:36" s="395" customFormat="1" ht="13.2">
      <c r="A14" s="410"/>
      <c r="B14" s="411" t="s">
        <v>87</v>
      </c>
      <c r="C14" s="412">
        <v>707.04091987121978</v>
      </c>
      <c r="D14" s="412">
        <v>663.63776795400941</v>
      </c>
      <c r="E14" s="412">
        <v>693.95642739680704</v>
      </c>
      <c r="F14" s="412">
        <v>699.84837937081443</v>
      </c>
      <c r="G14" s="412">
        <v>727.29368691590071</v>
      </c>
      <c r="H14" s="412">
        <v>739.77740864896896</v>
      </c>
      <c r="I14" s="412">
        <v>698.42237536697769</v>
      </c>
      <c r="J14" s="412">
        <v>714.14068850996091</v>
      </c>
      <c r="K14" s="412">
        <v>736.65061622499763</v>
      </c>
      <c r="L14" s="412">
        <v>821.13314293733788</v>
      </c>
      <c r="M14" s="412">
        <v>853.45937819557253</v>
      </c>
      <c r="N14" s="412">
        <v>852.90053527859959</v>
      </c>
      <c r="O14" s="412">
        <v>976.63202376205015</v>
      </c>
      <c r="P14" s="412">
        <v>988.82751396756532</v>
      </c>
      <c r="Q14" s="412">
        <v>1022.0919682394826</v>
      </c>
      <c r="R14" s="412">
        <v>1028.7787827023944</v>
      </c>
      <c r="S14" s="412">
        <v>1005.3271084946441</v>
      </c>
      <c r="T14" s="412">
        <v>996.1493085188705</v>
      </c>
      <c r="U14" s="412">
        <v>953.54387453968025</v>
      </c>
      <c r="V14" s="412">
        <v>943.21939244661507</v>
      </c>
      <c r="W14" s="412">
        <v>915.18635198554466</v>
      </c>
      <c r="X14" s="412">
        <v>884.44724997370076</v>
      </c>
      <c r="Y14" s="412">
        <v>877.52005779476212</v>
      </c>
      <c r="Z14" s="412">
        <v>886.55344859581965</v>
      </c>
      <c r="AA14" s="412">
        <v>849.42055040500691</v>
      </c>
      <c r="AB14" s="412">
        <v>878.21710772973984</v>
      </c>
      <c r="AC14" s="412">
        <v>911.59314515712254</v>
      </c>
      <c r="AD14" s="412">
        <v>909.39787038935742</v>
      </c>
      <c r="AE14" s="412">
        <v>920.80459268297909</v>
      </c>
      <c r="AF14" s="412">
        <v>950.75219985109027</v>
      </c>
      <c r="AH14" s="413" t="s">
        <v>87</v>
      </c>
      <c r="AI14" s="414">
        <v>0.34469190273210776</v>
      </c>
      <c r="AJ14" s="414">
        <v>3.2523303430591968E-2</v>
      </c>
    </row>
    <row r="15" spans="1:36" s="395" customFormat="1" ht="13.2">
      <c r="A15" s="415"/>
      <c r="B15" s="393" t="s">
        <v>88</v>
      </c>
      <c r="C15" s="394">
        <v>0</v>
      </c>
      <c r="D15" s="394">
        <v>0</v>
      </c>
      <c r="E15" s="394">
        <v>0</v>
      </c>
      <c r="F15" s="394">
        <v>0</v>
      </c>
      <c r="G15" s="394">
        <v>0</v>
      </c>
      <c r="H15" s="394">
        <v>0</v>
      </c>
      <c r="I15" s="394">
        <v>0</v>
      </c>
      <c r="J15" s="394">
        <v>0</v>
      </c>
      <c r="K15" s="394">
        <v>0</v>
      </c>
      <c r="L15" s="394">
        <v>0</v>
      </c>
      <c r="M15" s="394">
        <v>0</v>
      </c>
      <c r="N15" s="394">
        <v>0</v>
      </c>
      <c r="O15" s="394">
        <v>0</v>
      </c>
      <c r="P15" s="394">
        <v>0</v>
      </c>
      <c r="Q15" s="394">
        <v>0</v>
      </c>
      <c r="R15" s="394">
        <v>0</v>
      </c>
      <c r="S15" s="394">
        <v>0</v>
      </c>
      <c r="T15" s="394">
        <v>0</v>
      </c>
      <c r="U15" s="394">
        <v>0</v>
      </c>
      <c r="V15" s="394">
        <v>0</v>
      </c>
      <c r="W15" s="394">
        <v>0</v>
      </c>
      <c r="X15" s="394">
        <v>0</v>
      </c>
      <c r="Y15" s="394">
        <v>0</v>
      </c>
      <c r="Z15" s="394">
        <v>0</v>
      </c>
      <c r="AA15" s="394">
        <v>0</v>
      </c>
      <c r="AB15" s="394">
        <v>0</v>
      </c>
      <c r="AC15" s="394">
        <v>0</v>
      </c>
      <c r="AD15" s="394">
        <v>0</v>
      </c>
      <c r="AE15" s="394">
        <v>0</v>
      </c>
      <c r="AF15" s="394">
        <v>0</v>
      </c>
      <c r="AH15" s="415" t="s">
        <v>88</v>
      </c>
      <c r="AI15" s="396">
        <v>0</v>
      </c>
      <c r="AJ15" s="396">
        <v>0</v>
      </c>
    </row>
    <row r="16" spans="1:36" s="408" customFormat="1" ht="13.2">
      <c r="A16" s="405"/>
      <c r="B16" s="406" t="s">
        <v>89</v>
      </c>
      <c r="C16" s="407">
        <v>0</v>
      </c>
      <c r="D16" s="407">
        <v>0</v>
      </c>
      <c r="E16" s="407">
        <v>0</v>
      </c>
      <c r="F16" s="407">
        <v>0</v>
      </c>
      <c r="G16" s="407">
        <v>0</v>
      </c>
      <c r="H16" s="407">
        <v>0</v>
      </c>
      <c r="I16" s="407">
        <v>0</v>
      </c>
      <c r="J16" s="407">
        <v>0</v>
      </c>
      <c r="K16" s="407">
        <v>0</v>
      </c>
      <c r="L16" s="407">
        <v>0</v>
      </c>
      <c r="M16" s="407">
        <v>0</v>
      </c>
      <c r="N16" s="407">
        <v>0</v>
      </c>
      <c r="O16" s="407">
        <v>0</v>
      </c>
      <c r="P16" s="407">
        <v>0</v>
      </c>
      <c r="Q16" s="407">
        <v>0</v>
      </c>
      <c r="R16" s="407">
        <v>0</v>
      </c>
      <c r="S16" s="407">
        <v>0</v>
      </c>
      <c r="T16" s="407">
        <v>0</v>
      </c>
      <c r="U16" s="407">
        <v>0</v>
      </c>
      <c r="V16" s="407">
        <v>0</v>
      </c>
      <c r="W16" s="407">
        <v>0</v>
      </c>
      <c r="X16" s="407">
        <v>0</v>
      </c>
      <c r="Y16" s="407">
        <v>0</v>
      </c>
      <c r="Z16" s="407">
        <v>0</v>
      </c>
      <c r="AA16" s="407">
        <v>0</v>
      </c>
      <c r="AB16" s="407">
        <v>0</v>
      </c>
      <c r="AC16" s="407">
        <v>0</v>
      </c>
      <c r="AD16" s="407">
        <v>0</v>
      </c>
      <c r="AE16" s="407">
        <v>0</v>
      </c>
      <c r="AF16" s="407">
        <v>0</v>
      </c>
      <c r="AH16" s="405" t="s">
        <v>89</v>
      </c>
      <c r="AI16" s="409">
        <v>0</v>
      </c>
      <c r="AJ16" s="409">
        <v>0</v>
      </c>
    </row>
    <row r="17" spans="1:36" s="408" customFormat="1" ht="13.2">
      <c r="A17" s="405"/>
      <c r="B17" s="406" t="s">
        <v>90</v>
      </c>
      <c r="C17" s="407">
        <v>0</v>
      </c>
      <c r="D17" s="407">
        <v>0</v>
      </c>
      <c r="E17" s="407">
        <v>0</v>
      </c>
      <c r="F17" s="407">
        <v>0</v>
      </c>
      <c r="G17" s="407">
        <v>0</v>
      </c>
      <c r="H17" s="407">
        <v>0</v>
      </c>
      <c r="I17" s="407">
        <v>0</v>
      </c>
      <c r="J17" s="407">
        <v>0</v>
      </c>
      <c r="K17" s="407">
        <v>0</v>
      </c>
      <c r="L17" s="407">
        <v>0</v>
      </c>
      <c r="M17" s="407">
        <v>0</v>
      </c>
      <c r="N17" s="407">
        <v>0</v>
      </c>
      <c r="O17" s="407">
        <v>0</v>
      </c>
      <c r="P17" s="407">
        <v>0</v>
      </c>
      <c r="Q17" s="407">
        <v>0</v>
      </c>
      <c r="R17" s="407">
        <v>0</v>
      </c>
      <c r="S17" s="407">
        <v>0</v>
      </c>
      <c r="T17" s="407">
        <v>0</v>
      </c>
      <c r="U17" s="407">
        <v>0</v>
      </c>
      <c r="V17" s="407">
        <v>0</v>
      </c>
      <c r="W17" s="407">
        <v>0</v>
      </c>
      <c r="X17" s="407">
        <v>0</v>
      </c>
      <c r="Y17" s="407">
        <v>0</v>
      </c>
      <c r="Z17" s="407">
        <v>0</v>
      </c>
      <c r="AA17" s="407">
        <v>0</v>
      </c>
      <c r="AB17" s="407">
        <v>0</v>
      </c>
      <c r="AC17" s="407">
        <v>0</v>
      </c>
      <c r="AD17" s="407">
        <v>0</v>
      </c>
      <c r="AE17" s="407">
        <v>0</v>
      </c>
      <c r="AF17" s="407">
        <v>0</v>
      </c>
      <c r="AH17" s="405" t="s">
        <v>90</v>
      </c>
      <c r="AI17" s="409">
        <v>0</v>
      </c>
      <c r="AJ17" s="409">
        <v>0</v>
      </c>
    </row>
    <row r="18" spans="1:36" s="418" customFormat="1" ht="13.2">
      <c r="A18" s="417"/>
      <c r="B18" s="411" t="s">
        <v>91</v>
      </c>
      <c r="C18" s="412">
        <v>707.04091987121978</v>
      </c>
      <c r="D18" s="412">
        <v>663.63776795400941</v>
      </c>
      <c r="E18" s="412">
        <v>693.95642739680704</v>
      </c>
      <c r="F18" s="412">
        <v>699.84837937081443</v>
      </c>
      <c r="G18" s="412">
        <v>727.29368691590071</v>
      </c>
      <c r="H18" s="412">
        <v>739.77740864896896</v>
      </c>
      <c r="I18" s="412">
        <v>698.42237536697769</v>
      </c>
      <c r="J18" s="412">
        <v>714.14068850996091</v>
      </c>
      <c r="K18" s="412">
        <v>736.65061622499763</v>
      </c>
      <c r="L18" s="412">
        <v>821.13314293733788</v>
      </c>
      <c r="M18" s="412">
        <v>853.45937819557253</v>
      </c>
      <c r="N18" s="412">
        <v>852.90053527859959</v>
      </c>
      <c r="O18" s="412">
        <v>976.63202376205015</v>
      </c>
      <c r="P18" s="412">
        <v>988.82751396756532</v>
      </c>
      <c r="Q18" s="412">
        <v>1022.0919682394826</v>
      </c>
      <c r="R18" s="412">
        <v>1028.7787827023944</v>
      </c>
      <c r="S18" s="412">
        <v>1005.3271084946441</v>
      </c>
      <c r="T18" s="412">
        <v>996.1493085188705</v>
      </c>
      <c r="U18" s="412">
        <v>953.54387453968025</v>
      </c>
      <c r="V18" s="412">
        <v>943.21939244661507</v>
      </c>
      <c r="W18" s="412">
        <v>915.18635198554466</v>
      </c>
      <c r="X18" s="412">
        <v>884.44724997370076</v>
      </c>
      <c r="Y18" s="412">
        <v>877.52005779476212</v>
      </c>
      <c r="Z18" s="412">
        <v>886.55344859581965</v>
      </c>
      <c r="AA18" s="412">
        <v>849.42055040500691</v>
      </c>
      <c r="AB18" s="412">
        <v>878.21710772973984</v>
      </c>
      <c r="AC18" s="412">
        <v>911.59314515712254</v>
      </c>
      <c r="AD18" s="412">
        <v>909.39787038935742</v>
      </c>
      <c r="AE18" s="412">
        <v>920.80459268297909</v>
      </c>
      <c r="AF18" s="412">
        <v>950.75219985109027</v>
      </c>
      <c r="AH18" s="419" t="s">
        <v>91</v>
      </c>
      <c r="AI18" s="414">
        <v>0.34469190273210776</v>
      </c>
      <c r="AJ18" s="414">
        <v>3.2523303430591968E-2</v>
      </c>
    </row>
    <row r="19" spans="1:36" s="408" customFormat="1" ht="13.2">
      <c r="A19" s="405"/>
      <c r="B19" s="406" t="s">
        <v>92</v>
      </c>
      <c r="C19" s="407">
        <v>137.18579929488428</v>
      </c>
      <c r="D19" s="407">
        <v>215.51607317520035</v>
      </c>
      <c r="E19" s="407">
        <v>180.77885181560188</v>
      </c>
      <c r="F19" s="407">
        <v>133.78094391653758</v>
      </c>
      <c r="G19" s="407">
        <v>135.4419169658739</v>
      </c>
      <c r="H19" s="407">
        <v>166.94960704684837</v>
      </c>
      <c r="I19" s="407">
        <v>153.59310441652724</v>
      </c>
      <c r="J19" s="407">
        <v>165.87382573241993</v>
      </c>
      <c r="K19" s="407">
        <v>152.08798769625082</v>
      </c>
      <c r="L19" s="407">
        <v>209.18334994209462</v>
      </c>
      <c r="M19" s="407">
        <v>244.31695667730952</v>
      </c>
      <c r="N19" s="407">
        <v>202.64892949631951</v>
      </c>
      <c r="O19" s="407">
        <v>163.26889633859858</v>
      </c>
      <c r="P19" s="407">
        <v>223.73276258712633</v>
      </c>
      <c r="Q19" s="407">
        <v>222.84277030360138</v>
      </c>
      <c r="R19" s="407">
        <v>230.02903380415293</v>
      </c>
      <c r="S19" s="407">
        <v>273.58858944866091</v>
      </c>
      <c r="T19" s="407">
        <v>261.65512180074245</v>
      </c>
      <c r="U19" s="407">
        <v>233.22436169069982</v>
      </c>
      <c r="V19" s="407">
        <v>201.39718623381745</v>
      </c>
      <c r="W19" s="407">
        <v>193.3045436533892</v>
      </c>
      <c r="X19" s="407">
        <v>211.70545817265338</v>
      </c>
      <c r="Y19" s="407">
        <v>213.83711916781743</v>
      </c>
      <c r="Z19" s="407">
        <v>214.57917629992716</v>
      </c>
      <c r="AA19" s="407">
        <v>263.86817964269295</v>
      </c>
      <c r="AB19" s="407">
        <v>225.93182856372817</v>
      </c>
      <c r="AC19" s="407">
        <v>233.83977410151266</v>
      </c>
      <c r="AD19" s="407">
        <v>232.14320876255888</v>
      </c>
      <c r="AE19" s="407">
        <v>244.65997049746051</v>
      </c>
      <c r="AF19" s="407">
        <v>224.81142997841391</v>
      </c>
      <c r="AH19" s="405" t="s">
        <v>92</v>
      </c>
      <c r="AI19" s="409">
        <v>0.63873688919635307</v>
      </c>
      <c r="AJ19" s="409">
        <v>-8.1127045338430695E-2</v>
      </c>
    </row>
    <row r="22" spans="1:36" ht="18.600000000000001">
      <c r="A22" s="420"/>
      <c r="C22" s="421" t="s">
        <v>475</v>
      </c>
      <c r="D22" s="420"/>
      <c r="E22" s="420"/>
      <c r="F22" s="420"/>
      <c r="G22" s="420"/>
      <c r="H22" s="420"/>
      <c r="I22" s="420"/>
      <c r="J22" s="420"/>
      <c r="K22" s="420"/>
      <c r="L22" s="420"/>
      <c r="M22" s="420"/>
      <c r="N22" s="420"/>
      <c r="O22" s="420"/>
      <c r="P22" s="420"/>
      <c r="Q22" s="420"/>
      <c r="R22" s="420"/>
      <c r="S22" s="420"/>
      <c r="T22" s="420"/>
      <c r="U22" s="420"/>
      <c r="V22" s="420"/>
      <c r="W22" s="420"/>
      <c r="X22" s="420"/>
      <c r="Y22" s="420"/>
      <c r="Z22" s="420"/>
      <c r="AA22" s="420"/>
      <c r="AB22" s="420"/>
      <c r="AC22" s="420"/>
      <c r="AD22" s="420"/>
      <c r="AE22" s="420"/>
      <c r="AF22" s="420"/>
    </row>
    <row r="23" spans="1:36" ht="18">
      <c r="A23" s="420"/>
      <c r="B23" s="422"/>
      <c r="C23" s="420"/>
      <c r="D23" s="420"/>
      <c r="E23" s="420"/>
      <c r="F23" s="420"/>
      <c r="G23" s="420"/>
      <c r="H23" s="420"/>
      <c r="I23" s="420"/>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row>
    <row r="25" spans="1:36" ht="15">
      <c r="Q25" s="423" t="s">
        <v>464</v>
      </c>
    </row>
  </sheetData>
  <mergeCells count="1">
    <mergeCell ref="B2:AD2"/>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Q36"/>
  <sheetViews>
    <sheetView topLeftCell="A25" workbookViewId="0">
      <selection activeCell="E17" sqref="E17"/>
    </sheetView>
  </sheetViews>
  <sheetFormatPr baseColWidth="10" defaultRowHeight="14.4"/>
  <sheetData>
    <row r="1" spans="1:17" ht="23.4">
      <c r="A1" s="213" t="s">
        <v>355</v>
      </c>
    </row>
    <row r="3" spans="1:17">
      <c r="A3">
        <v>2019</v>
      </c>
    </row>
    <row r="4" spans="1:17">
      <c r="A4" s="507" t="s">
        <v>12</v>
      </c>
      <c r="B4" s="508" t="s">
        <v>14</v>
      </c>
      <c r="C4" s="508" t="s">
        <v>15</v>
      </c>
      <c r="D4" s="508" t="s">
        <v>16</v>
      </c>
      <c r="E4" s="508" t="s">
        <v>17</v>
      </c>
      <c r="F4" s="508" t="s">
        <v>367</v>
      </c>
      <c r="G4" s="508" t="s">
        <v>18</v>
      </c>
      <c r="H4" s="508" t="s">
        <v>19</v>
      </c>
      <c r="I4" s="508"/>
      <c r="J4" s="508"/>
      <c r="K4" s="508"/>
      <c r="L4" s="508"/>
      <c r="M4" s="508"/>
      <c r="N4" s="509" t="s">
        <v>368</v>
      </c>
      <c r="O4" s="509" t="s">
        <v>21</v>
      </c>
      <c r="P4" s="509" t="s">
        <v>369</v>
      </c>
      <c r="Q4" s="509" t="s">
        <v>23</v>
      </c>
    </row>
    <row r="5" spans="1:17" ht="45.6">
      <c r="A5" s="507"/>
      <c r="B5" s="508"/>
      <c r="C5" s="508"/>
      <c r="D5" s="508"/>
      <c r="E5" s="508"/>
      <c r="F5" s="508"/>
      <c r="G5" s="508"/>
      <c r="H5" s="240" t="s">
        <v>356</v>
      </c>
      <c r="I5" s="240" t="s">
        <v>7</v>
      </c>
      <c r="J5" s="240" t="s">
        <v>357</v>
      </c>
      <c r="K5" s="240" t="s">
        <v>370</v>
      </c>
      <c r="L5" s="241" t="s">
        <v>371</v>
      </c>
      <c r="M5" s="240" t="s">
        <v>372</v>
      </c>
      <c r="N5" s="509"/>
      <c r="O5" s="509"/>
      <c r="P5" s="509"/>
      <c r="Q5" s="509"/>
    </row>
    <row r="6" spans="1:17">
      <c r="A6" s="242" t="s">
        <v>24</v>
      </c>
      <c r="B6" s="243">
        <v>0</v>
      </c>
      <c r="C6" s="244">
        <v>0</v>
      </c>
      <c r="D6" s="244">
        <v>0</v>
      </c>
      <c r="E6" s="243">
        <v>0</v>
      </c>
      <c r="F6" s="244">
        <v>0</v>
      </c>
      <c r="G6" s="244">
        <v>198.98930000000001</v>
      </c>
      <c r="H6" s="244">
        <v>0</v>
      </c>
      <c r="I6" s="244">
        <v>0</v>
      </c>
      <c r="J6" s="244">
        <v>0</v>
      </c>
      <c r="K6" s="244">
        <v>0</v>
      </c>
      <c r="L6" s="244">
        <v>0</v>
      </c>
      <c r="M6" s="244">
        <v>25.585999999999999</v>
      </c>
      <c r="N6" s="245">
        <v>0</v>
      </c>
      <c r="O6" s="244">
        <v>0</v>
      </c>
      <c r="P6" s="244">
        <v>0</v>
      </c>
      <c r="Q6" s="246">
        <v>224.57530000000003</v>
      </c>
    </row>
    <row r="7" spans="1:17">
      <c r="A7" s="242" t="s">
        <v>28</v>
      </c>
      <c r="B7" s="243">
        <v>0</v>
      </c>
      <c r="C7" s="244">
        <v>0</v>
      </c>
      <c r="D7" s="244">
        <v>4304.5007777777773</v>
      </c>
      <c r="E7" s="243">
        <v>0</v>
      </c>
      <c r="F7" s="244">
        <v>0</v>
      </c>
      <c r="G7" s="244">
        <v>0</v>
      </c>
      <c r="H7" s="244">
        <v>0</v>
      </c>
      <c r="I7" s="244">
        <v>0</v>
      </c>
      <c r="J7" s="244">
        <v>0</v>
      </c>
      <c r="K7" s="244">
        <v>0</v>
      </c>
      <c r="L7" s="244">
        <v>0</v>
      </c>
      <c r="M7" s="244">
        <v>0</v>
      </c>
      <c r="N7" s="245">
        <v>0</v>
      </c>
      <c r="O7" s="244">
        <v>0</v>
      </c>
      <c r="P7" s="244">
        <v>0</v>
      </c>
      <c r="Q7" s="246">
        <v>4304.5007777777773</v>
      </c>
    </row>
    <row r="8" spans="1:17">
      <c r="A8" s="242" t="s">
        <v>29</v>
      </c>
      <c r="B8" s="243">
        <v>0</v>
      </c>
      <c r="C8" s="244">
        <v>0</v>
      </c>
      <c r="D8" s="244">
        <v>0</v>
      </c>
      <c r="E8" s="243">
        <v>0</v>
      </c>
      <c r="F8" s="244">
        <v>0</v>
      </c>
      <c r="G8" s="244">
        <v>0</v>
      </c>
      <c r="H8" s="244">
        <v>0</v>
      </c>
      <c r="I8" s="244">
        <v>0</v>
      </c>
      <c r="J8" s="244">
        <v>0</v>
      </c>
      <c r="K8" s="244">
        <v>0</v>
      </c>
      <c r="L8" s="244">
        <v>0</v>
      </c>
      <c r="M8" s="244">
        <v>0</v>
      </c>
      <c r="N8" s="245">
        <v>0</v>
      </c>
      <c r="O8" s="244">
        <v>0</v>
      </c>
      <c r="P8" s="244">
        <v>0</v>
      </c>
      <c r="Q8" s="246">
        <v>0</v>
      </c>
    </row>
    <row r="9" spans="1:17">
      <c r="A9" s="242" t="s">
        <v>30</v>
      </c>
      <c r="B9" s="243">
        <v>0</v>
      </c>
      <c r="C9" s="244">
        <v>0</v>
      </c>
      <c r="D9" s="244">
        <v>-473.03722222222223</v>
      </c>
      <c r="E9" s="243">
        <v>0</v>
      </c>
      <c r="F9" s="244">
        <v>0</v>
      </c>
      <c r="G9" s="244">
        <v>0</v>
      </c>
      <c r="H9" s="244">
        <v>0</v>
      </c>
      <c r="I9" s="244">
        <v>0</v>
      </c>
      <c r="J9" s="244">
        <v>0</v>
      </c>
      <c r="K9" s="244">
        <v>0</v>
      </c>
      <c r="L9" s="244">
        <v>0</v>
      </c>
      <c r="M9" s="244">
        <v>0</v>
      </c>
      <c r="N9" s="245">
        <v>0</v>
      </c>
      <c r="O9" s="244">
        <v>0</v>
      </c>
      <c r="P9" s="244">
        <v>0</v>
      </c>
      <c r="Q9" s="246">
        <v>-473.03722222222223</v>
      </c>
    </row>
    <row r="10" spans="1:17">
      <c r="A10" s="242" t="s">
        <v>31</v>
      </c>
      <c r="B10" s="243">
        <v>0</v>
      </c>
      <c r="C10" s="244">
        <v>0</v>
      </c>
      <c r="D10" s="244">
        <v>-382.00555555555553</v>
      </c>
      <c r="E10" s="243">
        <v>0</v>
      </c>
      <c r="F10" s="244">
        <v>0</v>
      </c>
      <c r="G10" s="244">
        <v>0</v>
      </c>
      <c r="H10" s="244">
        <v>0</v>
      </c>
      <c r="I10" s="244">
        <v>0</v>
      </c>
      <c r="J10" s="244">
        <v>0</v>
      </c>
      <c r="K10" s="244">
        <v>0</v>
      </c>
      <c r="L10" s="244">
        <v>0</v>
      </c>
      <c r="M10" s="244">
        <v>0</v>
      </c>
      <c r="N10" s="245">
        <v>0</v>
      </c>
      <c r="O10" s="244">
        <v>0</v>
      </c>
      <c r="P10" s="244">
        <v>0</v>
      </c>
      <c r="Q10" s="246">
        <v>-382.00555555555553</v>
      </c>
    </row>
    <row r="11" spans="1:17">
      <c r="A11" s="242" t="s">
        <v>32</v>
      </c>
      <c r="B11" s="243">
        <v>0</v>
      </c>
      <c r="C11" s="244">
        <v>0</v>
      </c>
      <c r="D11" s="244">
        <v>-30.238</v>
      </c>
      <c r="E11" s="243">
        <v>0</v>
      </c>
      <c r="F11" s="244">
        <v>0</v>
      </c>
      <c r="G11" s="244">
        <v>0</v>
      </c>
      <c r="H11" s="244">
        <v>0</v>
      </c>
      <c r="I11" s="244">
        <v>0</v>
      </c>
      <c r="J11" s="244">
        <v>0</v>
      </c>
      <c r="K11" s="244">
        <v>0</v>
      </c>
      <c r="L11" s="244">
        <v>0</v>
      </c>
      <c r="M11" s="244">
        <v>0</v>
      </c>
      <c r="N11" s="245">
        <v>0</v>
      </c>
      <c r="O11" s="244">
        <v>0</v>
      </c>
      <c r="P11" s="244">
        <v>0</v>
      </c>
      <c r="Q11" s="246">
        <v>-30.238</v>
      </c>
    </row>
    <row r="12" spans="1:17">
      <c r="A12" s="247" t="s">
        <v>373</v>
      </c>
      <c r="B12" s="248">
        <v>0</v>
      </c>
      <c r="C12" s="248">
        <v>0</v>
      </c>
      <c r="D12" s="248">
        <v>3419.22</v>
      </c>
      <c r="E12" s="248">
        <v>0</v>
      </c>
      <c r="F12" s="248">
        <v>0</v>
      </c>
      <c r="G12" s="248">
        <v>198.98930000000001</v>
      </c>
      <c r="H12" s="248">
        <v>0</v>
      </c>
      <c r="I12" s="248">
        <v>0</v>
      </c>
      <c r="J12" s="248">
        <v>0</v>
      </c>
      <c r="K12" s="248">
        <v>0</v>
      </c>
      <c r="L12" s="248">
        <v>0</v>
      </c>
      <c r="M12" s="248">
        <v>25.585999999999999</v>
      </c>
      <c r="N12" s="248">
        <v>0</v>
      </c>
      <c r="O12" s="248">
        <v>0</v>
      </c>
      <c r="P12" s="248">
        <v>0</v>
      </c>
      <c r="Q12" s="248">
        <v>3643.7952999999998</v>
      </c>
    </row>
    <row r="13" spans="1:17">
      <c r="A13" s="249"/>
      <c r="B13" s="250"/>
      <c r="C13" s="219"/>
      <c r="D13" s="251"/>
      <c r="E13" s="250"/>
      <c r="F13" s="250"/>
      <c r="G13" s="250"/>
      <c r="H13" s="250"/>
      <c r="I13" s="250"/>
      <c r="J13" s="250"/>
      <c r="K13" s="250"/>
      <c r="L13" s="250"/>
      <c r="M13" s="250"/>
      <c r="N13" s="250"/>
      <c r="O13" s="250"/>
      <c r="P13" s="250"/>
      <c r="Q13" s="250"/>
    </row>
    <row r="14" spans="1:17">
      <c r="A14" s="252" t="s">
        <v>374</v>
      </c>
      <c r="B14" s="243">
        <v>0</v>
      </c>
      <c r="C14" s="253">
        <v>0</v>
      </c>
      <c r="D14" s="253">
        <v>0</v>
      </c>
      <c r="E14" s="243">
        <v>0</v>
      </c>
      <c r="F14" s="243">
        <v>0</v>
      </c>
      <c r="G14" s="243">
        <v>0</v>
      </c>
      <c r="H14" s="243">
        <v>0</v>
      </c>
      <c r="I14" s="243">
        <v>0</v>
      </c>
      <c r="J14" s="243">
        <v>0</v>
      </c>
      <c r="K14" s="243">
        <v>0</v>
      </c>
      <c r="L14" s="243">
        <v>0</v>
      </c>
      <c r="M14" s="243">
        <v>0</v>
      </c>
      <c r="N14" s="243">
        <v>0</v>
      </c>
      <c r="O14" s="243">
        <v>0</v>
      </c>
      <c r="P14" s="243">
        <v>0</v>
      </c>
      <c r="Q14" s="254">
        <v>0</v>
      </c>
    </row>
    <row r="15" spans="1:17">
      <c r="A15" s="252" t="s">
        <v>375</v>
      </c>
      <c r="B15" s="243">
        <v>0</v>
      </c>
      <c r="C15" s="243">
        <v>0</v>
      </c>
      <c r="D15" s="243">
        <v>1260.6920000000002</v>
      </c>
      <c r="E15" s="243">
        <v>0</v>
      </c>
      <c r="F15" s="243">
        <v>0</v>
      </c>
      <c r="G15" s="243">
        <v>198.98930000000001</v>
      </c>
      <c r="H15" s="255">
        <v>0</v>
      </c>
      <c r="I15" s="255">
        <v>0</v>
      </c>
      <c r="J15" s="255">
        <v>0</v>
      </c>
      <c r="K15" s="255">
        <v>0</v>
      </c>
      <c r="L15" s="255">
        <v>0</v>
      </c>
      <c r="M15" s="255">
        <v>0</v>
      </c>
      <c r="N15" s="243">
        <v>-692.10129999999992</v>
      </c>
      <c r="O15" s="243">
        <v>0</v>
      </c>
      <c r="P15" s="243">
        <v>0</v>
      </c>
      <c r="Q15" s="254">
        <v>767.58000000000027</v>
      </c>
    </row>
    <row r="16" spans="1:17">
      <c r="A16" s="252" t="s">
        <v>376</v>
      </c>
      <c r="B16" s="243">
        <v>0</v>
      </c>
      <c r="C16" s="243">
        <v>0</v>
      </c>
      <c r="D16" s="243">
        <v>0</v>
      </c>
      <c r="E16" s="243">
        <v>0</v>
      </c>
      <c r="F16" s="243">
        <v>0</v>
      </c>
      <c r="G16" s="243">
        <v>0</v>
      </c>
      <c r="H16" s="255">
        <v>0</v>
      </c>
      <c r="I16" s="255">
        <v>0</v>
      </c>
      <c r="J16" s="255">
        <v>0</v>
      </c>
      <c r="K16" s="255">
        <v>0</v>
      </c>
      <c r="L16" s="255">
        <v>0</v>
      </c>
      <c r="M16" s="255">
        <v>3.4890000000000003</v>
      </c>
      <c r="N16" s="243">
        <v>0</v>
      </c>
      <c r="O16" s="243">
        <v>-3.4890000000000003</v>
      </c>
      <c r="P16" s="243">
        <v>0</v>
      </c>
      <c r="Q16" s="254">
        <v>0</v>
      </c>
    </row>
    <row r="17" spans="1:17">
      <c r="A17" s="252" t="s">
        <v>377</v>
      </c>
      <c r="B17" s="243">
        <v>0</v>
      </c>
      <c r="C17" s="243">
        <v>0</v>
      </c>
      <c r="D17" s="243">
        <v>0</v>
      </c>
      <c r="E17" s="243">
        <v>0</v>
      </c>
      <c r="F17" s="243">
        <v>0</v>
      </c>
      <c r="G17" s="243">
        <v>0</v>
      </c>
      <c r="H17" s="256">
        <v>0</v>
      </c>
      <c r="I17" s="256">
        <v>0</v>
      </c>
      <c r="J17" s="256">
        <v>0</v>
      </c>
      <c r="K17" s="256">
        <v>0</v>
      </c>
      <c r="L17" s="256">
        <v>0</v>
      </c>
      <c r="M17" s="256">
        <v>0</v>
      </c>
      <c r="N17" s="243">
        <v>0</v>
      </c>
      <c r="O17" s="243">
        <v>0</v>
      </c>
      <c r="P17" s="243">
        <v>0</v>
      </c>
      <c r="Q17" s="254">
        <v>0</v>
      </c>
    </row>
    <row r="18" spans="1:17">
      <c r="A18" s="252" t="s">
        <v>378</v>
      </c>
      <c r="B18" s="243">
        <v>0</v>
      </c>
      <c r="C18" s="243">
        <v>0</v>
      </c>
      <c r="D18" s="243">
        <v>0</v>
      </c>
      <c r="E18" s="243">
        <v>0</v>
      </c>
      <c r="F18" s="243">
        <v>0</v>
      </c>
      <c r="G18" s="243">
        <v>0</v>
      </c>
      <c r="H18" s="243">
        <v>0</v>
      </c>
      <c r="I18" s="243">
        <v>0</v>
      </c>
      <c r="J18" s="243">
        <v>0</v>
      </c>
      <c r="K18" s="243">
        <v>0</v>
      </c>
      <c r="L18" s="243">
        <v>0</v>
      </c>
      <c r="M18" s="243">
        <v>0</v>
      </c>
      <c r="N18" s="243">
        <v>0</v>
      </c>
      <c r="O18" s="243">
        <v>0</v>
      </c>
      <c r="P18" s="243">
        <v>0</v>
      </c>
      <c r="Q18" s="254">
        <v>0</v>
      </c>
    </row>
    <row r="19" spans="1:17">
      <c r="A19" s="252" t="s">
        <v>36</v>
      </c>
      <c r="B19" s="243">
        <v>0</v>
      </c>
      <c r="C19" s="243">
        <v>0</v>
      </c>
      <c r="D19" s="243">
        <v>0</v>
      </c>
      <c r="E19" s="243">
        <v>0</v>
      </c>
      <c r="F19" s="243">
        <v>0</v>
      </c>
      <c r="G19" s="243">
        <v>0</v>
      </c>
      <c r="H19" s="243">
        <v>0</v>
      </c>
      <c r="I19" s="243">
        <v>0</v>
      </c>
      <c r="J19" s="243">
        <v>0</v>
      </c>
      <c r="K19" s="243">
        <v>0</v>
      </c>
      <c r="L19" s="243">
        <v>0</v>
      </c>
      <c r="M19" s="243">
        <v>0</v>
      </c>
      <c r="N19" s="243">
        <v>0</v>
      </c>
      <c r="O19" s="243">
        <v>0</v>
      </c>
      <c r="P19" s="243">
        <v>0</v>
      </c>
      <c r="Q19" s="254">
        <v>0</v>
      </c>
    </row>
    <row r="20" spans="1:17">
      <c r="A20" s="252" t="s">
        <v>379</v>
      </c>
      <c r="B20" s="243">
        <v>0</v>
      </c>
      <c r="C20" s="243">
        <v>0</v>
      </c>
      <c r="D20" s="243">
        <v>0</v>
      </c>
      <c r="E20" s="243">
        <v>0</v>
      </c>
      <c r="F20" s="243">
        <v>0</v>
      </c>
      <c r="G20" s="243">
        <v>0</v>
      </c>
      <c r="H20" s="243">
        <v>0</v>
      </c>
      <c r="I20" s="243">
        <v>0</v>
      </c>
      <c r="J20" s="243">
        <v>0</v>
      </c>
      <c r="K20" s="243">
        <v>0</v>
      </c>
      <c r="L20" s="243">
        <v>0</v>
      </c>
      <c r="M20" s="243">
        <v>0</v>
      </c>
      <c r="N20" s="243">
        <v>0</v>
      </c>
      <c r="O20" s="243">
        <v>0</v>
      </c>
      <c r="P20" s="243">
        <v>0</v>
      </c>
      <c r="Q20" s="254">
        <v>0</v>
      </c>
    </row>
    <row r="21" spans="1:17">
      <c r="A21" s="252" t="s">
        <v>380</v>
      </c>
      <c r="B21" s="243">
        <v>0</v>
      </c>
      <c r="C21" s="243">
        <v>0</v>
      </c>
      <c r="D21" s="243">
        <v>0</v>
      </c>
      <c r="E21" s="243">
        <v>0</v>
      </c>
      <c r="F21" s="243">
        <v>0</v>
      </c>
      <c r="G21" s="243">
        <v>0</v>
      </c>
      <c r="H21" s="243">
        <v>0</v>
      </c>
      <c r="I21" s="243">
        <v>0</v>
      </c>
      <c r="J21" s="243">
        <v>0</v>
      </c>
      <c r="K21" s="243">
        <v>0</v>
      </c>
      <c r="L21" s="243">
        <v>0</v>
      </c>
      <c r="M21" s="243">
        <v>0</v>
      </c>
      <c r="N21" s="243">
        <v>0</v>
      </c>
      <c r="O21" s="243">
        <v>0</v>
      </c>
      <c r="P21" s="243">
        <v>0</v>
      </c>
      <c r="Q21" s="254">
        <v>0</v>
      </c>
    </row>
    <row r="22" spans="1:17">
      <c r="A22" s="252" t="s">
        <v>381</v>
      </c>
      <c r="B22" s="243">
        <v>0</v>
      </c>
      <c r="C22" s="243">
        <v>0</v>
      </c>
      <c r="D22" s="243">
        <v>0</v>
      </c>
      <c r="E22" s="243">
        <v>0</v>
      </c>
      <c r="F22" s="243">
        <v>0</v>
      </c>
      <c r="G22" s="243">
        <v>0</v>
      </c>
      <c r="H22" s="243">
        <v>0</v>
      </c>
      <c r="I22" s="243">
        <v>0</v>
      </c>
      <c r="J22" s="243">
        <v>0</v>
      </c>
      <c r="K22" s="243">
        <v>0</v>
      </c>
      <c r="L22" s="243">
        <v>0</v>
      </c>
      <c r="M22" s="243">
        <v>0</v>
      </c>
      <c r="N22" s="243">
        <v>0</v>
      </c>
      <c r="O22" s="243">
        <v>0</v>
      </c>
      <c r="P22" s="243">
        <v>0</v>
      </c>
      <c r="Q22" s="254">
        <v>0</v>
      </c>
    </row>
    <row r="23" spans="1:17">
      <c r="A23" s="252" t="s">
        <v>37</v>
      </c>
      <c r="B23" s="243">
        <v>0</v>
      </c>
      <c r="C23" s="243">
        <v>0</v>
      </c>
      <c r="D23" s="243">
        <v>0</v>
      </c>
      <c r="E23" s="243">
        <v>0</v>
      </c>
      <c r="F23" s="243">
        <v>0</v>
      </c>
      <c r="G23" s="243">
        <v>0</v>
      </c>
      <c r="H23" s="243">
        <v>0</v>
      </c>
      <c r="I23" s="243">
        <v>0</v>
      </c>
      <c r="J23" s="243">
        <v>0</v>
      </c>
      <c r="K23" s="243">
        <v>0</v>
      </c>
      <c r="L23" s="243">
        <v>0</v>
      </c>
      <c r="M23" s="243">
        <v>0</v>
      </c>
      <c r="N23" s="243">
        <v>0</v>
      </c>
      <c r="O23" s="243">
        <v>0</v>
      </c>
      <c r="P23" s="243">
        <v>0</v>
      </c>
      <c r="Q23" s="254">
        <v>0</v>
      </c>
    </row>
    <row r="24" spans="1:17">
      <c r="A24" s="252" t="s">
        <v>38</v>
      </c>
      <c r="B24" s="243">
        <v>0</v>
      </c>
      <c r="C24" s="243">
        <v>0</v>
      </c>
      <c r="D24" s="243">
        <v>0</v>
      </c>
      <c r="E24" s="243">
        <v>0</v>
      </c>
      <c r="F24" s="243">
        <v>0</v>
      </c>
      <c r="G24" s="243">
        <v>0</v>
      </c>
      <c r="H24" s="243">
        <v>0</v>
      </c>
      <c r="I24" s="243">
        <v>0</v>
      </c>
      <c r="J24" s="243">
        <v>0</v>
      </c>
      <c r="K24" s="243">
        <v>0</v>
      </c>
      <c r="L24" s="243">
        <v>0</v>
      </c>
      <c r="M24" s="243">
        <v>0</v>
      </c>
      <c r="N24" s="243">
        <v>0</v>
      </c>
      <c r="O24" s="243">
        <v>0</v>
      </c>
      <c r="P24" s="243">
        <v>0</v>
      </c>
      <c r="Q24" s="254">
        <v>0</v>
      </c>
    </row>
    <row r="25" spans="1:17">
      <c r="A25" s="252" t="s">
        <v>39</v>
      </c>
      <c r="B25" s="243">
        <v>0</v>
      </c>
      <c r="C25" s="243">
        <v>0</v>
      </c>
      <c r="D25" s="243">
        <v>0</v>
      </c>
      <c r="E25" s="243">
        <v>0</v>
      </c>
      <c r="F25" s="243">
        <v>0</v>
      </c>
      <c r="G25" s="243">
        <v>0</v>
      </c>
      <c r="H25" s="243">
        <v>0</v>
      </c>
      <c r="I25" s="243">
        <v>0</v>
      </c>
      <c r="J25" s="243">
        <v>0</v>
      </c>
      <c r="K25" s="243">
        <v>0</v>
      </c>
      <c r="L25" s="243">
        <v>0</v>
      </c>
      <c r="M25" s="243">
        <v>0</v>
      </c>
      <c r="N25" s="243">
        <v>40.705000000000005</v>
      </c>
      <c r="O25" s="243">
        <v>0</v>
      </c>
      <c r="P25" s="243">
        <v>0</v>
      </c>
      <c r="Q25" s="254">
        <v>40.705000000000005</v>
      </c>
    </row>
    <row r="26" spans="1:17">
      <c r="A26" s="247" t="s">
        <v>40</v>
      </c>
      <c r="B26" s="248">
        <v>0</v>
      </c>
      <c r="C26" s="248">
        <v>0</v>
      </c>
      <c r="D26" s="248">
        <v>1260.6920000000002</v>
      </c>
      <c r="E26" s="248">
        <v>0</v>
      </c>
      <c r="F26" s="248">
        <v>0</v>
      </c>
      <c r="G26" s="248">
        <v>198.98930000000001</v>
      </c>
      <c r="H26" s="248">
        <v>0</v>
      </c>
      <c r="I26" s="248">
        <v>0</v>
      </c>
      <c r="J26" s="248">
        <v>0</v>
      </c>
      <c r="K26" s="248">
        <v>0</v>
      </c>
      <c r="L26" s="248">
        <v>0</v>
      </c>
      <c r="M26" s="248">
        <v>3.4890000000000003</v>
      </c>
      <c r="N26" s="248">
        <v>-651.39629999999988</v>
      </c>
      <c r="O26" s="248">
        <v>-3.4890000000000003</v>
      </c>
      <c r="P26" s="248">
        <v>0</v>
      </c>
      <c r="Q26" s="248">
        <v>808.28500000000031</v>
      </c>
    </row>
    <row r="27" spans="1:17">
      <c r="A27" s="249"/>
      <c r="B27" s="250"/>
      <c r="C27" s="250"/>
      <c r="D27" s="257"/>
      <c r="E27" s="250"/>
      <c r="F27" s="250"/>
      <c r="G27" s="250"/>
      <c r="H27" s="257"/>
      <c r="I27" s="250"/>
      <c r="J27" s="250"/>
      <c r="K27" s="250"/>
      <c r="L27" s="258"/>
      <c r="M27" s="250"/>
      <c r="N27" s="250"/>
      <c r="O27" s="250"/>
      <c r="P27" s="250"/>
      <c r="Q27" s="250"/>
    </row>
    <row r="28" spans="1:17">
      <c r="A28" s="252" t="s">
        <v>41</v>
      </c>
      <c r="B28" s="243">
        <v>0</v>
      </c>
      <c r="C28" s="243">
        <v>0</v>
      </c>
      <c r="D28" s="243">
        <v>0</v>
      </c>
      <c r="E28" s="243">
        <v>0</v>
      </c>
      <c r="F28" s="243">
        <v>0</v>
      </c>
      <c r="G28" s="243">
        <v>0</v>
      </c>
      <c r="H28" s="243">
        <v>0</v>
      </c>
      <c r="I28" s="243">
        <v>0</v>
      </c>
      <c r="J28" s="243">
        <v>0</v>
      </c>
      <c r="K28" s="243">
        <v>0</v>
      </c>
      <c r="L28" s="243">
        <v>0</v>
      </c>
      <c r="M28" s="243">
        <v>0</v>
      </c>
      <c r="N28" s="243">
        <v>294</v>
      </c>
      <c r="O28" s="243">
        <v>0</v>
      </c>
      <c r="P28" s="243">
        <v>0</v>
      </c>
      <c r="Q28" s="254">
        <v>294</v>
      </c>
    </row>
    <row r="29" spans="1:17">
      <c r="A29" s="252" t="s">
        <v>42</v>
      </c>
      <c r="B29" s="243">
        <v>0</v>
      </c>
      <c r="C29" s="243">
        <v>0</v>
      </c>
      <c r="D29" s="243">
        <v>1904.9940000000004</v>
      </c>
      <c r="E29" s="243">
        <v>0</v>
      </c>
      <c r="F29" s="243">
        <v>0</v>
      </c>
      <c r="G29" s="243">
        <v>0</v>
      </c>
      <c r="H29" s="243">
        <v>0</v>
      </c>
      <c r="I29" s="243">
        <v>0</v>
      </c>
      <c r="J29" s="243">
        <v>0</v>
      </c>
      <c r="K29" s="243">
        <v>0</v>
      </c>
      <c r="L29" s="243">
        <v>0</v>
      </c>
      <c r="M29" s="243">
        <v>0</v>
      </c>
      <c r="N29" s="243">
        <v>0</v>
      </c>
      <c r="O29" s="243">
        <v>0</v>
      </c>
      <c r="P29" s="243">
        <v>0</v>
      </c>
      <c r="Q29" s="254">
        <v>1904.9940000000004</v>
      </c>
    </row>
    <row r="30" spans="1:17">
      <c r="A30" s="252" t="s">
        <v>43</v>
      </c>
      <c r="B30" s="243">
        <v>0</v>
      </c>
      <c r="C30" s="243">
        <v>0</v>
      </c>
      <c r="D30" s="243">
        <v>90.713999999999999</v>
      </c>
      <c r="E30" s="243">
        <v>0</v>
      </c>
      <c r="F30" s="243">
        <v>0</v>
      </c>
      <c r="G30" s="243">
        <v>0</v>
      </c>
      <c r="H30" s="243">
        <v>0</v>
      </c>
      <c r="I30" s="243">
        <v>0</v>
      </c>
      <c r="J30" s="243">
        <v>0</v>
      </c>
      <c r="K30" s="243">
        <v>0</v>
      </c>
      <c r="L30" s="243">
        <v>0</v>
      </c>
      <c r="M30" s="243">
        <v>22.097000000000001</v>
      </c>
      <c r="N30" s="243">
        <v>243.06700000000001</v>
      </c>
      <c r="O30" s="243">
        <v>0</v>
      </c>
      <c r="P30" s="243">
        <v>0</v>
      </c>
      <c r="Q30" s="254">
        <v>355.87800000000004</v>
      </c>
    </row>
    <row r="31" spans="1:17">
      <c r="A31" s="252" t="s">
        <v>44</v>
      </c>
      <c r="B31" s="243">
        <v>0</v>
      </c>
      <c r="C31" s="243">
        <v>0</v>
      </c>
      <c r="D31" s="243">
        <v>39.542000000000002</v>
      </c>
      <c r="E31" s="243">
        <v>0</v>
      </c>
      <c r="F31" s="243">
        <v>0</v>
      </c>
      <c r="G31" s="243">
        <v>0</v>
      </c>
      <c r="H31" s="243">
        <v>0</v>
      </c>
      <c r="I31" s="243">
        <v>0</v>
      </c>
      <c r="J31" s="243">
        <v>0</v>
      </c>
      <c r="K31" s="243">
        <v>0</v>
      </c>
      <c r="L31" s="243">
        <v>0</v>
      </c>
      <c r="M31" s="243">
        <v>0</v>
      </c>
      <c r="N31" s="243">
        <v>116</v>
      </c>
      <c r="O31" s="243">
        <v>3.4890000000000003</v>
      </c>
      <c r="P31" s="243">
        <v>0</v>
      </c>
      <c r="Q31" s="254">
        <v>159.03100000000001</v>
      </c>
    </row>
    <row r="32" spans="1:17">
      <c r="A32" s="252" t="s">
        <v>4</v>
      </c>
      <c r="B32" s="243">
        <v>0</v>
      </c>
      <c r="C32" s="243">
        <v>0</v>
      </c>
      <c r="D32" s="243">
        <v>126.76700000000001</v>
      </c>
      <c r="E32" s="243">
        <v>0</v>
      </c>
      <c r="F32" s="243">
        <v>0</v>
      </c>
      <c r="G32" s="243">
        <v>0</v>
      </c>
      <c r="H32" s="243">
        <v>0</v>
      </c>
      <c r="I32" s="243">
        <v>0</v>
      </c>
      <c r="J32" s="243">
        <v>0</v>
      </c>
      <c r="K32" s="243">
        <v>0</v>
      </c>
      <c r="L32" s="243">
        <v>0</v>
      </c>
      <c r="M32" s="243">
        <v>0</v>
      </c>
      <c r="N32" s="243">
        <v>0</v>
      </c>
      <c r="O32" s="243">
        <v>0</v>
      </c>
      <c r="P32" s="243">
        <v>0</v>
      </c>
      <c r="Q32" s="254">
        <v>126.76700000000001</v>
      </c>
    </row>
    <row r="33" spans="1:17">
      <c r="A33" s="252" t="s">
        <v>382</v>
      </c>
      <c r="B33" s="243">
        <v>0</v>
      </c>
      <c r="C33" s="243">
        <v>0</v>
      </c>
      <c r="D33" s="243">
        <v>0</v>
      </c>
      <c r="E33" s="243">
        <v>0</v>
      </c>
      <c r="F33" s="243">
        <v>0</v>
      </c>
      <c r="G33" s="243">
        <v>0</v>
      </c>
      <c r="H33" s="243">
        <v>0</v>
      </c>
      <c r="I33" s="243">
        <v>0</v>
      </c>
      <c r="J33" s="243">
        <v>0</v>
      </c>
      <c r="K33" s="243">
        <v>0</v>
      </c>
      <c r="L33" s="243">
        <v>0</v>
      </c>
      <c r="M33" s="243">
        <v>0</v>
      </c>
      <c r="N33" s="243">
        <v>0</v>
      </c>
      <c r="O33" s="243">
        <v>0</v>
      </c>
      <c r="P33" s="243">
        <v>0</v>
      </c>
      <c r="Q33" s="254">
        <v>0</v>
      </c>
    </row>
    <row r="34" spans="1:17">
      <c r="A34" s="247" t="s">
        <v>45</v>
      </c>
      <c r="B34" s="248">
        <v>0</v>
      </c>
      <c r="C34" s="248">
        <v>0</v>
      </c>
      <c r="D34" s="248">
        <v>2162.0170000000003</v>
      </c>
      <c r="E34" s="248">
        <v>0</v>
      </c>
      <c r="F34" s="248">
        <v>0</v>
      </c>
      <c r="G34" s="248">
        <v>0</v>
      </c>
      <c r="H34" s="248">
        <v>0</v>
      </c>
      <c r="I34" s="248">
        <v>0</v>
      </c>
      <c r="J34" s="248">
        <v>0</v>
      </c>
      <c r="K34" s="248">
        <v>0</v>
      </c>
      <c r="L34" s="248">
        <v>0</v>
      </c>
      <c r="M34" s="248">
        <v>22.097000000000001</v>
      </c>
      <c r="N34" s="248">
        <v>653.06700000000001</v>
      </c>
      <c r="O34" s="248">
        <v>3.4890000000000003</v>
      </c>
      <c r="P34" s="248">
        <v>0</v>
      </c>
      <c r="Q34" s="248">
        <v>2840.6700000000005</v>
      </c>
    </row>
    <row r="35" spans="1:17">
      <c r="A35" s="242" t="s">
        <v>46</v>
      </c>
      <c r="B35" s="243">
        <v>0</v>
      </c>
      <c r="C35" s="243">
        <v>0</v>
      </c>
      <c r="D35" s="243">
        <v>0</v>
      </c>
      <c r="E35" s="243">
        <v>0</v>
      </c>
      <c r="F35" s="243">
        <v>0</v>
      </c>
      <c r="G35" s="243">
        <v>0</v>
      </c>
      <c r="H35" s="243">
        <v>0</v>
      </c>
      <c r="I35" s="243">
        <v>0</v>
      </c>
      <c r="J35" s="243">
        <v>0</v>
      </c>
      <c r="K35" s="243">
        <v>0</v>
      </c>
      <c r="L35" s="243">
        <v>0</v>
      </c>
      <c r="M35" s="243">
        <v>0</v>
      </c>
      <c r="N35" s="243">
        <v>0</v>
      </c>
      <c r="O35" s="243">
        <v>0</v>
      </c>
      <c r="P35" s="243">
        <v>0</v>
      </c>
      <c r="Q35" s="356">
        <v>0</v>
      </c>
    </row>
    <row r="36" spans="1:17">
      <c r="A36" s="247" t="s">
        <v>47</v>
      </c>
      <c r="B36" s="248">
        <v>0</v>
      </c>
      <c r="C36" s="248">
        <v>0</v>
      </c>
      <c r="D36" s="248">
        <v>2162.0170000000003</v>
      </c>
      <c r="E36" s="248">
        <v>0</v>
      </c>
      <c r="F36" s="248">
        <v>0</v>
      </c>
      <c r="G36" s="248">
        <v>0</v>
      </c>
      <c r="H36" s="248">
        <v>0</v>
      </c>
      <c r="I36" s="248">
        <v>0</v>
      </c>
      <c r="J36" s="248">
        <v>0</v>
      </c>
      <c r="K36" s="248">
        <v>0</v>
      </c>
      <c r="L36" s="248">
        <v>0</v>
      </c>
      <c r="M36" s="248">
        <v>22.097000000000001</v>
      </c>
      <c r="N36" s="248">
        <v>653.06700000000001</v>
      </c>
      <c r="O36" s="248">
        <v>3.4890000000000003</v>
      </c>
      <c r="P36" s="248">
        <v>0</v>
      </c>
      <c r="Q36" s="248">
        <v>2840.6700000000005</v>
      </c>
    </row>
  </sheetData>
  <mergeCells count="12">
    <mergeCell ref="Q4:Q5"/>
    <mergeCell ref="A4:A5"/>
    <mergeCell ref="B4:B5"/>
    <mergeCell ref="C4:C5"/>
    <mergeCell ref="D4:D5"/>
    <mergeCell ref="E4:E5"/>
    <mergeCell ref="F4:F5"/>
    <mergeCell ref="G4:G5"/>
    <mergeCell ref="H4:M4"/>
    <mergeCell ref="N4:N5"/>
    <mergeCell ref="O4:O5"/>
    <mergeCell ref="P4:P5"/>
  </mergeCells>
  <conditionalFormatting sqref="C23:E23 B24:E25 H5:L5 N27:Q27 B27:G27 F23:G25 B19:G22 H19:P25 N9:Q11 C9:G11 H9:M10 O6:Q8 E6:E8 B6:B11 B15:P16 B12:Q14 Q15:Q25 B26:Q26">
    <cfRule type="cellIs" dxfId="194" priority="1" operator="equal">
      <formula>0</formula>
    </cfRule>
  </conditionalFormatting>
  <conditionalFormatting sqref="N6:N11">
    <cfRule type="cellIs" dxfId="193" priority="2" operator="equal">
      <formula>0</formula>
    </cfRule>
  </conditionalFormatting>
  <conditionalFormatting sqref="B6:C11 F6:G11">
    <cfRule type="cellIs" dxfId="192" priority="3" operator="equal">
      <formula>0</formula>
    </cfRule>
  </conditionalFormatting>
  <conditionalFormatting sqref="D6:D11">
    <cfRule type="cellIs" dxfId="191" priority="4" operator="equal">
      <formula>0</formula>
    </cfRule>
  </conditionalFormatting>
  <conditionalFormatting sqref="B23">
    <cfRule type="cellIs" dxfId="190" priority="5" operator="equal">
      <formula>0</formula>
    </cfRule>
  </conditionalFormatting>
  <conditionalFormatting sqref="M5">
    <cfRule type="cellIs" dxfId="189" priority="6" operator="equal">
      <formula>0</formula>
    </cfRule>
  </conditionalFormatting>
  <conditionalFormatting sqref="H9:H11 H27">
    <cfRule type="cellIs" dxfId="188" priority="7" operator="equal">
      <formula>0</formula>
    </cfRule>
  </conditionalFormatting>
  <conditionalFormatting sqref="H6:H11 I6:M6">
    <cfRule type="cellIs" dxfId="187" priority="8" operator="equal">
      <formula>0</formula>
    </cfRule>
  </conditionalFormatting>
  <conditionalFormatting sqref="I9:I11 I27">
    <cfRule type="cellIs" dxfId="186" priority="9" operator="equal">
      <formula>0</formula>
    </cfRule>
  </conditionalFormatting>
  <conditionalFormatting sqref="I6:I11">
    <cfRule type="cellIs" dxfId="185" priority="10" operator="equal">
      <formula>0</formula>
    </cfRule>
  </conditionalFormatting>
  <conditionalFormatting sqref="J9:J11 J27">
    <cfRule type="cellIs" dxfId="184" priority="11" operator="equal">
      <formula>0</formula>
    </cfRule>
  </conditionalFormatting>
  <conditionalFormatting sqref="J6:J11">
    <cfRule type="cellIs" dxfId="183" priority="12" operator="equal">
      <formula>0</formula>
    </cfRule>
  </conditionalFormatting>
  <conditionalFormatting sqref="K9:K11 K27">
    <cfRule type="cellIs" dxfId="182" priority="13" operator="equal">
      <formula>0</formula>
    </cfRule>
  </conditionalFormatting>
  <conditionalFormatting sqref="K6:K11">
    <cfRule type="cellIs" dxfId="181" priority="14" operator="equal">
      <formula>0</formula>
    </cfRule>
  </conditionalFormatting>
  <conditionalFormatting sqref="L9:L11 L27">
    <cfRule type="cellIs" dxfId="180" priority="15" operator="equal">
      <formula>0</formula>
    </cfRule>
  </conditionalFormatting>
  <conditionalFormatting sqref="L6:L11">
    <cfRule type="cellIs" dxfId="179" priority="16" operator="equal">
      <formula>0</formula>
    </cfRule>
  </conditionalFormatting>
  <conditionalFormatting sqref="M9:M11 M27">
    <cfRule type="cellIs" dxfId="178" priority="17" operator="equal">
      <formula>0</formula>
    </cfRule>
  </conditionalFormatting>
  <conditionalFormatting sqref="M6:M11">
    <cfRule type="cellIs" dxfId="177" priority="18" operator="equal">
      <formula>0</formula>
    </cfRule>
  </conditionalFormatting>
  <conditionalFormatting sqref="B14:Q14 B19:P25 B15:P16 B6:Q12 Q15:Q25 B26:Q26">
    <cfRule type="expression" dxfId="176" priority="19">
      <formula>LEN(TRIM(B6))=0</formula>
    </cfRule>
  </conditionalFormatting>
  <conditionalFormatting sqref="J9:J10">
    <cfRule type="cellIs" dxfId="175" priority="20" operator="equal">
      <formula>0</formula>
    </cfRule>
  </conditionalFormatting>
  <conditionalFormatting sqref="K9:K10">
    <cfRule type="cellIs" dxfId="174" priority="21" operator="equal">
      <formula>0</formula>
    </cfRule>
  </conditionalFormatting>
  <conditionalFormatting sqref="B17:P18">
    <cfRule type="cellIs" dxfId="173" priority="22" operator="equal">
      <formula>0</formula>
    </cfRule>
  </conditionalFormatting>
  <conditionalFormatting sqref="N17:N18">
    <cfRule type="cellIs" dxfId="172" priority="23" operator="equal">
      <formula>0</formula>
    </cfRule>
  </conditionalFormatting>
  <conditionalFormatting sqref="B17:P18">
    <cfRule type="expression" dxfId="171" priority="24">
      <formula>LEN(TRIM(B17))=0</formula>
    </cfRule>
  </conditionalFormatting>
  <conditionalFormatting sqref="L9:M9">
    <cfRule type="cellIs" dxfId="170" priority="25" operator="equal">
      <formula>0</formula>
    </cfRule>
  </conditionalFormatting>
  <conditionalFormatting sqref="L10:M10">
    <cfRule type="cellIs" dxfId="169" priority="26" operator="equal">
      <formula>0</formula>
    </cfRule>
  </conditionalFormatting>
  <conditionalFormatting sqref="B28:P34 Q28:Q35">
    <cfRule type="cellIs" dxfId="168" priority="27" operator="equal">
      <formula>0</formula>
    </cfRule>
  </conditionalFormatting>
  <conditionalFormatting sqref="B35:P35">
    <cfRule type="cellIs" dxfId="167" priority="28" operator="equal">
      <formula>0</formula>
    </cfRule>
  </conditionalFormatting>
  <conditionalFormatting sqref="B28:Q35">
    <cfRule type="expression" dxfId="166" priority="29">
      <formula>LEN(TRIM(B28))=0</formula>
    </cfRule>
  </conditionalFormatting>
  <conditionalFormatting sqref="B35:P35">
    <cfRule type="cellIs" dxfId="165" priority="30" operator="equal">
      <formula>0</formula>
    </cfRule>
  </conditionalFormatting>
  <conditionalFormatting sqref="B36:Q36">
    <cfRule type="cellIs" dxfId="164" priority="31" operator="equal">
      <formula>0</formula>
    </cfRule>
  </conditionalFormatting>
  <conditionalFormatting sqref="B36:Q36">
    <cfRule type="expression" dxfId="163" priority="32">
      <formula>LEN(TRIM(B36))=0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3"/>
  <sheetViews>
    <sheetView showGridLines="0" workbookViewId="0">
      <selection activeCell="G14" sqref="G14"/>
    </sheetView>
  </sheetViews>
  <sheetFormatPr baseColWidth="10" defaultRowHeight="14.4"/>
  <sheetData>
    <row r="1" spans="1:10">
      <c r="A1" s="501"/>
      <c r="B1" s="501"/>
      <c r="C1" s="501"/>
      <c r="D1" s="501"/>
      <c r="E1" s="501"/>
      <c r="F1" s="501"/>
      <c r="G1" s="501"/>
    </row>
    <row r="2" spans="1:10" ht="18">
      <c r="A2" s="502" t="s">
        <v>441</v>
      </c>
      <c r="B2" s="502"/>
      <c r="C2" s="502"/>
      <c r="D2" s="502"/>
      <c r="E2" s="502"/>
      <c r="F2" s="502"/>
      <c r="G2" s="502"/>
    </row>
    <row r="4" spans="1:10">
      <c r="A4" s="501" t="s">
        <v>442</v>
      </c>
      <c r="B4" s="501"/>
      <c r="C4" s="501"/>
      <c r="D4" s="501"/>
      <c r="E4" s="501"/>
      <c r="F4" s="501"/>
      <c r="G4" s="501"/>
    </row>
    <row r="5" spans="1:10">
      <c r="A5" s="501" t="s">
        <v>446</v>
      </c>
      <c r="B5" s="501"/>
      <c r="C5" s="501"/>
      <c r="D5" s="501"/>
      <c r="E5" s="501"/>
      <c r="F5" s="501"/>
      <c r="G5" s="501"/>
    </row>
    <row r="7" spans="1:10">
      <c r="A7" t="s">
        <v>439</v>
      </c>
    </row>
    <row r="8" spans="1:10">
      <c r="A8" s="318"/>
      <c r="B8" t="s">
        <v>444</v>
      </c>
    </row>
    <row r="9" spans="1:10">
      <c r="A9" s="317"/>
      <c r="B9" t="s">
        <v>445</v>
      </c>
      <c r="J9" t="s">
        <v>476</v>
      </c>
    </row>
    <row r="10" spans="1:10">
      <c r="A10" s="319"/>
      <c r="B10" t="s">
        <v>422</v>
      </c>
      <c r="J10" t="s">
        <v>482</v>
      </c>
    </row>
    <row r="11" spans="1:10">
      <c r="A11" s="337"/>
      <c r="B11" t="s">
        <v>440</v>
      </c>
    </row>
    <row r="13" spans="1:10">
      <c r="G13" t="s">
        <v>483</v>
      </c>
    </row>
  </sheetData>
  <mergeCells count="4">
    <mergeCell ref="A1:G1"/>
    <mergeCell ref="A2:G2"/>
    <mergeCell ref="A4:G4"/>
    <mergeCell ref="A5:G5"/>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4:S5"/>
  <sheetViews>
    <sheetView topLeftCell="H1" workbookViewId="0">
      <selection activeCell="S14" sqref="S14"/>
    </sheetView>
  </sheetViews>
  <sheetFormatPr baseColWidth="10" defaultRowHeight="14.4"/>
  <sheetData>
    <row r="4" spans="2:19">
      <c r="B4" s="30">
        <v>2010</v>
      </c>
      <c r="C4" s="30">
        <v>2011</v>
      </c>
      <c r="D4" s="30">
        <v>2012</v>
      </c>
      <c r="E4" s="30">
        <v>2013</v>
      </c>
      <c r="F4" s="30">
        <v>2014</v>
      </c>
      <c r="G4" s="30">
        <v>2015</v>
      </c>
      <c r="H4" s="30">
        <v>2016</v>
      </c>
      <c r="I4" s="30">
        <v>2017</v>
      </c>
      <c r="J4" s="30">
        <v>2018</v>
      </c>
      <c r="K4" s="30">
        <v>2019</v>
      </c>
      <c r="L4" s="30">
        <v>2020</v>
      </c>
      <c r="M4" s="30">
        <v>2021</v>
      </c>
      <c r="N4" s="237">
        <v>2025</v>
      </c>
      <c r="O4" s="237">
        <v>2030</v>
      </c>
      <c r="P4" s="237">
        <v>2035</v>
      </c>
      <c r="Q4" s="237">
        <v>2040</v>
      </c>
      <c r="R4" s="237">
        <v>2045</v>
      </c>
      <c r="S4" s="237">
        <v>2050</v>
      </c>
    </row>
    <row r="5" spans="2:19">
      <c r="B5" s="32">
        <v>821136</v>
      </c>
      <c r="C5" s="32">
        <v>828581</v>
      </c>
      <c r="D5" s="32">
        <v>833944</v>
      </c>
      <c r="E5" s="32">
        <v>835103</v>
      </c>
      <c r="F5" s="32">
        <v>842767</v>
      </c>
      <c r="G5" s="32">
        <v>850727</v>
      </c>
      <c r="H5" s="32">
        <v>852924</v>
      </c>
      <c r="I5" s="32">
        <v>853659</v>
      </c>
      <c r="J5" s="32">
        <v>855961</v>
      </c>
      <c r="K5" s="32">
        <v>861210</v>
      </c>
      <c r="L5" s="32">
        <v>863197</v>
      </c>
      <c r="M5" s="311">
        <v>866000</v>
      </c>
      <c r="N5" s="237">
        <f>0.879*1000000</f>
        <v>879000</v>
      </c>
      <c r="O5" s="237">
        <f>0.893*1000000</f>
        <v>893000</v>
      </c>
      <c r="P5" s="237">
        <f>0.904*1000000</f>
        <v>904000</v>
      </c>
      <c r="Q5" s="237">
        <f>0.913*1000000</f>
        <v>913000</v>
      </c>
      <c r="R5" s="237">
        <f>0.917*1000000</f>
        <v>917000</v>
      </c>
      <c r="S5" s="237">
        <f>0.918*1000000</f>
        <v>918000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3:I24"/>
  <sheetViews>
    <sheetView showGridLines="0" topLeftCell="A37" zoomScale="70" zoomScaleNormal="70" workbookViewId="0">
      <selection activeCell="L23" sqref="L23"/>
    </sheetView>
  </sheetViews>
  <sheetFormatPr baseColWidth="10" defaultRowHeight="14.4"/>
  <sheetData>
    <row r="3" spans="2:9" ht="25.8">
      <c r="B3" s="503" t="s">
        <v>427</v>
      </c>
      <c r="C3" s="503"/>
      <c r="D3" s="503"/>
      <c r="E3" s="503"/>
      <c r="F3" s="503"/>
      <c r="G3" s="503"/>
      <c r="H3" s="503"/>
      <c r="I3" s="503"/>
    </row>
    <row r="24" spans="2:9" ht="25.8">
      <c r="B24" s="503" t="s">
        <v>428</v>
      </c>
      <c r="C24" s="503"/>
      <c r="D24" s="503"/>
      <c r="E24" s="503"/>
      <c r="F24" s="503"/>
      <c r="G24" s="503"/>
      <c r="H24" s="503"/>
      <c r="I24" s="503"/>
    </row>
  </sheetData>
  <mergeCells count="2">
    <mergeCell ref="B3:I3"/>
    <mergeCell ref="B24:I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D4:M18"/>
  <sheetViews>
    <sheetView workbookViewId="0">
      <selection activeCell="H41" sqref="H41"/>
    </sheetView>
  </sheetViews>
  <sheetFormatPr baseColWidth="10" defaultRowHeight="14.4"/>
  <sheetData>
    <row r="4" spans="4:13">
      <c r="F4" t="s">
        <v>530</v>
      </c>
      <c r="G4" t="s">
        <v>531</v>
      </c>
      <c r="J4" s="355"/>
      <c r="K4" s="355"/>
      <c r="L4" s="355" t="s">
        <v>530</v>
      </c>
      <c r="M4" s="355" t="s">
        <v>531</v>
      </c>
    </row>
    <row r="5" spans="4:13">
      <c r="D5" t="s">
        <v>529</v>
      </c>
      <c r="E5" t="s">
        <v>528</v>
      </c>
      <c r="F5">
        <f>'Bilan d''énergie'!E282*2/3</f>
        <v>692.11522347559674</v>
      </c>
      <c r="G5">
        <f>282.7692/1000*F5</f>
        <v>195.7088680500157</v>
      </c>
      <c r="J5" s="355" t="s">
        <v>536</v>
      </c>
      <c r="K5" s="355" t="s">
        <v>528</v>
      </c>
      <c r="L5" s="355">
        <f>'Bilan d''énergie'!E36*2/3</f>
        <v>840.46133333333353</v>
      </c>
      <c r="M5" s="355">
        <f>282.7692/1000*L5</f>
        <v>237.65657885760007</v>
      </c>
    </row>
    <row r="6" spans="4:13">
      <c r="E6" t="s">
        <v>168</v>
      </c>
      <c r="F6">
        <f>'Bilan d''énergie'!E282*1/3</f>
        <v>346.05761173779837</v>
      </c>
      <c r="G6">
        <f>270.2412/1000*F6</f>
        <v>93.519024265156716</v>
      </c>
      <c r="J6" s="355"/>
      <c r="K6" s="355" t="s">
        <v>168</v>
      </c>
      <c r="L6" s="355">
        <f>'Bilan d''énergie'!E36*1/3</f>
        <v>420.23066666666676</v>
      </c>
      <c r="M6" s="355">
        <f>270.2412/1000*L6</f>
        <v>113.56363963680003</v>
      </c>
    </row>
    <row r="7" spans="4:13">
      <c r="E7" t="s">
        <v>597</v>
      </c>
      <c r="F7">
        <f>'Bilan d''énergie'!H282</f>
        <v>296.0456585985101</v>
      </c>
      <c r="G7">
        <v>0</v>
      </c>
      <c r="J7" s="355"/>
      <c r="K7" s="355" t="s">
        <v>597</v>
      </c>
      <c r="L7" s="355">
        <f>'Bilan d''énergie'!H36</f>
        <v>198.98930000000001</v>
      </c>
      <c r="M7" s="355">
        <v>0</v>
      </c>
    </row>
    <row r="10" spans="4:13">
      <c r="E10" t="s">
        <v>532</v>
      </c>
      <c r="F10">
        <f>SUM(G5:G7)/SUM(F5:F7)</f>
        <v>0.21677700740666475</v>
      </c>
      <c r="G10" t="s">
        <v>533</v>
      </c>
      <c r="L10">
        <f>SUM(M5:M7)/SUM(L5:L7)</f>
        <v>0.24061431662815716</v>
      </c>
    </row>
    <row r="13" spans="4:13">
      <c r="D13" t="s">
        <v>534</v>
      </c>
      <c r="F13" t="s">
        <v>535</v>
      </c>
      <c r="M13" t="s">
        <v>537</v>
      </c>
    </row>
    <row r="14" spans="4:13">
      <c r="F14">
        <f>'Bilan d''énergie'!O295</f>
        <v>307.46991086346873</v>
      </c>
      <c r="G14">
        <f>F14*F10</f>
        <v>66.652407144576713</v>
      </c>
      <c r="L14">
        <f>'Bilan d''énergie'!O49</f>
        <v>294</v>
      </c>
      <c r="M14">
        <f>L14*L10</f>
        <v>70.740609088678198</v>
      </c>
    </row>
    <row r="17" spans="8:9">
      <c r="H17" t="s">
        <v>538</v>
      </c>
      <c r="I17">
        <f>G14/M14</f>
        <v>0.94220855606464116</v>
      </c>
    </row>
    <row r="18" spans="8:9">
      <c r="H18"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O309"/>
  <sheetViews>
    <sheetView tabSelected="1" topLeftCell="J1" zoomScale="55" zoomScaleNormal="55" workbookViewId="0">
      <selection activeCell="AJ13" sqref="AJ13"/>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504" t="s">
        <v>0</v>
      </c>
      <c r="C2" s="504"/>
      <c r="D2" s="504"/>
      <c r="E2" s="229"/>
      <c r="I2" s="229"/>
      <c r="Q2" s="229"/>
      <c r="U2" s="229"/>
    </row>
    <row r="3" spans="2:30" ht="18">
      <c r="B3" s="260"/>
      <c r="C3" s="260"/>
      <c r="D3" s="260"/>
      <c r="E3" s="229"/>
      <c r="I3" s="229"/>
      <c r="Q3" s="229"/>
      <c r="U3" s="229"/>
    </row>
    <row r="4" spans="2:30">
      <c r="B4" t="s">
        <v>1</v>
      </c>
      <c r="E4" s="229"/>
      <c r="I4" s="229"/>
      <c r="Q4" s="229"/>
      <c r="Y4" s="229"/>
      <c r="Z4" t="s">
        <v>2</v>
      </c>
      <c r="AB4" s="229"/>
    </row>
    <row r="5" spans="2:30">
      <c r="B5" t="s">
        <v>3</v>
      </c>
      <c r="C5" s="30">
        <v>2019</v>
      </c>
      <c r="D5" s="30">
        <v>2020</v>
      </c>
      <c r="E5" s="30">
        <v>2025</v>
      </c>
      <c r="F5" s="30">
        <v>2030</v>
      </c>
      <c r="G5" s="30">
        <v>2035</v>
      </c>
      <c r="H5" s="30">
        <v>2040</v>
      </c>
      <c r="I5" s="30">
        <v>2045</v>
      </c>
      <c r="J5" s="30">
        <v>2050</v>
      </c>
      <c r="M5" s="510" t="s">
        <v>451</v>
      </c>
      <c r="N5" s="510"/>
      <c r="O5" s="510"/>
      <c r="P5" s="510"/>
      <c r="Q5" s="510"/>
      <c r="R5" s="510"/>
      <c r="S5" s="510"/>
      <c r="V5" t="s">
        <v>3</v>
      </c>
      <c r="W5" s="30">
        <v>2019</v>
      </c>
      <c r="X5" s="30">
        <v>2020</v>
      </c>
      <c r="Y5" s="30">
        <v>2025</v>
      </c>
      <c r="Z5" s="30">
        <v>2030</v>
      </c>
      <c r="AA5" s="30">
        <v>2035</v>
      </c>
      <c r="AB5" s="30">
        <v>2040</v>
      </c>
      <c r="AC5" s="30">
        <v>2045</v>
      </c>
      <c r="AD5" s="30">
        <v>2050</v>
      </c>
    </row>
    <row r="6" spans="2:30">
      <c r="B6" s="2" t="s">
        <v>4</v>
      </c>
      <c r="C6" s="2">
        <f t="shared" ref="C6:J6" si="0">C7+C8</f>
        <v>44.589194378546985</v>
      </c>
      <c r="D6" s="2">
        <f t="shared" si="0"/>
        <v>44.183460548949483</v>
      </c>
      <c r="E6" s="2">
        <f t="shared" si="0"/>
        <v>42.065009828513986</v>
      </c>
      <c r="F6" s="2">
        <f t="shared" si="0"/>
        <v>39.796923153998563</v>
      </c>
      <c r="G6" s="2">
        <f t="shared" si="0"/>
        <v>37.379200525403206</v>
      </c>
      <c r="H6" s="2">
        <f t="shared" si="0"/>
        <v>34.811841942727909</v>
      </c>
      <c r="I6" s="2">
        <f t="shared" si="0"/>
        <v>32.094847405972693</v>
      </c>
      <c r="J6" s="2">
        <f t="shared" si="0"/>
        <v>29.228216915137544</v>
      </c>
      <c r="M6" s="510"/>
      <c r="N6" s="510"/>
      <c r="O6" s="510"/>
      <c r="P6" s="510"/>
      <c r="Q6" s="510"/>
      <c r="R6" s="510"/>
      <c r="S6" s="510"/>
      <c r="V6" s="2" t="s">
        <v>4</v>
      </c>
      <c r="W6" s="2">
        <f t="shared" ref="W6:AD6" si="1">W7+W8</f>
        <v>44.589194378546985</v>
      </c>
      <c r="X6" s="2">
        <f t="shared" si="1"/>
        <v>45.331085542662912</v>
      </c>
      <c r="Y6" s="2">
        <f t="shared" si="1"/>
        <v>48.865014743190493</v>
      </c>
      <c r="Z6" s="2">
        <f t="shared" si="1"/>
        <v>52.106399576964613</v>
      </c>
      <c r="AA6" s="2">
        <f t="shared" si="1"/>
        <v>55.055240043985293</v>
      </c>
      <c r="AB6" s="2">
        <f t="shared" si="1"/>
        <v>57.711536144252513</v>
      </c>
      <c r="AC6" s="2">
        <f t="shared" si="1"/>
        <v>60.075287877766286</v>
      </c>
      <c r="AD6" s="2">
        <f t="shared" si="1"/>
        <v>62.146495244526605</v>
      </c>
    </row>
    <row r="7" spans="2:30">
      <c r="B7" s="2" t="s">
        <v>5</v>
      </c>
      <c r="C7" s="2">
        <f>Agriculture!D19</f>
        <v>25.790990004775875</v>
      </c>
      <c r="D7" s="2">
        <f>Agriculture!G19</f>
        <v>25.55630809832763</v>
      </c>
      <c r="E7" s="2">
        <f>Agriculture!J19</f>
        <v>24.330967696513838</v>
      </c>
      <c r="F7" s="2">
        <f>Agriculture!M19</f>
        <v>23.019075845412427</v>
      </c>
      <c r="G7" s="2">
        <f>Agriculture!P19</f>
        <v>21.620632545023398</v>
      </c>
      <c r="H7" s="2">
        <f>Agriculture!S19</f>
        <v>20.135637795346742</v>
      </c>
      <c r="I7" s="2">
        <f>Agriculture!V19</f>
        <v>18.564091596382472</v>
      </c>
      <c r="J7" s="2">
        <f>Agriculture!Y19</f>
        <v>16.905993948130583</v>
      </c>
      <c r="M7" s="510"/>
      <c r="N7" s="510"/>
      <c r="O7" s="510"/>
      <c r="P7" s="510"/>
      <c r="Q7" s="510"/>
      <c r="R7" s="510"/>
      <c r="S7" s="510"/>
      <c r="V7" s="2" t="s">
        <v>5</v>
      </c>
      <c r="W7" s="2">
        <f>Agriculture!D35</f>
        <v>25.790990004775875</v>
      </c>
      <c r="X7" s="2">
        <f>Agriculture!G35</f>
        <v>26.139409908768592</v>
      </c>
      <c r="Y7" s="2">
        <f>Agriculture!J35</f>
        <v>27.726521949775286</v>
      </c>
      <c r="Z7" s="2">
        <f>Agriculture!M35</f>
        <v>29.05532152585381</v>
      </c>
      <c r="AA7" s="2">
        <f>Agriculture!P35</f>
        <v>30.12580863700418</v>
      </c>
      <c r="AB7" s="2">
        <f>Agriculture!S35</f>
        <v>30.937983283226369</v>
      </c>
      <c r="AC7" s="2">
        <f>Agriculture!V35</f>
        <v>31.491845464520399</v>
      </c>
      <c r="AD7" s="2">
        <f>Agriculture!Y35</f>
        <v>31.787395180886264</v>
      </c>
    </row>
    <row r="8" spans="2:30">
      <c r="B8" s="2" t="s">
        <v>6</v>
      </c>
      <c r="C8" s="2">
        <f>Agriculture!D20</f>
        <v>18.79820437377111</v>
      </c>
      <c r="D8" s="2">
        <f>Agriculture!G20</f>
        <v>18.62715245062185</v>
      </c>
      <c r="E8" s="2">
        <f>Agriculture!J20</f>
        <v>17.734042132000148</v>
      </c>
      <c r="F8" s="2">
        <f>Agriculture!M20</f>
        <v>16.777847308586132</v>
      </c>
      <c r="G8" s="2">
        <f>Agriculture!P20</f>
        <v>15.758567980379809</v>
      </c>
      <c r="H8" s="2">
        <f>Agriculture!S20</f>
        <v>14.676204147381171</v>
      </c>
      <c r="I8" s="2">
        <f>Agriculture!V20</f>
        <v>13.530755809590222</v>
      </c>
      <c r="J8" s="2">
        <f>Agriculture!Y20</f>
        <v>12.322222967006962</v>
      </c>
      <c r="M8" s="510"/>
      <c r="N8" s="510"/>
      <c r="O8" s="510"/>
      <c r="P8" s="510"/>
      <c r="Q8" s="510"/>
      <c r="R8" s="510"/>
      <c r="S8" s="510"/>
      <c r="V8" s="2" t="s">
        <v>6</v>
      </c>
      <c r="W8" s="2">
        <f>Agriculture!D36</f>
        <v>18.79820437377111</v>
      </c>
      <c r="X8" s="2">
        <f>Agriculture!G36</f>
        <v>19.19167563389432</v>
      </c>
      <c r="Y8" s="2">
        <f>Agriculture!J36</f>
        <v>21.138492793415207</v>
      </c>
      <c r="Z8" s="2">
        <f>Agriculture!M36</f>
        <v>23.051078051110803</v>
      </c>
      <c r="AA8" s="2">
        <f>Agriculture!P36</f>
        <v>24.929431406981116</v>
      </c>
      <c r="AB8" s="2">
        <f>Agriculture!S36</f>
        <v>26.773552861026143</v>
      </c>
      <c r="AC8" s="2">
        <f>Agriculture!V36</f>
        <v>28.583442413245884</v>
      </c>
      <c r="AD8" s="2">
        <f>Agriculture!Y36</f>
        <v>30.359100063640341</v>
      </c>
    </row>
    <row r="9" spans="2:30">
      <c r="B9" s="2" t="s">
        <v>7</v>
      </c>
      <c r="C9" s="2">
        <f>Déchets!B21</f>
        <v>102.36293749569069</v>
      </c>
      <c r="D9" s="2">
        <f>Déchets!C21</f>
        <v>103.09893909970397</v>
      </c>
      <c r="E9" s="2">
        <f>Déchets!D21</f>
        <v>107.66276272290389</v>
      </c>
      <c r="F9" s="2">
        <f>Déchets!E21</f>
        <v>111.31550629281647</v>
      </c>
      <c r="G9" s="2">
        <f>Déchets!F21</f>
        <v>115.00937163958115</v>
      </c>
      <c r="H9" s="2">
        <f>Déchets!G21</f>
        <v>118.74435876319778</v>
      </c>
      <c r="I9" s="2">
        <f>Déchets!H21</f>
        <v>122.52046766366645</v>
      </c>
      <c r="J9" s="2">
        <f>Déchets!I21</f>
        <v>126.33769834098719</v>
      </c>
      <c r="V9" s="2" t="s">
        <v>7</v>
      </c>
      <c r="W9" s="2">
        <f>Déchets!B35</f>
        <v>102.36293749569069</v>
      </c>
      <c r="X9" s="2">
        <f>Déchets!C35</f>
        <v>99.719388881988422</v>
      </c>
      <c r="Y9" s="2">
        <f>Déchets!D35</f>
        <v>87.399901527806009</v>
      </c>
      <c r="Z9" s="2">
        <f>Déchets!E35</f>
        <v>74.610673319440821</v>
      </c>
      <c r="AA9" s="2">
        <f>Déchets!F35</f>
        <v>62.373507894611052</v>
      </c>
      <c r="AB9" s="2">
        <f>Déchets!G35</f>
        <v>50.789219932050706</v>
      </c>
      <c r="AC9" s="2">
        <f>Déchets!H35</f>
        <v>39.958624110493844</v>
      </c>
      <c r="AD9" s="2">
        <f>Déchets!I35</f>
        <v>29.982535108674476</v>
      </c>
    </row>
    <row r="10" spans="2:30">
      <c r="B10" s="2" t="s">
        <v>8</v>
      </c>
      <c r="C10" s="2">
        <f>UTCATF!B10</f>
        <v>0</v>
      </c>
      <c r="D10" s="2">
        <f>UTCATF!C10</f>
        <v>0</v>
      </c>
      <c r="E10" s="2">
        <f>UTCATF!D10</f>
        <v>0</v>
      </c>
      <c r="F10" s="2">
        <f>UTCATF!E10</f>
        <v>0</v>
      </c>
      <c r="G10" s="2">
        <f>UTCATF!F10</f>
        <v>0</v>
      </c>
      <c r="H10" s="2">
        <f>UTCATF!G10</f>
        <v>0</v>
      </c>
      <c r="I10" s="2">
        <f>UTCATF!H10</f>
        <v>0</v>
      </c>
      <c r="J10" s="2">
        <f>UTCATF!I10</f>
        <v>0</v>
      </c>
      <c r="V10" s="2" t="s">
        <v>8</v>
      </c>
      <c r="W10" s="2">
        <f>UTCATF!B16</f>
        <v>0</v>
      </c>
      <c r="X10" s="2">
        <f>UTCATF!C16</f>
        <v>0</v>
      </c>
      <c r="Y10" s="2">
        <f>UTCATF!D16</f>
        <v>0</v>
      </c>
      <c r="Z10" s="2">
        <f>UTCATF!E16</f>
        <v>0</v>
      </c>
      <c r="AA10" s="2">
        <f>UTCATF!F16</f>
        <v>0</v>
      </c>
      <c r="AB10" s="2">
        <f>UTCATF!G16</f>
        <v>0</v>
      </c>
      <c r="AC10" s="2">
        <f>UTCATF!H16</f>
        <v>0</v>
      </c>
      <c r="AD10" s="2">
        <f>UTCATF!I16</f>
        <v>0</v>
      </c>
    </row>
    <row r="12" spans="2:30" ht="43.2">
      <c r="I12" s="237"/>
      <c r="J12" s="237" t="s">
        <v>14</v>
      </c>
      <c r="K12" s="237" t="s">
        <v>136</v>
      </c>
      <c r="L12" s="237" t="s">
        <v>522</v>
      </c>
      <c r="M12" s="237" t="s">
        <v>384</v>
      </c>
      <c r="N12" s="237" t="s">
        <v>7</v>
      </c>
      <c r="O12" s="237" t="s">
        <v>523</v>
      </c>
      <c r="P12" s="237" t="s">
        <v>524</v>
      </c>
      <c r="Q12" s="237" t="s">
        <v>137</v>
      </c>
      <c r="T12" s="478"/>
      <c r="U12" s="237"/>
      <c r="V12" s="480" t="s">
        <v>384</v>
      </c>
      <c r="W12" s="480" t="s">
        <v>7</v>
      </c>
      <c r="X12" s="480" t="s">
        <v>357</v>
      </c>
      <c r="Y12" s="480" t="s">
        <v>383</v>
      </c>
      <c r="Z12" s="480" t="s">
        <v>371</v>
      </c>
      <c r="AA12" s="480" t="s">
        <v>372</v>
      </c>
      <c r="AB12" s="478"/>
    </row>
    <row r="13" spans="2:30">
      <c r="I13" s="237" t="s">
        <v>525</v>
      </c>
      <c r="J13" s="339">
        <v>0.32</v>
      </c>
      <c r="K13" s="339">
        <v>0.44</v>
      </c>
      <c r="L13" s="339">
        <v>1</v>
      </c>
      <c r="M13" s="339">
        <v>0.4</v>
      </c>
      <c r="N13" s="339">
        <v>0.4</v>
      </c>
      <c r="O13" s="339">
        <v>0.4</v>
      </c>
      <c r="P13" s="339">
        <v>0.6</v>
      </c>
      <c r="Q13" s="339">
        <v>0.1</v>
      </c>
      <c r="T13" s="478" t="s">
        <v>612</v>
      </c>
      <c r="U13" s="237" t="s">
        <v>41</v>
      </c>
      <c r="V13" s="237">
        <v>47.979711316076482</v>
      </c>
      <c r="W13" s="237">
        <v>0</v>
      </c>
      <c r="X13" s="237">
        <v>0</v>
      </c>
      <c r="Y13" s="237">
        <v>8.0017440220341047</v>
      </c>
      <c r="Z13" s="237">
        <v>0</v>
      </c>
      <c r="AA13" s="237">
        <v>0.1631286599880096</v>
      </c>
      <c r="AB13" s="478" t="s">
        <v>613</v>
      </c>
    </row>
    <row r="14" spans="2:30" ht="18">
      <c r="B14" s="504" t="s">
        <v>360</v>
      </c>
      <c r="C14" s="504"/>
      <c r="D14" s="504"/>
      <c r="T14" s="478"/>
      <c r="U14" s="237" t="s">
        <v>43</v>
      </c>
      <c r="V14" s="237"/>
      <c r="W14" s="237"/>
      <c r="X14" s="237"/>
      <c r="Y14" s="237"/>
      <c r="Z14" s="237"/>
      <c r="AA14" s="237">
        <v>1</v>
      </c>
      <c r="AB14" s="478"/>
    </row>
    <row r="15" spans="2:30">
      <c r="U15" s="237" t="s">
        <v>44</v>
      </c>
      <c r="V15" s="237"/>
      <c r="W15" s="237"/>
      <c r="X15" s="237"/>
      <c r="Y15" s="237"/>
      <c r="Z15" s="237"/>
      <c r="AA15" s="237">
        <v>1</v>
      </c>
    </row>
    <row r="16" spans="2:30" ht="43.2">
      <c r="B16" s="230"/>
      <c r="C16" s="231" t="s">
        <v>51</v>
      </c>
      <c r="D16" s="231">
        <v>2019</v>
      </c>
      <c r="E16" s="231">
        <v>2020</v>
      </c>
      <c r="F16" s="231" t="s">
        <v>361</v>
      </c>
      <c r="I16" s="232" t="s">
        <v>362</v>
      </c>
      <c r="J16" s="231">
        <v>2019</v>
      </c>
      <c r="K16" s="231">
        <v>2020</v>
      </c>
      <c r="L16" s="231" t="s">
        <v>361</v>
      </c>
      <c r="O16" s="231" t="s">
        <v>50</v>
      </c>
      <c r="P16" s="231">
        <v>2019</v>
      </c>
      <c r="Q16" s="231">
        <v>2020</v>
      </c>
      <c r="R16" s="231" t="s">
        <v>361</v>
      </c>
      <c r="U16" s="264" t="s">
        <v>386</v>
      </c>
      <c r="V16" s="265" t="s">
        <v>384</v>
      </c>
      <c r="W16" s="265" t="s">
        <v>7</v>
      </c>
      <c r="X16" s="265" t="s">
        <v>385</v>
      </c>
      <c r="Y16" s="265" t="s">
        <v>383</v>
      </c>
      <c r="Z16" s="265" t="s">
        <v>371</v>
      </c>
      <c r="AA16" s="265" t="s">
        <v>372</v>
      </c>
      <c r="AB16" s="265"/>
    </row>
    <row r="17" spans="1:38">
      <c r="B17" s="233"/>
      <c r="C17" s="234" t="s">
        <v>363</v>
      </c>
      <c r="D17" s="235">
        <f>O45/O36</f>
        <v>0</v>
      </c>
      <c r="E17" s="235">
        <v>-1.2872841444270016E-2</v>
      </c>
      <c r="F17" s="235">
        <f>AVERAGE(D17:E17)</f>
        <v>-6.436420722135008E-3</v>
      </c>
      <c r="I17" s="236" t="s">
        <v>364</v>
      </c>
      <c r="J17" s="237">
        <f>SUM(C36:N36)/O36</f>
        <v>-2.1090573012939009</v>
      </c>
      <c r="K17" s="237"/>
      <c r="L17" s="237">
        <f>AVERAGE(J17:K17)</f>
        <v>-2.1090573012939009</v>
      </c>
      <c r="O17" s="234" t="s">
        <v>363</v>
      </c>
      <c r="P17" s="235">
        <f>P45/P37</f>
        <v>0</v>
      </c>
      <c r="Q17" s="235">
        <v>0</v>
      </c>
      <c r="R17" s="235">
        <f>AVERAGE(P17:Q17)</f>
        <v>0</v>
      </c>
      <c r="V17">
        <f t="shared" ref="V17:AA17" si="2">I37/SUM($I$37:$N$37)</f>
        <v>0</v>
      </c>
      <c r="W17">
        <f t="shared" si="2"/>
        <v>0</v>
      </c>
      <c r="X17">
        <f t="shared" si="2"/>
        <v>0</v>
      </c>
      <c r="Y17">
        <f t="shared" si="2"/>
        <v>0</v>
      </c>
      <c r="Z17">
        <f t="shared" si="2"/>
        <v>0</v>
      </c>
      <c r="AA17">
        <f t="shared" si="2"/>
        <v>1</v>
      </c>
    </row>
    <row r="18" spans="1:38">
      <c r="B18" s="233"/>
      <c r="C18" s="234" t="s">
        <v>365</v>
      </c>
      <c r="D18" s="266">
        <f>O46/O36</f>
        <v>-5.8813644765585628E-2</v>
      </c>
      <c r="E18" s="235">
        <v>-6.3736263736263732E-2</v>
      </c>
      <c r="F18" s="266">
        <f>AVERAGE(D18:E18)</f>
        <v>-6.1274954250924676E-2</v>
      </c>
      <c r="I18" s="236" t="s">
        <v>50</v>
      </c>
      <c r="J18" s="237">
        <f>SUM(C37:N37)/P37</f>
        <v>-1</v>
      </c>
      <c r="K18" s="237"/>
      <c r="L18" s="237">
        <f>AVERAGE(J18:K18)</f>
        <v>-1</v>
      </c>
      <c r="O18" s="234" t="s">
        <v>365</v>
      </c>
      <c r="P18" s="235">
        <f>P46/P37</f>
        <v>0</v>
      </c>
      <c r="Q18" s="235">
        <v>-9.0909090909090912E-2</v>
      </c>
      <c r="R18" s="235">
        <f>AVERAGE(P18:Q18)</f>
        <v>-4.5454545454545456E-2</v>
      </c>
    </row>
    <row r="19" spans="1:38">
      <c r="B19" s="233"/>
      <c r="C19" s="238"/>
      <c r="D19" s="239"/>
      <c r="E19" s="239"/>
      <c r="F19" s="239"/>
      <c r="I19" s="236" t="s">
        <v>366</v>
      </c>
      <c r="J19" s="237">
        <f>(SUM(C36:N36)+SUM(C37:N37))/(O36+P37)</f>
        <v>-2.1034943989299455</v>
      </c>
      <c r="K19" s="237">
        <v>-2.3666206896551722</v>
      </c>
      <c r="L19" s="237">
        <f>AVERAGE(J19:K19)</f>
        <v>-2.2350575442925589</v>
      </c>
    </row>
    <row r="21" spans="1:38" ht="23.4">
      <c r="B21" s="505" t="s">
        <v>10</v>
      </c>
      <c r="C21" s="505"/>
      <c r="D21" s="505"/>
      <c r="E21" s="505"/>
      <c r="F21" s="505"/>
      <c r="G21" s="505"/>
      <c r="H21" s="505"/>
      <c r="I21" s="505"/>
      <c r="J21" s="505"/>
      <c r="K21" s="505"/>
      <c r="L21" s="505"/>
      <c r="M21" s="505"/>
      <c r="N21" s="505"/>
      <c r="O21" s="505"/>
      <c r="P21" s="505"/>
      <c r="Q21" s="505"/>
      <c r="R21" s="505"/>
      <c r="V21" s="505" t="s">
        <v>11</v>
      </c>
      <c r="W21" s="505"/>
      <c r="X21" s="505"/>
      <c r="Y21" s="505"/>
      <c r="Z21" s="505"/>
      <c r="AA21" s="505"/>
      <c r="AB21" s="505"/>
      <c r="AC21" s="505"/>
      <c r="AD21" s="505"/>
      <c r="AE21" s="505"/>
      <c r="AF21" s="505"/>
      <c r="AG21" s="505"/>
      <c r="AH21" s="505"/>
      <c r="AI21" s="505"/>
      <c r="AJ21" s="505"/>
      <c r="AK21" s="505"/>
      <c r="AL21" s="505"/>
    </row>
    <row r="22" spans="1:38">
      <c r="B22" t="s">
        <v>12</v>
      </c>
    </row>
    <row r="23" spans="1:38">
      <c r="B23" t="s">
        <v>13</v>
      </c>
    </row>
    <row r="25" spans="1:38">
      <c r="A25" s="506">
        <v>2019</v>
      </c>
      <c r="B25" s="507" t="s">
        <v>12</v>
      </c>
      <c r="C25" s="508" t="s">
        <v>14</v>
      </c>
      <c r="D25" s="508" t="s">
        <v>15</v>
      </c>
      <c r="E25" s="508" t="s">
        <v>16</v>
      </c>
      <c r="F25" s="508" t="s">
        <v>17</v>
      </c>
      <c r="G25" s="508" t="s">
        <v>367</v>
      </c>
      <c r="H25" s="508" t="s">
        <v>18</v>
      </c>
      <c r="I25" s="508" t="s">
        <v>19</v>
      </c>
      <c r="J25" s="508"/>
      <c r="K25" s="508"/>
      <c r="L25" s="508"/>
      <c r="M25" s="508"/>
      <c r="N25" s="508"/>
      <c r="O25" s="509" t="s">
        <v>368</v>
      </c>
      <c r="P25" s="509" t="s">
        <v>21</v>
      </c>
      <c r="Q25" s="509" t="s">
        <v>369</v>
      </c>
      <c r="R25" s="509" t="s">
        <v>23</v>
      </c>
      <c r="U25" s="506">
        <v>2019</v>
      </c>
      <c r="V25" s="507" t="s">
        <v>12</v>
      </c>
      <c r="W25" s="508" t="s">
        <v>14</v>
      </c>
      <c r="X25" s="508" t="s">
        <v>15</v>
      </c>
      <c r="Y25" s="508" t="s">
        <v>16</v>
      </c>
      <c r="Z25" s="508" t="s">
        <v>17</v>
      </c>
      <c r="AA25" s="508" t="s">
        <v>367</v>
      </c>
      <c r="AB25" s="508" t="s">
        <v>18</v>
      </c>
      <c r="AC25" s="508" t="s">
        <v>19</v>
      </c>
      <c r="AD25" s="508"/>
      <c r="AE25" s="508"/>
      <c r="AF25" s="508"/>
      <c r="AG25" s="508"/>
      <c r="AH25" s="508"/>
      <c r="AI25" s="509" t="s">
        <v>368</v>
      </c>
      <c r="AJ25" s="509" t="s">
        <v>21</v>
      </c>
      <c r="AK25" s="509" t="s">
        <v>369</v>
      </c>
      <c r="AL25" s="509" t="s">
        <v>23</v>
      </c>
    </row>
    <row r="26" spans="1:38" ht="45.6">
      <c r="A26" s="506"/>
      <c r="B26" s="507"/>
      <c r="C26" s="508"/>
      <c r="D26" s="508"/>
      <c r="E26" s="508"/>
      <c r="F26" s="508"/>
      <c r="G26" s="508"/>
      <c r="H26" s="508"/>
      <c r="I26" s="240" t="s">
        <v>356</v>
      </c>
      <c r="J26" s="240" t="s">
        <v>7</v>
      </c>
      <c r="K26" s="240" t="s">
        <v>357</v>
      </c>
      <c r="L26" s="240" t="s">
        <v>370</v>
      </c>
      <c r="M26" s="241" t="s">
        <v>371</v>
      </c>
      <c r="N26" s="240" t="s">
        <v>372</v>
      </c>
      <c r="O26" s="509"/>
      <c r="P26" s="509"/>
      <c r="Q26" s="509"/>
      <c r="R26" s="509"/>
      <c r="U26" s="506"/>
      <c r="V26" s="507"/>
      <c r="W26" s="508"/>
      <c r="X26" s="508"/>
      <c r="Y26" s="508"/>
      <c r="Z26" s="508"/>
      <c r="AA26" s="508"/>
      <c r="AB26" s="508"/>
      <c r="AC26" s="240" t="s">
        <v>356</v>
      </c>
      <c r="AD26" s="240" t="s">
        <v>7</v>
      </c>
      <c r="AE26" s="240" t="s">
        <v>357</v>
      </c>
      <c r="AF26" s="240" t="s">
        <v>370</v>
      </c>
      <c r="AG26" s="241" t="s">
        <v>371</v>
      </c>
      <c r="AH26" s="240" t="s">
        <v>372</v>
      </c>
      <c r="AI26" s="509"/>
      <c r="AJ26" s="509"/>
      <c r="AK26" s="509"/>
      <c r="AL26" s="509"/>
    </row>
    <row r="27" spans="1:38">
      <c r="A27" s="506"/>
      <c r="B27" s="242" t="s">
        <v>24</v>
      </c>
      <c r="C27" s="243">
        <v>0</v>
      </c>
      <c r="D27" s="244">
        <v>0</v>
      </c>
      <c r="E27" s="244">
        <v>0</v>
      </c>
      <c r="F27" s="243">
        <v>0</v>
      </c>
      <c r="G27" s="244">
        <v>0</v>
      </c>
      <c r="H27" s="244">
        <v>198.98930000000001</v>
      </c>
      <c r="I27" s="244">
        <v>0</v>
      </c>
      <c r="J27" s="244">
        <v>0</v>
      </c>
      <c r="K27" s="244">
        <v>0</v>
      </c>
      <c r="L27" s="244">
        <v>0</v>
      </c>
      <c r="M27" s="244">
        <v>0</v>
      </c>
      <c r="N27" s="244">
        <v>25.585999999999999</v>
      </c>
      <c r="O27" s="245">
        <v>0</v>
      </c>
      <c r="P27" s="244">
        <v>0</v>
      </c>
      <c r="Q27" s="244">
        <v>0</v>
      </c>
      <c r="R27" s="246">
        <v>224.57530000000003</v>
      </c>
      <c r="U27" s="506"/>
      <c r="V27" s="242" t="s">
        <v>24</v>
      </c>
      <c r="W27" s="243">
        <v>0</v>
      </c>
      <c r="X27" s="244">
        <v>0</v>
      </c>
      <c r="Y27" s="244">
        <v>0</v>
      </c>
      <c r="Z27" s="243">
        <v>0</v>
      </c>
      <c r="AA27" s="244">
        <v>0</v>
      </c>
      <c r="AB27" s="244">
        <v>198.98930000000001</v>
      </c>
      <c r="AC27" s="244">
        <v>0</v>
      </c>
      <c r="AD27" s="244">
        <v>0</v>
      </c>
      <c r="AE27" s="244">
        <v>0</v>
      </c>
      <c r="AF27" s="244">
        <v>0</v>
      </c>
      <c r="AG27" s="244">
        <v>0</v>
      </c>
      <c r="AH27" s="244">
        <v>25.585999999999999</v>
      </c>
      <c r="AI27" s="245">
        <v>0</v>
      </c>
      <c r="AJ27" s="244">
        <v>0</v>
      </c>
      <c r="AK27" s="244">
        <v>0</v>
      </c>
      <c r="AL27" s="246">
        <v>224.57530000000003</v>
      </c>
    </row>
    <row r="28" spans="1:38">
      <c r="A28" s="506"/>
      <c r="B28" s="242" t="s">
        <v>28</v>
      </c>
      <c r="C28" s="243">
        <v>0</v>
      </c>
      <c r="D28" s="244">
        <v>0</v>
      </c>
      <c r="E28" s="244">
        <v>4304.5007777777773</v>
      </c>
      <c r="F28" s="243">
        <v>0</v>
      </c>
      <c r="G28" s="244">
        <v>0</v>
      </c>
      <c r="H28" s="244">
        <v>0</v>
      </c>
      <c r="I28" s="244">
        <v>0</v>
      </c>
      <c r="J28" s="244">
        <v>0</v>
      </c>
      <c r="K28" s="244">
        <v>0</v>
      </c>
      <c r="L28" s="244">
        <v>0</v>
      </c>
      <c r="M28" s="244">
        <v>0</v>
      </c>
      <c r="N28" s="244">
        <v>0</v>
      </c>
      <c r="O28" s="245">
        <v>0</v>
      </c>
      <c r="P28" s="244">
        <v>0</v>
      </c>
      <c r="Q28" s="244">
        <v>0</v>
      </c>
      <c r="R28" s="246">
        <v>4304.5007777777773</v>
      </c>
      <c r="U28" s="506"/>
      <c r="V28" s="242" t="s">
        <v>28</v>
      </c>
      <c r="W28" s="243">
        <v>0</v>
      </c>
      <c r="X28" s="244">
        <v>0</v>
      </c>
      <c r="Y28" s="244">
        <v>4304.5007777777773</v>
      </c>
      <c r="Z28" s="243">
        <v>0</v>
      </c>
      <c r="AA28" s="244">
        <v>0</v>
      </c>
      <c r="AB28" s="244">
        <v>0</v>
      </c>
      <c r="AC28" s="244">
        <v>0</v>
      </c>
      <c r="AD28" s="244">
        <v>0</v>
      </c>
      <c r="AE28" s="244">
        <v>0</v>
      </c>
      <c r="AF28" s="244">
        <v>0</v>
      </c>
      <c r="AG28" s="244">
        <v>0</v>
      </c>
      <c r="AH28" s="244">
        <v>0</v>
      </c>
      <c r="AI28" s="245">
        <v>0</v>
      </c>
      <c r="AJ28" s="244">
        <v>0</v>
      </c>
      <c r="AK28" s="244">
        <v>0</v>
      </c>
      <c r="AL28" s="246">
        <v>4304.5007777777773</v>
      </c>
    </row>
    <row r="29" spans="1:38">
      <c r="A29" s="506"/>
      <c r="B29" s="242" t="s">
        <v>29</v>
      </c>
      <c r="C29" s="243">
        <v>0</v>
      </c>
      <c r="D29" s="244">
        <v>0</v>
      </c>
      <c r="E29" s="244">
        <v>0</v>
      </c>
      <c r="F29" s="243">
        <v>0</v>
      </c>
      <c r="G29" s="244">
        <v>0</v>
      </c>
      <c r="H29" s="244">
        <v>0</v>
      </c>
      <c r="I29" s="244">
        <v>0</v>
      </c>
      <c r="J29" s="244">
        <v>0</v>
      </c>
      <c r="K29" s="244">
        <v>0</v>
      </c>
      <c r="L29" s="244">
        <v>0</v>
      </c>
      <c r="M29" s="244">
        <v>0</v>
      </c>
      <c r="N29" s="244">
        <v>0</v>
      </c>
      <c r="O29" s="245">
        <v>0</v>
      </c>
      <c r="P29" s="244">
        <v>0</v>
      </c>
      <c r="Q29" s="244">
        <v>0</v>
      </c>
      <c r="R29" s="246">
        <v>0</v>
      </c>
      <c r="U29" s="506"/>
      <c r="V29" s="242" t="s">
        <v>29</v>
      </c>
      <c r="W29" s="243">
        <v>0</v>
      </c>
      <c r="X29" s="244">
        <v>0</v>
      </c>
      <c r="Y29" s="244">
        <v>0</v>
      </c>
      <c r="Z29" s="243">
        <v>0</v>
      </c>
      <c r="AA29" s="244">
        <v>0</v>
      </c>
      <c r="AB29" s="244">
        <v>0</v>
      </c>
      <c r="AC29" s="244">
        <v>0</v>
      </c>
      <c r="AD29" s="244">
        <v>0</v>
      </c>
      <c r="AE29" s="244">
        <v>0</v>
      </c>
      <c r="AF29" s="244">
        <v>0</v>
      </c>
      <c r="AG29" s="244">
        <v>0</v>
      </c>
      <c r="AH29" s="244">
        <v>0</v>
      </c>
      <c r="AI29" s="245">
        <v>0</v>
      </c>
      <c r="AJ29" s="244">
        <v>0</v>
      </c>
      <c r="AK29" s="244">
        <v>0</v>
      </c>
      <c r="AL29" s="246">
        <v>0</v>
      </c>
    </row>
    <row r="30" spans="1:38">
      <c r="A30" s="506"/>
      <c r="B30" s="242" t="s">
        <v>30</v>
      </c>
      <c r="C30" s="243">
        <v>0</v>
      </c>
      <c r="D30" s="244">
        <v>0</v>
      </c>
      <c r="E30" s="244">
        <v>-473.03722222222223</v>
      </c>
      <c r="F30" s="243">
        <v>0</v>
      </c>
      <c r="G30" s="244">
        <v>0</v>
      </c>
      <c r="H30" s="244">
        <v>0</v>
      </c>
      <c r="I30" s="244">
        <v>0</v>
      </c>
      <c r="J30" s="244">
        <v>0</v>
      </c>
      <c r="K30" s="244">
        <v>0</v>
      </c>
      <c r="L30" s="244">
        <v>0</v>
      </c>
      <c r="M30" s="244">
        <v>0</v>
      </c>
      <c r="N30" s="244">
        <v>0</v>
      </c>
      <c r="O30" s="245">
        <v>0</v>
      </c>
      <c r="P30" s="244">
        <v>0</v>
      </c>
      <c r="Q30" s="244">
        <v>0</v>
      </c>
      <c r="R30" s="246">
        <v>-473.03722222222223</v>
      </c>
      <c r="U30" s="506"/>
      <c r="V30" s="242" t="s">
        <v>30</v>
      </c>
      <c r="W30" s="243">
        <v>0</v>
      </c>
      <c r="X30" s="244">
        <v>0</v>
      </c>
      <c r="Y30" s="244">
        <v>-473.03722222222223</v>
      </c>
      <c r="Z30" s="243">
        <v>0</v>
      </c>
      <c r="AA30" s="244">
        <v>0</v>
      </c>
      <c r="AB30" s="244">
        <v>0</v>
      </c>
      <c r="AC30" s="244">
        <v>0</v>
      </c>
      <c r="AD30" s="244">
        <v>0</v>
      </c>
      <c r="AE30" s="244">
        <v>0</v>
      </c>
      <c r="AF30" s="244">
        <v>0</v>
      </c>
      <c r="AG30" s="244">
        <v>0</v>
      </c>
      <c r="AH30" s="244">
        <v>0</v>
      </c>
      <c r="AI30" s="245">
        <v>0</v>
      </c>
      <c r="AJ30" s="244">
        <v>0</v>
      </c>
      <c r="AK30" s="244">
        <v>0</v>
      </c>
      <c r="AL30" s="246">
        <v>-473.03722222222223</v>
      </c>
    </row>
    <row r="31" spans="1:38">
      <c r="A31" s="506"/>
      <c r="B31" s="242" t="s">
        <v>31</v>
      </c>
      <c r="C31" s="243">
        <v>0</v>
      </c>
      <c r="D31" s="244">
        <v>0</v>
      </c>
      <c r="E31" s="244">
        <v>-382.00555555555553</v>
      </c>
      <c r="F31" s="243">
        <v>0</v>
      </c>
      <c r="G31" s="244">
        <v>0</v>
      </c>
      <c r="H31" s="244">
        <v>0</v>
      </c>
      <c r="I31" s="244">
        <v>0</v>
      </c>
      <c r="J31" s="244">
        <v>0</v>
      </c>
      <c r="K31" s="244">
        <v>0</v>
      </c>
      <c r="L31" s="244">
        <v>0</v>
      </c>
      <c r="M31" s="244">
        <v>0</v>
      </c>
      <c r="N31" s="244">
        <v>0</v>
      </c>
      <c r="O31" s="245">
        <v>0</v>
      </c>
      <c r="P31" s="244">
        <v>0</v>
      </c>
      <c r="Q31" s="244">
        <v>0</v>
      </c>
      <c r="R31" s="246">
        <v>-382.00555555555553</v>
      </c>
      <c r="U31" s="506"/>
      <c r="V31" s="242" t="s">
        <v>31</v>
      </c>
      <c r="W31" s="243">
        <v>0</v>
      </c>
      <c r="X31" s="244">
        <v>0</v>
      </c>
      <c r="Y31" s="244">
        <v>-382.00555555555553</v>
      </c>
      <c r="Z31" s="243">
        <v>0</v>
      </c>
      <c r="AA31" s="244">
        <v>0</v>
      </c>
      <c r="AB31" s="244">
        <v>0</v>
      </c>
      <c r="AC31" s="244">
        <v>0</v>
      </c>
      <c r="AD31" s="244">
        <v>0</v>
      </c>
      <c r="AE31" s="244">
        <v>0</v>
      </c>
      <c r="AF31" s="244">
        <v>0</v>
      </c>
      <c r="AG31" s="244">
        <v>0</v>
      </c>
      <c r="AH31" s="244">
        <v>0</v>
      </c>
      <c r="AI31" s="245">
        <v>0</v>
      </c>
      <c r="AJ31" s="244">
        <v>0</v>
      </c>
      <c r="AK31" s="244">
        <v>0</v>
      </c>
      <c r="AL31" s="246">
        <v>-382.00555555555553</v>
      </c>
    </row>
    <row r="32" spans="1:38">
      <c r="A32" s="506"/>
      <c r="B32" s="242" t="s">
        <v>32</v>
      </c>
      <c r="C32" s="243">
        <v>0</v>
      </c>
      <c r="D32" s="244">
        <v>0</v>
      </c>
      <c r="E32" s="244">
        <v>-30.238</v>
      </c>
      <c r="F32" s="243">
        <v>0</v>
      </c>
      <c r="G32" s="244">
        <v>0</v>
      </c>
      <c r="H32" s="244">
        <v>0</v>
      </c>
      <c r="I32" s="244">
        <v>0</v>
      </c>
      <c r="J32" s="244">
        <v>0</v>
      </c>
      <c r="K32" s="244">
        <v>0</v>
      </c>
      <c r="L32" s="244">
        <v>0</v>
      </c>
      <c r="M32" s="244">
        <v>0</v>
      </c>
      <c r="N32" s="244">
        <v>0</v>
      </c>
      <c r="O32" s="245">
        <v>0</v>
      </c>
      <c r="P32" s="244">
        <v>0</v>
      </c>
      <c r="Q32" s="244">
        <v>0</v>
      </c>
      <c r="R32" s="246">
        <v>-30.238</v>
      </c>
      <c r="U32" s="506"/>
      <c r="V32" s="242" t="s">
        <v>32</v>
      </c>
      <c r="W32" s="243">
        <v>0</v>
      </c>
      <c r="X32" s="244">
        <v>0</v>
      </c>
      <c r="Y32" s="244">
        <v>-30.238</v>
      </c>
      <c r="Z32" s="243">
        <v>0</v>
      </c>
      <c r="AA32" s="244">
        <v>0</v>
      </c>
      <c r="AB32" s="244">
        <v>0</v>
      </c>
      <c r="AC32" s="244">
        <v>0</v>
      </c>
      <c r="AD32" s="244">
        <v>0</v>
      </c>
      <c r="AE32" s="244">
        <v>0</v>
      </c>
      <c r="AF32" s="244">
        <v>0</v>
      </c>
      <c r="AG32" s="244">
        <v>0</v>
      </c>
      <c r="AH32" s="244">
        <v>0</v>
      </c>
      <c r="AI32" s="245">
        <v>0</v>
      </c>
      <c r="AJ32" s="244">
        <v>0</v>
      </c>
      <c r="AK32" s="244">
        <v>0</v>
      </c>
      <c r="AL32" s="246">
        <v>-30.238</v>
      </c>
    </row>
    <row r="33" spans="1:38">
      <c r="A33" s="506"/>
      <c r="B33" s="247" t="s">
        <v>373</v>
      </c>
      <c r="C33" s="248">
        <v>0</v>
      </c>
      <c r="D33" s="248">
        <v>0</v>
      </c>
      <c r="E33" s="248">
        <v>3419.22</v>
      </c>
      <c r="F33" s="248">
        <v>0</v>
      </c>
      <c r="G33" s="248">
        <v>0</v>
      </c>
      <c r="H33" s="248">
        <v>198.98930000000001</v>
      </c>
      <c r="I33" s="248">
        <v>0</v>
      </c>
      <c r="J33" s="248">
        <v>0</v>
      </c>
      <c r="K33" s="248">
        <v>0</v>
      </c>
      <c r="L33" s="248">
        <v>0</v>
      </c>
      <c r="M33" s="248">
        <v>0</v>
      </c>
      <c r="N33" s="248">
        <v>25.585999999999999</v>
      </c>
      <c r="O33" s="248">
        <v>0</v>
      </c>
      <c r="P33" s="248">
        <v>0</v>
      </c>
      <c r="Q33" s="248">
        <v>0</v>
      </c>
      <c r="R33" s="248">
        <v>3643.7952999999998</v>
      </c>
      <c r="U33" s="506"/>
      <c r="V33" s="247" t="s">
        <v>373</v>
      </c>
      <c r="W33" s="248">
        <v>0</v>
      </c>
      <c r="X33" s="248">
        <v>0</v>
      </c>
      <c r="Y33" s="248">
        <v>3419.22</v>
      </c>
      <c r="Z33" s="248">
        <v>0</v>
      </c>
      <c r="AA33" s="248">
        <v>0</v>
      </c>
      <c r="AB33" s="248">
        <v>198.98930000000001</v>
      </c>
      <c r="AC33" s="248">
        <v>0</v>
      </c>
      <c r="AD33" s="248">
        <v>0</v>
      </c>
      <c r="AE33" s="248">
        <v>0</v>
      </c>
      <c r="AF33" s="248">
        <v>0</v>
      </c>
      <c r="AG33" s="248">
        <v>0</v>
      </c>
      <c r="AH33" s="248">
        <v>25.585999999999999</v>
      </c>
      <c r="AI33" s="248">
        <v>0</v>
      </c>
      <c r="AJ33" s="248">
        <v>0</v>
      </c>
      <c r="AK33" s="248">
        <v>0</v>
      </c>
      <c r="AL33" s="248">
        <v>3643.7952999999998</v>
      </c>
    </row>
    <row r="34" spans="1:38">
      <c r="A34" s="506"/>
      <c r="B34" s="249"/>
      <c r="C34" s="250"/>
      <c r="D34" s="219"/>
      <c r="E34" s="251"/>
      <c r="F34" s="250"/>
      <c r="G34" s="250"/>
      <c r="H34" s="250"/>
      <c r="I34" s="250"/>
      <c r="J34" s="250"/>
      <c r="K34" s="250"/>
      <c r="L34" s="250"/>
      <c r="M34" s="250"/>
      <c r="N34" s="250"/>
      <c r="O34" s="250"/>
      <c r="P34" s="250"/>
      <c r="Q34" s="250"/>
      <c r="R34" s="250"/>
      <c r="U34" s="506"/>
      <c r="V34" s="249"/>
      <c r="W34" s="250"/>
      <c r="X34" s="219"/>
      <c r="Y34" s="251"/>
      <c r="Z34" s="250"/>
      <c r="AA34" s="250"/>
      <c r="AB34" s="250"/>
      <c r="AC34" s="250"/>
      <c r="AD34" s="250"/>
      <c r="AE34" s="250"/>
      <c r="AF34" s="250"/>
      <c r="AG34" s="250"/>
      <c r="AH34" s="250"/>
      <c r="AI34" s="259"/>
      <c r="AJ34" s="250"/>
      <c r="AK34" s="250"/>
      <c r="AL34" s="250"/>
    </row>
    <row r="35" spans="1:38">
      <c r="A35" s="506"/>
      <c r="B35" s="252" t="s">
        <v>374</v>
      </c>
      <c r="C35" s="243">
        <v>0</v>
      </c>
      <c r="D35" s="253">
        <v>0</v>
      </c>
      <c r="E35" s="253">
        <v>0</v>
      </c>
      <c r="F35" s="243">
        <v>0</v>
      </c>
      <c r="G35" s="243">
        <v>0</v>
      </c>
      <c r="H35" s="243">
        <v>0</v>
      </c>
      <c r="I35" s="243">
        <v>0</v>
      </c>
      <c r="J35" s="243">
        <v>0</v>
      </c>
      <c r="K35" s="243">
        <v>0</v>
      </c>
      <c r="L35" s="243">
        <v>0</v>
      </c>
      <c r="M35" s="243">
        <v>0</v>
      </c>
      <c r="N35" s="243">
        <v>0</v>
      </c>
      <c r="O35" s="243">
        <v>0</v>
      </c>
      <c r="P35" s="243">
        <v>0</v>
      </c>
      <c r="Q35" s="243">
        <v>0</v>
      </c>
      <c r="R35" s="254">
        <v>0</v>
      </c>
      <c r="U35" s="506"/>
      <c r="V35" s="252" t="s">
        <v>374</v>
      </c>
      <c r="W35" s="243">
        <v>0</v>
      </c>
      <c r="X35" s="253">
        <v>0</v>
      </c>
      <c r="Y35" s="253">
        <v>0</v>
      </c>
      <c r="Z35" s="243">
        <v>0</v>
      </c>
      <c r="AA35" s="243">
        <v>0</v>
      </c>
      <c r="AB35" s="243">
        <v>0</v>
      </c>
      <c r="AC35" s="243">
        <v>0</v>
      </c>
      <c r="AD35" s="243">
        <v>0</v>
      </c>
      <c r="AE35" s="243">
        <v>0</v>
      </c>
      <c r="AF35" s="243">
        <v>0</v>
      </c>
      <c r="AG35" s="243">
        <v>0</v>
      </c>
      <c r="AH35" s="243">
        <v>0</v>
      </c>
      <c r="AI35" s="243">
        <v>0</v>
      </c>
      <c r="AJ35" s="243">
        <v>0</v>
      </c>
      <c r="AK35" s="243">
        <v>0</v>
      </c>
      <c r="AL35" s="254">
        <v>0</v>
      </c>
    </row>
    <row r="36" spans="1:38">
      <c r="A36" s="506"/>
      <c r="B36" s="252" t="s">
        <v>375</v>
      </c>
      <c r="C36" s="243">
        <v>0</v>
      </c>
      <c r="D36" s="243">
        <v>0</v>
      </c>
      <c r="E36" s="243">
        <v>1260.6920000000002</v>
      </c>
      <c r="F36" s="243">
        <v>0</v>
      </c>
      <c r="G36" s="243">
        <v>0</v>
      </c>
      <c r="H36" s="243">
        <v>198.98930000000001</v>
      </c>
      <c r="I36" s="255">
        <v>0</v>
      </c>
      <c r="J36" s="255">
        <v>0</v>
      </c>
      <c r="K36" s="255">
        <v>0</v>
      </c>
      <c r="L36" s="255">
        <v>0</v>
      </c>
      <c r="M36" s="255">
        <v>0</v>
      </c>
      <c r="N36" s="255">
        <v>0</v>
      </c>
      <c r="O36" s="243">
        <v>-692.10129999999992</v>
      </c>
      <c r="P36" s="243">
        <v>0</v>
      </c>
      <c r="Q36" s="243">
        <v>0</v>
      </c>
      <c r="R36" s="254">
        <v>767.58000000000027</v>
      </c>
      <c r="U36" s="506"/>
      <c r="V36" s="252" t="s">
        <v>375</v>
      </c>
      <c r="W36" s="243">
        <v>0</v>
      </c>
      <c r="X36" s="243">
        <v>0</v>
      </c>
      <c r="Y36" s="243">
        <v>1260.6920000000002</v>
      </c>
      <c r="Z36" s="243">
        <v>0</v>
      </c>
      <c r="AA36" s="243">
        <v>0</v>
      </c>
      <c r="AB36" s="243">
        <v>198.98930000000001</v>
      </c>
      <c r="AC36" s="255">
        <v>0</v>
      </c>
      <c r="AD36" s="255">
        <v>0</v>
      </c>
      <c r="AE36" s="255">
        <v>0</v>
      </c>
      <c r="AF36" s="255">
        <v>0</v>
      </c>
      <c r="AG36" s="255">
        <v>0</v>
      </c>
      <c r="AH36" s="255">
        <v>0</v>
      </c>
      <c r="AI36" s="243">
        <v>-692.10129999999992</v>
      </c>
      <c r="AJ36" s="243">
        <v>0</v>
      </c>
      <c r="AK36" s="243">
        <v>0</v>
      </c>
      <c r="AL36" s="254">
        <v>767.58000000000027</v>
      </c>
    </row>
    <row r="37" spans="1:38">
      <c r="A37" s="506"/>
      <c r="B37" s="252" t="s">
        <v>376</v>
      </c>
      <c r="C37" s="243">
        <v>0</v>
      </c>
      <c r="D37" s="243">
        <v>0</v>
      </c>
      <c r="E37" s="243">
        <v>0</v>
      </c>
      <c r="F37" s="243">
        <v>0</v>
      </c>
      <c r="G37" s="243">
        <v>0</v>
      </c>
      <c r="H37" s="243">
        <v>0</v>
      </c>
      <c r="I37" s="255">
        <v>0</v>
      </c>
      <c r="J37" s="255">
        <v>0</v>
      </c>
      <c r="K37" s="255">
        <v>0</v>
      </c>
      <c r="L37" s="255">
        <v>0</v>
      </c>
      <c r="M37" s="255">
        <v>0</v>
      </c>
      <c r="N37" s="255">
        <v>3.4890000000000003</v>
      </c>
      <c r="O37" s="243">
        <v>0</v>
      </c>
      <c r="P37" s="243">
        <v>-3.4890000000000003</v>
      </c>
      <c r="Q37" s="243">
        <v>0</v>
      </c>
      <c r="R37" s="254">
        <v>0</v>
      </c>
      <c r="U37" s="506"/>
      <c r="V37" s="252" t="s">
        <v>376</v>
      </c>
      <c r="W37" s="243">
        <v>0</v>
      </c>
      <c r="X37" s="243">
        <v>0</v>
      </c>
      <c r="Y37" s="243">
        <v>0</v>
      </c>
      <c r="Z37" s="243">
        <v>0</v>
      </c>
      <c r="AA37" s="243">
        <v>0</v>
      </c>
      <c r="AB37" s="243">
        <v>0</v>
      </c>
      <c r="AC37" s="255">
        <v>0</v>
      </c>
      <c r="AD37" s="255">
        <v>0</v>
      </c>
      <c r="AE37" s="255">
        <v>0</v>
      </c>
      <c r="AF37" s="255">
        <v>0</v>
      </c>
      <c r="AG37" s="255">
        <v>0</v>
      </c>
      <c r="AH37" s="255">
        <v>3.4890000000000003</v>
      </c>
      <c r="AI37" s="243">
        <v>0</v>
      </c>
      <c r="AJ37" s="243">
        <v>-3.4890000000000003</v>
      </c>
      <c r="AK37" s="243">
        <v>0</v>
      </c>
      <c r="AL37" s="254">
        <v>0</v>
      </c>
    </row>
    <row r="38" spans="1:38">
      <c r="A38" s="506"/>
      <c r="B38" s="252" t="s">
        <v>377</v>
      </c>
      <c r="C38" s="243">
        <v>0</v>
      </c>
      <c r="D38" s="243">
        <v>0</v>
      </c>
      <c r="E38" s="243">
        <v>0</v>
      </c>
      <c r="F38" s="243">
        <v>0</v>
      </c>
      <c r="G38" s="243">
        <v>0</v>
      </c>
      <c r="H38" s="243">
        <v>0</v>
      </c>
      <c r="I38" s="256">
        <v>0</v>
      </c>
      <c r="J38" s="256">
        <v>0</v>
      </c>
      <c r="K38" s="256">
        <v>0</v>
      </c>
      <c r="L38" s="256">
        <v>0</v>
      </c>
      <c r="M38" s="256">
        <v>0</v>
      </c>
      <c r="N38" s="256">
        <v>0</v>
      </c>
      <c r="O38" s="243">
        <v>0</v>
      </c>
      <c r="P38" s="243">
        <v>0</v>
      </c>
      <c r="Q38" s="243">
        <v>0</v>
      </c>
      <c r="R38" s="254">
        <v>0</v>
      </c>
      <c r="U38" s="506"/>
      <c r="V38" s="252" t="s">
        <v>377</v>
      </c>
      <c r="W38" s="243">
        <v>0</v>
      </c>
      <c r="X38" s="243">
        <v>0</v>
      </c>
      <c r="Y38" s="243">
        <v>0</v>
      </c>
      <c r="Z38" s="243">
        <v>0</v>
      </c>
      <c r="AA38" s="243">
        <v>0</v>
      </c>
      <c r="AB38" s="243">
        <v>0</v>
      </c>
      <c r="AC38" s="256">
        <v>0</v>
      </c>
      <c r="AD38" s="256">
        <v>0</v>
      </c>
      <c r="AE38" s="256">
        <v>0</v>
      </c>
      <c r="AF38" s="256">
        <v>0</v>
      </c>
      <c r="AG38" s="256">
        <v>0</v>
      </c>
      <c r="AH38" s="256">
        <v>0</v>
      </c>
      <c r="AI38" s="243">
        <v>0</v>
      </c>
      <c r="AJ38" s="243">
        <v>0</v>
      </c>
      <c r="AK38" s="243">
        <v>0</v>
      </c>
      <c r="AL38" s="254">
        <v>0</v>
      </c>
    </row>
    <row r="39" spans="1:38">
      <c r="A39" s="506"/>
      <c r="B39" s="252" t="s">
        <v>378</v>
      </c>
      <c r="C39" s="243">
        <v>0</v>
      </c>
      <c r="D39" s="243">
        <v>0</v>
      </c>
      <c r="E39" s="243">
        <v>0</v>
      </c>
      <c r="F39" s="243">
        <v>0</v>
      </c>
      <c r="G39" s="243">
        <v>0</v>
      </c>
      <c r="H39" s="243">
        <v>0</v>
      </c>
      <c r="I39" s="243">
        <v>0</v>
      </c>
      <c r="J39" s="243">
        <v>0</v>
      </c>
      <c r="K39" s="243">
        <v>0</v>
      </c>
      <c r="L39" s="243">
        <v>0</v>
      </c>
      <c r="M39" s="243">
        <v>0</v>
      </c>
      <c r="N39" s="243">
        <v>0</v>
      </c>
      <c r="O39" s="243">
        <v>0</v>
      </c>
      <c r="P39" s="243">
        <v>0</v>
      </c>
      <c r="Q39" s="243">
        <v>0</v>
      </c>
      <c r="R39" s="254">
        <v>0</v>
      </c>
      <c r="U39" s="506"/>
      <c r="V39" s="252" t="s">
        <v>378</v>
      </c>
      <c r="W39" s="243">
        <v>0</v>
      </c>
      <c r="X39" s="243">
        <v>0</v>
      </c>
      <c r="Y39" s="243">
        <v>0</v>
      </c>
      <c r="Z39" s="243">
        <v>0</v>
      </c>
      <c r="AA39" s="243">
        <v>0</v>
      </c>
      <c r="AB39" s="243">
        <v>0</v>
      </c>
      <c r="AC39" s="243">
        <v>0</v>
      </c>
      <c r="AD39" s="243">
        <v>0</v>
      </c>
      <c r="AE39" s="243">
        <v>0</v>
      </c>
      <c r="AF39" s="243">
        <v>0</v>
      </c>
      <c r="AG39" s="243">
        <v>0</v>
      </c>
      <c r="AH39" s="243">
        <v>0</v>
      </c>
      <c r="AI39" s="243">
        <v>0</v>
      </c>
      <c r="AJ39" s="243">
        <v>0</v>
      </c>
      <c r="AK39" s="243">
        <v>0</v>
      </c>
      <c r="AL39" s="254">
        <v>0</v>
      </c>
    </row>
    <row r="40" spans="1:38">
      <c r="A40" s="506"/>
      <c r="B40" s="252" t="s">
        <v>36</v>
      </c>
      <c r="C40" s="243">
        <v>0</v>
      </c>
      <c r="D40" s="243">
        <v>0</v>
      </c>
      <c r="E40" s="243">
        <v>0</v>
      </c>
      <c r="F40" s="243">
        <v>0</v>
      </c>
      <c r="G40" s="243">
        <v>0</v>
      </c>
      <c r="H40" s="243">
        <v>0</v>
      </c>
      <c r="I40" s="243">
        <v>0</v>
      </c>
      <c r="J40" s="243">
        <v>0</v>
      </c>
      <c r="K40" s="243">
        <v>0</v>
      </c>
      <c r="L40" s="243">
        <v>0</v>
      </c>
      <c r="M40" s="243">
        <v>0</v>
      </c>
      <c r="N40" s="243">
        <v>0</v>
      </c>
      <c r="O40" s="243">
        <v>0</v>
      </c>
      <c r="P40" s="243">
        <v>0</v>
      </c>
      <c r="Q40" s="243">
        <v>0</v>
      </c>
      <c r="R40" s="254">
        <v>0</v>
      </c>
      <c r="U40" s="506"/>
      <c r="V40" s="252" t="s">
        <v>36</v>
      </c>
      <c r="W40" s="243">
        <v>0</v>
      </c>
      <c r="X40" s="243">
        <v>0</v>
      </c>
      <c r="Y40" s="243">
        <v>0</v>
      </c>
      <c r="Z40" s="243">
        <v>0</v>
      </c>
      <c r="AA40" s="243">
        <v>0</v>
      </c>
      <c r="AB40" s="243">
        <v>0</v>
      </c>
      <c r="AC40" s="243">
        <v>0</v>
      </c>
      <c r="AD40" s="243">
        <v>0</v>
      </c>
      <c r="AE40" s="243">
        <v>0</v>
      </c>
      <c r="AF40" s="243">
        <v>0</v>
      </c>
      <c r="AG40" s="243">
        <v>0</v>
      </c>
      <c r="AH40" s="243">
        <v>0</v>
      </c>
      <c r="AI40" s="243">
        <v>0</v>
      </c>
      <c r="AJ40" s="243">
        <v>0</v>
      </c>
      <c r="AK40" s="243">
        <v>0</v>
      </c>
      <c r="AL40" s="254">
        <v>0</v>
      </c>
    </row>
    <row r="41" spans="1:38">
      <c r="A41" s="506"/>
      <c r="B41" s="252" t="s">
        <v>379</v>
      </c>
      <c r="C41" s="243">
        <v>0</v>
      </c>
      <c r="D41" s="243">
        <v>0</v>
      </c>
      <c r="E41" s="243">
        <v>0</v>
      </c>
      <c r="F41" s="243">
        <v>0</v>
      </c>
      <c r="G41" s="243">
        <v>0</v>
      </c>
      <c r="H41" s="243">
        <v>0</v>
      </c>
      <c r="I41" s="243">
        <v>0</v>
      </c>
      <c r="J41" s="243">
        <v>0</v>
      </c>
      <c r="K41" s="243">
        <v>0</v>
      </c>
      <c r="L41" s="243">
        <v>0</v>
      </c>
      <c r="M41" s="243">
        <v>0</v>
      </c>
      <c r="N41" s="243">
        <v>0</v>
      </c>
      <c r="O41" s="243">
        <v>0</v>
      </c>
      <c r="P41" s="243">
        <v>0</v>
      </c>
      <c r="Q41" s="243">
        <v>0</v>
      </c>
      <c r="R41" s="254">
        <v>0</v>
      </c>
      <c r="U41" s="506"/>
      <c r="V41" s="252" t="s">
        <v>379</v>
      </c>
      <c r="W41" s="243">
        <v>0</v>
      </c>
      <c r="X41" s="243">
        <v>0</v>
      </c>
      <c r="Y41" s="243">
        <v>0</v>
      </c>
      <c r="Z41" s="243">
        <v>0</v>
      </c>
      <c r="AA41" s="243">
        <v>0</v>
      </c>
      <c r="AB41" s="243">
        <v>0</v>
      </c>
      <c r="AC41" s="243">
        <v>0</v>
      </c>
      <c r="AD41" s="243">
        <v>0</v>
      </c>
      <c r="AE41" s="243">
        <v>0</v>
      </c>
      <c r="AF41" s="243">
        <v>0</v>
      </c>
      <c r="AG41" s="243">
        <v>0</v>
      </c>
      <c r="AH41" s="243">
        <v>0</v>
      </c>
      <c r="AI41" s="243">
        <v>0</v>
      </c>
      <c r="AJ41" s="243">
        <v>0</v>
      </c>
      <c r="AK41" s="243">
        <v>0</v>
      </c>
      <c r="AL41" s="254">
        <v>0</v>
      </c>
    </row>
    <row r="42" spans="1:38">
      <c r="A42" s="506"/>
      <c r="B42" s="252" t="s">
        <v>380</v>
      </c>
      <c r="C42" s="243">
        <v>0</v>
      </c>
      <c r="D42" s="243">
        <v>0</v>
      </c>
      <c r="E42" s="243">
        <v>0</v>
      </c>
      <c r="F42" s="243">
        <v>0</v>
      </c>
      <c r="G42" s="243">
        <v>0</v>
      </c>
      <c r="H42" s="243">
        <v>0</v>
      </c>
      <c r="I42" s="243">
        <v>0</v>
      </c>
      <c r="J42" s="243">
        <v>0</v>
      </c>
      <c r="K42" s="243">
        <v>0</v>
      </c>
      <c r="L42" s="243">
        <v>0</v>
      </c>
      <c r="M42" s="243">
        <v>0</v>
      </c>
      <c r="N42" s="243">
        <v>0</v>
      </c>
      <c r="O42" s="243">
        <v>0</v>
      </c>
      <c r="P42" s="243">
        <v>0</v>
      </c>
      <c r="Q42" s="243">
        <v>0</v>
      </c>
      <c r="R42" s="254">
        <v>0</v>
      </c>
      <c r="U42" s="506"/>
      <c r="V42" s="252" t="s">
        <v>380</v>
      </c>
      <c r="W42" s="243">
        <v>0</v>
      </c>
      <c r="X42" s="243">
        <v>0</v>
      </c>
      <c r="Y42" s="243">
        <v>0</v>
      </c>
      <c r="Z42" s="243">
        <v>0</v>
      </c>
      <c r="AA42" s="243">
        <v>0</v>
      </c>
      <c r="AB42" s="243">
        <v>0</v>
      </c>
      <c r="AC42" s="243">
        <v>0</v>
      </c>
      <c r="AD42" s="243">
        <v>0</v>
      </c>
      <c r="AE42" s="243">
        <v>0</v>
      </c>
      <c r="AF42" s="243">
        <v>0</v>
      </c>
      <c r="AG42" s="243">
        <v>0</v>
      </c>
      <c r="AH42" s="243">
        <v>0</v>
      </c>
      <c r="AI42" s="243">
        <v>0</v>
      </c>
      <c r="AJ42" s="243">
        <v>0</v>
      </c>
      <c r="AK42" s="243">
        <v>0</v>
      </c>
      <c r="AL42" s="254">
        <v>0</v>
      </c>
    </row>
    <row r="43" spans="1:38">
      <c r="A43" s="506"/>
      <c r="B43" s="252" t="s">
        <v>381</v>
      </c>
      <c r="C43" s="243">
        <v>0</v>
      </c>
      <c r="D43" s="243">
        <v>0</v>
      </c>
      <c r="E43" s="243">
        <v>0</v>
      </c>
      <c r="F43" s="243">
        <v>0</v>
      </c>
      <c r="G43" s="243">
        <v>0</v>
      </c>
      <c r="H43" s="243">
        <v>0</v>
      </c>
      <c r="I43" s="243">
        <v>0</v>
      </c>
      <c r="J43" s="243">
        <v>0</v>
      </c>
      <c r="K43" s="243">
        <v>0</v>
      </c>
      <c r="L43" s="243">
        <v>0</v>
      </c>
      <c r="M43" s="243">
        <v>0</v>
      </c>
      <c r="N43" s="243">
        <v>0</v>
      </c>
      <c r="O43" s="243">
        <v>0</v>
      </c>
      <c r="P43" s="243">
        <v>0</v>
      </c>
      <c r="Q43" s="243">
        <v>0</v>
      </c>
      <c r="R43" s="254">
        <v>0</v>
      </c>
      <c r="U43" s="506"/>
      <c r="V43" s="252" t="s">
        <v>381</v>
      </c>
      <c r="W43" s="243">
        <v>0</v>
      </c>
      <c r="X43" s="243">
        <v>0</v>
      </c>
      <c r="Y43" s="243">
        <v>0</v>
      </c>
      <c r="Z43" s="243">
        <v>0</v>
      </c>
      <c r="AA43" s="243">
        <v>0</v>
      </c>
      <c r="AB43" s="243">
        <v>0</v>
      </c>
      <c r="AC43" s="243">
        <v>0</v>
      </c>
      <c r="AD43" s="243">
        <v>0</v>
      </c>
      <c r="AE43" s="243">
        <v>0</v>
      </c>
      <c r="AF43" s="243">
        <v>0</v>
      </c>
      <c r="AG43" s="243">
        <v>0</v>
      </c>
      <c r="AH43" s="243">
        <v>0</v>
      </c>
      <c r="AI43" s="243">
        <v>0</v>
      </c>
      <c r="AJ43" s="243">
        <v>0</v>
      </c>
      <c r="AK43" s="243">
        <v>0</v>
      </c>
      <c r="AL43" s="254">
        <v>0</v>
      </c>
    </row>
    <row r="44" spans="1:38">
      <c r="A44" s="506"/>
      <c r="B44" s="252" t="s">
        <v>37</v>
      </c>
      <c r="C44" s="243">
        <v>0</v>
      </c>
      <c r="D44" s="243">
        <v>0</v>
      </c>
      <c r="E44" s="243">
        <v>0</v>
      </c>
      <c r="F44" s="243">
        <v>0</v>
      </c>
      <c r="G44" s="243">
        <v>0</v>
      </c>
      <c r="H44" s="243">
        <v>0</v>
      </c>
      <c r="I44" s="243">
        <v>0</v>
      </c>
      <c r="J44" s="243">
        <v>0</v>
      </c>
      <c r="K44" s="243">
        <v>0</v>
      </c>
      <c r="L44" s="243">
        <v>0</v>
      </c>
      <c r="M44" s="243">
        <v>0</v>
      </c>
      <c r="N44" s="243">
        <v>0</v>
      </c>
      <c r="O44" s="243">
        <v>0</v>
      </c>
      <c r="P44" s="243">
        <v>0</v>
      </c>
      <c r="Q44" s="243">
        <v>0</v>
      </c>
      <c r="R44" s="254">
        <v>0</v>
      </c>
      <c r="U44" s="506"/>
      <c r="V44" s="252" t="s">
        <v>37</v>
      </c>
      <c r="W44" s="243">
        <v>0</v>
      </c>
      <c r="X44" s="243">
        <v>0</v>
      </c>
      <c r="Y44" s="243">
        <v>0</v>
      </c>
      <c r="Z44" s="243">
        <v>0</v>
      </c>
      <c r="AA44" s="243">
        <v>0</v>
      </c>
      <c r="AB44" s="243">
        <v>0</v>
      </c>
      <c r="AC44" s="243">
        <v>0</v>
      </c>
      <c r="AD44" s="243">
        <v>0</v>
      </c>
      <c r="AE44" s="243">
        <v>0</v>
      </c>
      <c r="AF44" s="243">
        <v>0</v>
      </c>
      <c r="AG44" s="243">
        <v>0</v>
      </c>
      <c r="AH44" s="243">
        <v>0</v>
      </c>
      <c r="AI44" s="243">
        <v>0</v>
      </c>
      <c r="AJ44" s="243">
        <v>0</v>
      </c>
      <c r="AK44" s="243">
        <v>0</v>
      </c>
      <c r="AL44" s="254">
        <v>0</v>
      </c>
    </row>
    <row r="45" spans="1:38">
      <c r="A45" s="506"/>
      <c r="B45" s="252" t="s">
        <v>38</v>
      </c>
      <c r="C45" s="243">
        <v>0</v>
      </c>
      <c r="D45" s="243">
        <v>0</v>
      </c>
      <c r="E45" s="243">
        <v>0</v>
      </c>
      <c r="F45" s="243">
        <v>0</v>
      </c>
      <c r="G45" s="243">
        <v>0</v>
      </c>
      <c r="H45" s="243">
        <v>0</v>
      </c>
      <c r="I45" s="243">
        <v>0</v>
      </c>
      <c r="J45" s="243">
        <v>0</v>
      </c>
      <c r="K45" s="243">
        <v>0</v>
      </c>
      <c r="L45" s="243">
        <v>0</v>
      </c>
      <c r="M45" s="243">
        <v>0</v>
      </c>
      <c r="N45" s="243">
        <v>0</v>
      </c>
      <c r="O45" s="243">
        <v>0</v>
      </c>
      <c r="P45" s="243">
        <v>0</v>
      </c>
      <c r="Q45" s="243">
        <v>0</v>
      </c>
      <c r="R45" s="254">
        <v>0</v>
      </c>
      <c r="U45" s="506"/>
      <c r="V45" s="252" t="s">
        <v>38</v>
      </c>
      <c r="W45" s="243">
        <v>0</v>
      </c>
      <c r="X45" s="243">
        <v>0</v>
      </c>
      <c r="Y45" s="243">
        <v>0</v>
      </c>
      <c r="Z45" s="243">
        <v>0</v>
      </c>
      <c r="AA45" s="243">
        <v>0</v>
      </c>
      <c r="AB45" s="243">
        <v>0</v>
      </c>
      <c r="AC45" s="243">
        <v>0</v>
      </c>
      <c r="AD45" s="243">
        <v>0</v>
      </c>
      <c r="AE45" s="243">
        <v>0</v>
      </c>
      <c r="AF45" s="243">
        <v>0</v>
      </c>
      <c r="AG45" s="243">
        <v>0</v>
      </c>
      <c r="AH45" s="243">
        <v>0</v>
      </c>
      <c r="AI45" s="243">
        <v>0</v>
      </c>
      <c r="AJ45" s="243">
        <v>0</v>
      </c>
      <c r="AK45" s="243">
        <v>0</v>
      </c>
      <c r="AL45" s="254">
        <v>0</v>
      </c>
    </row>
    <row r="46" spans="1:38">
      <c r="A46" s="506"/>
      <c r="B46" s="252" t="s">
        <v>39</v>
      </c>
      <c r="C46" s="243">
        <v>0</v>
      </c>
      <c r="D46" s="243">
        <v>0</v>
      </c>
      <c r="E46" s="243">
        <v>0</v>
      </c>
      <c r="F46" s="243">
        <v>0</v>
      </c>
      <c r="G46" s="243">
        <v>0</v>
      </c>
      <c r="H46" s="243">
        <v>0</v>
      </c>
      <c r="I46" s="243">
        <v>0</v>
      </c>
      <c r="J46" s="243">
        <v>0</v>
      </c>
      <c r="K46" s="243">
        <v>0</v>
      </c>
      <c r="L46" s="243">
        <v>0</v>
      </c>
      <c r="M46" s="243">
        <v>0</v>
      </c>
      <c r="N46" s="243">
        <v>0</v>
      </c>
      <c r="O46" s="243">
        <v>40.705000000000005</v>
      </c>
      <c r="P46" s="243">
        <v>0</v>
      </c>
      <c r="Q46" s="243">
        <v>0</v>
      </c>
      <c r="R46" s="254">
        <v>40.705000000000005</v>
      </c>
      <c r="U46" s="506"/>
      <c r="V46" s="252" t="s">
        <v>39</v>
      </c>
      <c r="W46" s="243">
        <v>0</v>
      </c>
      <c r="X46" s="243">
        <v>0</v>
      </c>
      <c r="Y46" s="243">
        <v>0</v>
      </c>
      <c r="Z46" s="243">
        <v>0</v>
      </c>
      <c r="AA46" s="243">
        <v>0</v>
      </c>
      <c r="AB46" s="243">
        <v>0</v>
      </c>
      <c r="AC46" s="243">
        <v>0</v>
      </c>
      <c r="AD46" s="243">
        <v>0</v>
      </c>
      <c r="AE46" s="243">
        <v>0</v>
      </c>
      <c r="AF46" s="243">
        <v>0</v>
      </c>
      <c r="AG46" s="243">
        <v>0</v>
      </c>
      <c r="AH46" s="243">
        <v>0</v>
      </c>
      <c r="AI46" s="243">
        <v>40.705000000000005</v>
      </c>
      <c r="AJ46" s="243">
        <v>0</v>
      </c>
      <c r="AK46" s="243">
        <v>0</v>
      </c>
      <c r="AL46" s="254">
        <v>40.705000000000005</v>
      </c>
    </row>
    <row r="47" spans="1:38">
      <c r="A47" s="506"/>
      <c r="B47" s="247" t="s">
        <v>40</v>
      </c>
      <c r="C47" s="248">
        <v>0</v>
      </c>
      <c r="D47" s="248">
        <v>0</v>
      </c>
      <c r="E47" s="248">
        <v>1260.6920000000002</v>
      </c>
      <c r="F47" s="248">
        <v>0</v>
      </c>
      <c r="G47" s="248">
        <v>0</v>
      </c>
      <c r="H47" s="248">
        <v>198.98930000000001</v>
      </c>
      <c r="I47" s="248">
        <v>0</v>
      </c>
      <c r="J47" s="248">
        <v>0</v>
      </c>
      <c r="K47" s="248">
        <v>0</v>
      </c>
      <c r="L47" s="248">
        <v>0</v>
      </c>
      <c r="M47" s="248">
        <v>0</v>
      </c>
      <c r="N47" s="248">
        <v>3.4890000000000003</v>
      </c>
      <c r="O47" s="248">
        <v>-651.39629999999988</v>
      </c>
      <c r="P47" s="248">
        <v>-3.4890000000000003</v>
      </c>
      <c r="Q47" s="248">
        <v>0</v>
      </c>
      <c r="R47" s="248">
        <v>808.28500000000031</v>
      </c>
      <c r="U47" s="506"/>
      <c r="V47" s="247" t="s">
        <v>40</v>
      </c>
      <c r="W47" s="248">
        <v>0</v>
      </c>
      <c r="X47" s="248">
        <v>0</v>
      </c>
      <c r="Y47" s="248">
        <v>1260.6920000000002</v>
      </c>
      <c r="Z47" s="248">
        <v>0</v>
      </c>
      <c r="AA47" s="248">
        <v>0</v>
      </c>
      <c r="AB47" s="248">
        <v>198.98930000000001</v>
      </c>
      <c r="AC47" s="248">
        <v>0</v>
      </c>
      <c r="AD47" s="248">
        <v>0</v>
      </c>
      <c r="AE47" s="248">
        <v>0</v>
      </c>
      <c r="AF47" s="248">
        <v>0</v>
      </c>
      <c r="AG47" s="248">
        <v>0</v>
      </c>
      <c r="AH47" s="248">
        <v>3.4890000000000003</v>
      </c>
      <c r="AI47" s="248">
        <v>-651.39629999999988</v>
      </c>
      <c r="AJ47" s="248">
        <v>-3.4890000000000003</v>
      </c>
      <c r="AK47" s="248">
        <v>0</v>
      </c>
      <c r="AL47" s="248">
        <v>808.28500000000031</v>
      </c>
    </row>
    <row r="48" spans="1:38">
      <c r="A48" s="506"/>
      <c r="B48" s="249"/>
      <c r="C48" s="250"/>
      <c r="D48" s="250"/>
      <c r="E48" s="257"/>
      <c r="F48" s="250"/>
      <c r="G48" s="250"/>
      <c r="H48" s="250"/>
      <c r="I48" s="257"/>
      <c r="J48" s="250"/>
      <c r="K48" s="250"/>
      <c r="L48" s="250"/>
      <c r="M48" s="258"/>
      <c r="N48" s="250"/>
      <c r="O48" s="250"/>
      <c r="P48" s="250"/>
      <c r="Q48" s="250"/>
      <c r="R48" s="250"/>
      <c r="U48" s="506"/>
      <c r="V48" s="249"/>
      <c r="W48" s="250"/>
      <c r="X48" s="250"/>
      <c r="Y48" s="257"/>
      <c r="Z48" s="250"/>
      <c r="AA48" s="250"/>
      <c r="AB48" s="250"/>
      <c r="AC48" s="257"/>
      <c r="AD48" s="250"/>
      <c r="AE48" s="250"/>
      <c r="AF48" s="250"/>
      <c r="AG48" s="258"/>
      <c r="AH48" s="250"/>
      <c r="AI48" s="250"/>
      <c r="AJ48" s="250"/>
      <c r="AK48" s="250"/>
      <c r="AL48" s="250"/>
    </row>
    <row r="49" spans="1:38">
      <c r="A49" s="506"/>
      <c r="B49" s="252" t="s">
        <v>41</v>
      </c>
      <c r="C49" s="243">
        <v>0</v>
      </c>
      <c r="D49" s="243">
        <v>0</v>
      </c>
      <c r="E49" s="243">
        <v>0</v>
      </c>
      <c r="F49" s="243">
        <v>0</v>
      </c>
      <c r="G49" s="243">
        <v>0</v>
      </c>
      <c r="H49" s="243">
        <v>0</v>
      </c>
      <c r="I49" s="243">
        <v>0</v>
      </c>
      <c r="J49" s="243">
        <v>0</v>
      </c>
      <c r="K49" s="243">
        <v>0</v>
      </c>
      <c r="L49" s="243">
        <v>0</v>
      </c>
      <c r="M49" s="243">
        <v>0</v>
      </c>
      <c r="N49" s="243">
        <v>0</v>
      </c>
      <c r="O49" s="243">
        <v>294</v>
      </c>
      <c r="P49" s="243">
        <v>0</v>
      </c>
      <c r="Q49" s="243">
        <v>0</v>
      </c>
      <c r="R49" s="254">
        <v>294</v>
      </c>
      <c r="U49" s="506"/>
      <c r="V49" s="252" t="s">
        <v>41</v>
      </c>
      <c r="W49" s="243">
        <v>0</v>
      </c>
      <c r="X49" s="243">
        <v>0</v>
      </c>
      <c r="Y49" s="243">
        <v>0</v>
      </c>
      <c r="Z49" s="243">
        <v>0</v>
      </c>
      <c r="AA49" s="243">
        <v>0</v>
      </c>
      <c r="AB49" s="243">
        <v>0</v>
      </c>
      <c r="AC49" s="243">
        <v>0</v>
      </c>
      <c r="AD49" s="243">
        <v>0</v>
      </c>
      <c r="AE49" s="243">
        <v>0</v>
      </c>
      <c r="AF49" s="243">
        <v>0</v>
      </c>
      <c r="AG49" s="243">
        <v>0</v>
      </c>
      <c r="AH49" s="243">
        <v>0</v>
      </c>
      <c r="AI49" s="243">
        <v>294</v>
      </c>
      <c r="AJ49" s="243">
        <v>0</v>
      </c>
      <c r="AK49" s="243">
        <v>0</v>
      </c>
      <c r="AL49" s="254">
        <v>294</v>
      </c>
    </row>
    <row r="50" spans="1:38">
      <c r="A50" s="506"/>
      <c r="B50" s="252" t="s">
        <v>42</v>
      </c>
      <c r="C50" s="243">
        <v>0</v>
      </c>
      <c r="D50" s="243">
        <v>0</v>
      </c>
      <c r="E50" s="243">
        <v>1904.9940000000004</v>
      </c>
      <c r="F50" s="243">
        <v>0</v>
      </c>
      <c r="G50" s="243">
        <v>0</v>
      </c>
      <c r="H50" s="243">
        <v>0</v>
      </c>
      <c r="I50" s="243">
        <v>0</v>
      </c>
      <c r="J50" s="243">
        <v>0</v>
      </c>
      <c r="K50" s="243">
        <v>0</v>
      </c>
      <c r="L50" s="243">
        <v>0</v>
      </c>
      <c r="M50" s="243">
        <v>0</v>
      </c>
      <c r="N50" s="243">
        <v>0</v>
      </c>
      <c r="O50" s="243">
        <v>0</v>
      </c>
      <c r="P50" s="243">
        <v>0</v>
      </c>
      <c r="Q50" s="243">
        <v>0</v>
      </c>
      <c r="R50" s="254">
        <v>1904.9940000000004</v>
      </c>
      <c r="U50" s="506"/>
      <c r="V50" s="252" t="s">
        <v>42</v>
      </c>
      <c r="W50" s="243">
        <v>0</v>
      </c>
      <c r="X50" s="243">
        <v>0</v>
      </c>
      <c r="Y50" s="243">
        <v>1904.9940000000004</v>
      </c>
      <c r="Z50" s="243">
        <v>0</v>
      </c>
      <c r="AA50" s="243">
        <v>0</v>
      </c>
      <c r="AB50" s="243">
        <v>0</v>
      </c>
      <c r="AC50" s="243">
        <v>0</v>
      </c>
      <c r="AD50" s="243">
        <v>0</v>
      </c>
      <c r="AE50" s="243">
        <v>0</v>
      </c>
      <c r="AF50" s="243">
        <v>0</v>
      </c>
      <c r="AG50" s="243">
        <v>0</v>
      </c>
      <c r="AH50" s="243">
        <v>0</v>
      </c>
      <c r="AI50" s="243">
        <v>0</v>
      </c>
      <c r="AJ50" s="243">
        <v>0</v>
      </c>
      <c r="AK50" s="243">
        <v>0</v>
      </c>
      <c r="AL50" s="254">
        <v>1904.9940000000004</v>
      </c>
    </row>
    <row r="51" spans="1:38">
      <c r="A51" s="506"/>
      <c r="B51" s="252" t="s">
        <v>43</v>
      </c>
      <c r="C51" s="243">
        <v>0</v>
      </c>
      <c r="D51" s="243">
        <v>0</v>
      </c>
      <c r="E51" s="243">
        <v>90.713999999999999</v>
      </c>
      <c r="F51" s="243">
        <v>0</v>
      </c>
      <c r="G51" s="243">
        <v>0</v>
      </c>
      <c r="H51" s="243">
        <v>0</v>
      </c>
      <c r="I51" s="243">
        <v>0</v>
      </c>
      <c r="J51" s="243">
        <v>0</v>
      </c>
      <c r="K51" s="243">
        <v>0</v>
      </c>
      <c r="L51" s="243">
        <v>0</v>
      </c>
      <c r="M51" s="243">
        <v>0</v>
      </c>
      <c r="N51" s="243">
        <v>22.097000000000001</v>
      </c>
      <c r="O51" s="243">
        <v>243.06700000000001</v>
      </c>
      <c r="P51" s="243">
        <v>0</v>
      </c>
      <c r="Q51" s="243">
        <v>0</v>
      </c>
      <c r="R51" s="254">
        <v>355.87800000000004</v>
      </c>
      <c r="U51" s="506"/>
      <c r="V51" s="252" t="s">
        <v>43</v>
      </c>
      <c r="W51" s="243">
        <v>0</v>
      </c>
      <c r="X51" s="243">
        <v>0</v>
      </c>
      <c r="Y51" s="243">
        <v>90.713999999999999</v>
      </c>
      <c r="Z51" s="243">
        <v>0</v>
      </c>
      <c r="AA51" s="243">
        <v>0</v>
      </c>
      <c r="AB51" s="243">
        <v>0</v>
      </c>
      <c r="AC51" s="243">
        <v>0</v>
      </c>
      <c r="AD51" s="243">
        <v>0</v>
      </c>
      <c r="AE51" s="243">
        <v>0</v>
      </c>
      <c r="AF51" s="243">
        <v>0</v>
      </c>
      <c r="AG51" s="243">
        <v>0</v>
      </c>
      <c r="AH51" s="243">
        <v>22.097000000000001</v>
      </c>
      <c r="AI51" s="243">
        <v>243.06700000000001</v>
      </c>
      <c r="AJ51" s="243">
        <v>0</v>
      </c>
      <c r="AK51" s="243">
        <v>0</v>
      </c>
      <c r="AL51" s="254">
        <v>355.87800000000004</v>
      </c>
    </row>
    <row r="52" spans="1:38">
      <c r="A52" s="506"/>
      <c r="B52" s="252" t="s">
        <v>44</v>
      </c>
      <c r="C52" s="243">
        <v>0</v>
      </c>
      <c r="D52" s="243">
        <v>0</v>
      </c>
      <c r="E52" s="243">
        <v>39.542000000000002</v>
      </c>
      <c r="F52" s="243">
        <v>0</v>
      </c>
      <c r="G52" s="243">
        <v>0</v>
      </c>
      <c r="H52" s="243">
        <v>0</v>
      </c>
      <c r="I52" s="243">
        <v>0</v>
      </c>
      <c r="J52" s="243">
        <v>0</v>
      </c>
      <c r="K52" s="243">
        <v>0</v>
      </c>
      <c r="L52" s="243">
        <v>0</v>
      </c>
      <c r="M52" s="243">
        <v>0</v>
      </c>
      <c r="N52" s="243">
        <v>0</v>
      </c>
      <c r="O52" s="243">
        <v>116</v>
      </c>
      <c r="P52" s="243">
        <v>3.4890000000000003</v>
      </c>
      <c r="Q52" s="243">
        <v>0</v>
      </c>
      <c r="R52" s="254">
        <v>159.03100000000001</v>
      </c>
      <c r="U52" s="506"/>
      <c r="V52" s="252" t="s">
        <v>44</v>
      </c>
      <c r="W52" s="243">
        <v>0</v>
      </c>
      <c r="X52" s="243">
        <v>0</v>
      </c>
      <c r="Y52" s="243">
        <v>39.542000000000002</v>
      </c>
      <c r="Z52" s="243">
        <v>0</v>
      </c>
      <c r="AA52" s="243">
        <v>0</v>
      </c>
      <c r="AB52" s="243">
        <v>0</v>
      </c>
      <c r="AC52" s="243">
        <v>0</v>
      </c>
      <c r="AD52" s="243">
        <v>0</v>
      </c>
      <c r="AE52" s="243">
        <v>0</v>
      </c>
      <c r="AF52" s="243">
        <v>0</v>
      </c>
      <c r="AG52" s="243">
        <v>0</v>
      </c>
      <c r="AH52" s="243">
        <v>0</v>
      </c>
      <c r="AI52" s="243">
        <v>116</v>
      </c>
      <c r="AJ52" s="243">
        <v>3.4890000000000003</v>
      </c>
      <c r="AK52" s="243">
        <v>0</v>
      </c>
      <c r="AL52" s="254">
        <v>159.03100000000001</v>
      </c>
    </row>
    <row r="53" spans="1:38">
      <c r="A53" s="506"/>
      <c r="B53" s="252" t="s">
        <v>4</v>
      </c>
      <c r="C53" s="243">
        <v>0</v>
      </c>
      <c r="D53" s="243">
        <v>0</v>
      </c>
      <c r="E53" s="243">
        <v>126.76700000000001</v>
      </c>
      <c r="F53" s="243">
        <v>0</v>
      </c>
      <c r="G53" s="243">
        <v>0</v>
      </c>
      <c r="H53" s="243">
        <v>0</v>
      </c>
      <c r="I53" s="243">
        <v>0</v>
      </c>
      <c r="J53" s="243">
        <v>0</v>
      </c>
      <c r="K53" s="243">
        <v>0</v>
      </c>
      <c r="L53" s="243">
        <v>0</v>
      </c>
      <c r="M53" s="243">
        <v>0</v>
      </c>
      <c r="N53" s="243">
        <v>0</v>
      </c>
      <c r="O53" s="243">
        <v>0</v>
      </c>
      <c r="P53" s="243">
        <v>0</v>
      </c>
      <c r="Q53" s="243">
        <v>0</v>
      </c>
      <c r="R53" s="254">
        <v>126.76700000000001</v>
      </c>
      <c r="U53" s="506"/>
      <c r="V53" s="252" t="s">
        <v>4</v>
      </c>
      <c r="W53" s="243">
        <v>0</v>
      </c>
      <c r="X53" s="243">
        <v>0</v>
      </c>
      <c r="Y53" s="243">
        <v>126.76700000000001</v>
      </c>
      <c r="Z53" s="243">
        <v>0</v>
      </c>
      <c r="AA53" s="243">
        <v>0</v>
      </c>
      <c r="AB53" s="243">
        <v>0</v>
      </c>
      <c r="AC53" s="243">
        <v>0</v>
      </c>
      <c r="AD53" s="243">
        <v>0</v>
      </c>
      <c r="AE53" s="243">
        <v>0</v>
      </c>
      <c r="AF53" s="243">
        <v>0</v>
      </c>
      <c r="AG53" s="243">
        <v>0</v>
      </c>
      <c r="AH53" s="243">
        <v>0</v>
      </c>
      <c r="AI53" s="243">
        <v>0</v>
      </c>
      <c r="AJ53" s="243">
        <v>0</v>
      </c>
      <c r="AK53" s="243">
        <v>0</v>
      </c>
      <c r="AL53" s="254">
        <v>126.76700000000001</v>
      </c>
    </row>
    <row r="54" spans="1:38">
      <c r="A54" s="506"/>
      <c r="B54" s="252" t="s">
        <v>382</v>
      </c>
      <c r="C54" s="243">
        <v>0</v>
      </c>
      <c r="D54" s="243">
        <v>0</v>
      </c>
      <c r="E54" s="243">
        <v>0</v>
      </c>
      <c r="F54" s="243">
        <v>0</v>
      </c>
      <c r="G54" s="243">
        <v>0</v>
      </c>
      <c r="H54" s="243">
        <v>0</v>
      </c>
      <c r="I54" s="243">
        <v>0</v>
      </c>
      <c r="J54" s="243">
        <v>0</v>
      </c>
      <c r="K54" s="243">
        <v>0</v>
      </c>
      <c r="L54" s="243">
        <v>0</v>
      </c>
      <c r="M54" s="243">
        <v>0</v>
      </c>
      <c r="N54" s="243">
        <v>0</v>
      </c>
      <c r="O54" s="243">
        <v>0</v>
      </c>
      <c r="P54" s="243">
        <v>0</v>
      </c>
      <c r="Q54" s="243">
        <v>0</v>
      </c>
      <c r="R54" s="254">
        <v>0</v>
      </c>
      <c r="U54" s="506"/>
      <c r="V54" s="252" t="s">
        <v>382</v>
      </c>
      <c r="W54" s="243">
        <v>0</v>
      </c>
      <c r="X54" s="243">
        <v>0</v>
      </c>
      <c r="Y54" s="243">
        <v>0</v>
      </c>
      <c r="Z54" s="243">
        <v>0</v>
      </c>
      <c r="AA54" s="243">
        <v>0</v>
      </c>
      <c r="AB54" s="243">
        <v>0</v>
      </c>
      <c r="AC54" s="243">
        <v>0</v>
      </c>
      <c r="AD54" s="243">
        <v>0</v>
      </c>
      <c r="AE54" s="243">
        <v>0</v>
      </c>
      <c r="AF54" s="243">
        <v>0</v>
      </c>
      <c r="AG54" s="243">
        <v>0</v>
      </c>
      <c r="AH54" s="243">
        <v>0</v>
      </c>
      <c r="AI54" s="243">
        <v>0</v>
      </c>
      <c r="AJ54" s="243">
        <v>0</v>
      </c>
      <c r="AK54" s="243">
        <v>0</v>
      </c>
      <c r="AL54" s="254">
        <v>0</v>
      </c>
    </row>
    <row r="55" spans="1:38">
      <c r="A55" s="506"/>
      <c r="B55" s="247" t="s">
        <v>45</v>
      </c>
      <c r="C55" s="248">
        <v>0</v>
      </c>
      <c r="D55" s="248">
        <v>0</v>
      </c>
      <c r="E55" s="248">
        <v>2162.0170000000003</v>
      </c>
      <c r="F55" s="248">
        <v>0</v>
      </c>
      <c r="G55" s="248">
        <v>0</v>
      </c>
      <c r="H55" s="248">
        <v>0</v>
      </c>
      <c r="I55" s="248">
        <v>0</v>
      </c>
      <c r="J55" s="248">
        <v>0</v>
      </c>
      <c r="K55" s="248">
        <v>0</v>
      </c>
      <c r="L55" s="248">
        <v>0</v>
      </c>
      <c r="M55" s="248">
        <v>0</v>
      </c>
      <c r="N55" s="248">
        <v>22.097000000000001</v>
      </c>
      <c r="O55" s="248">
        <v>653.06700000000001</v>
      </c>
      <c r="P55" s="248">
        <v>3.4890000000000003</v>
      </c>
      <c r="Q55" s="248">
        <v>0</v>
      </c>
      <c r="R55" s="248">
        <v>2840.6700000000005</v>
      </c>
      <c r="U55" s="506"/>
      <c r="V55" s="247" t="s">
        <v>45</v>
      </c>
      <c r="W55" s="248">
        <v>0</v>
      </c>
      <c r="X55" s="248">
        <v>0</v>
      </c>
      <c r="Y55" s="248">
        <v>2162.0170000000003</v>
      </c>
      <c r="Z55" s="248">
        <v>0</v>
      </c>
      <c r="AA55" s="248">
        <v>0</v>
      </c>
      <c r="AB55" s="248">
        <v>0</v>
      </c>
      <c r="AC55" s="248">
        <v>0</v>
      </c>
      <c r="AD55" s="248">
        <v>0</v>
      </c>
      <c r="AE55" s="248">
        <v>0</v>
      </c>
      <c r="AF55" s="248">
        <v>0</v>
      </c>
      <c r="AG55" s="248">
        <v>0</v>
      </c>
      <c r="AH55" s="248">
        <v>22.097000000000001</v>
      </c>
      <c r="AI55" s="248">
        <v>653.06700000000001</v>
      </c>
      <c r="AJ55" s="248">
        <v>3.4890000000000003</v>
      </c>
      <c r="AK55" s="248">
        <v>0</v>
      </c>
      <c r="AL55" s="248">
        <v>2840.6700000000005</v>
      </c>
    </row>
    <row r="56" spans="1:38">
      <c r="A56" s="506"/>
      <c r="B56" s="242" t="s">
        <v>46</v>
      </c>
      <c r="C56" s="243">
        <v>0</v>
      </c>
      <c r="D56" s="243">
        <v>0</v>
      </c>
      <c r="E56" s="243">
        <v>0</v>
      </c>
      <c r="F56" s="243">
        <v>0</v>
      </c>
      <c r="G56" s="243">
        <v>0</v>
      </c>
      <c r="H56" s="243">
        <v>0</v>
      </c>
      <c r="I56" s="243">
        <v>0</v>
      </c>
      <c r="J56" s="243">
        <v>0</v>
      </c>
      <c r="K56" s="243">
        <v>0</v>
      </c>
      <c r="L56" s="243">
        <v>0</v>
      </c>
      <c r="M56" s="243">
        <v>0</v>
      </c>
      <c r="N56" s="243">
        <v>0</v>
      </c>
      <c r="O56" s="243">
        <v>0</v>
      </c>
      <c r="P56" s="243">
        <v>0</v>
      </c>
      <c r="Q56" s="243">
        <v>0</v>
      </c>
      <c r="R56" s="254">
        <v>0</v>
      </c>
      <c r="U56" s="506"/>
      <c r="V56" s="242" t="s">
        <v>46</v>
      </c>
      <c r="W56" s="243">
        <v>0</v>
      </c>
      <c r="X56" s="243">
        <v>0</v>
      </c>
      <c r="Y56" s="243">
        <v>0</v>
      </c>
      <c r="Z56" s="243">
        <v>0</v>
      </c>
      <c r="AA56" s="243">
        <v>0</v>
      </c>
      <c r="AB56" s="243">
        <v>0</v>
      </c>
      <c r="AC56" s="243">
        <v>0</v>
      </c>
      <c r="AD56" s="243">
        <v>0</v>
      </c>
      <c r="AE56" s="243">
        <v>0</v>
      </c>
      <c r="AF56" s="243">
        <v>0</v>
      </c>
      <c r="AG56" s="243">
        <v>0</v>
      </c>
      <c r="AH56" s="243">
        <v>0</v>
      </c>
      <c r="AI56" s="243">
        <v>0</v>
      </c>
      <c r="AJ56" s="243">
        <v>0</v>
      </c>
      <c r="AK56" s="243">
        <v>0</v>
      </c>
      <c r="AL56" s="254">
        <v>0</v>
      </c>
    </row>
    <row r="57" spans="1:38">
      <c r="A57" s="506"/>
      <c r="B57" s="247" t="s">
        <v>47</v>
      </c>
      <c r="C57" s="248">
        <v>0</v>
      </c>
      <c r="D57" s="248">
        <v>0</v>
      </c>
      <c r="E57" s="248">
        <v>2162.0170000000003</v>
      </c>
      <c r="F57" s="248">
        <v>0</v>
      </c>
      <c r="G57" s="248">
        <v>0</v>
      </c>
      <c r="H57" s="248">
        <v>0</v>
      </c>
      <c r="I57" s="248">
        <v>0</v>
      </c>
      <c r="J57" s="248">
        <v>0</v>
      </c>
      <c r="K57" s="248">
        <v>0</v>
      </c>
      <c r="L57" s="248">
        <v>0</v>
      </c>
      <c r="M57" s="248">
        <v>0</v>
      </c>
      <c r="N57" s="248">
        <v>22.097000000000001</v>
      </c>
      <c r="O57" s="248">
        <v>653.06700000000001</v>
      </c>
      <c r="P57" s="248">
        <v>3.4890000000000003</v>
      </c>
      <c r="Q57" s="248">
        <v>0</v>
      </c>
      <c r="R57" s="248">
        <v>2840.6700000000005</v>
      </c>
      <c r="U57" s="506"/>
      <c r="V57" s="247" t="s">
        <v>47</v>
      </c>
      <c r="W57" s="248">
        <v>0</v>
      </c>
      <c r="X57" s="248">
        <v>0</v>
      </c>
      <c r="Y57" s="248">
        <v>2162.0170000000003</v>
      </c>
      <c r="Z57" s="248">
        <v>0</v>
      </c>
      <c r="AA57" s="248">
        <v>0</v>
      </c>
      <c r="AB57" s="248">
        <v>0</v>
      </c>
      <c r="AC57" s="248">
        <v>0</v>
      </c>
      <c r="AD57" s="248">
        <v>0</v>
      </c>
      <c r="AE57" s="248">
        <v>0</v>
      </c>
      <c r="AF57" s="248">
        <v>0</v>
      </c>
      <c r="AG57" s="248">
        <v>0</v>
      </c>
      <c r="AH57" s="248">
        <v>22.097000000000001</v>
      </c>
      <c r="AI57" s="248">
        <v>653.06700000000001</v>
      </c>
      <c r="AJ57" s="248">
        <v>3.4890000000000003</v>
      </c>
      <c r="AK57" s="248">
        <v>0</v>
      </c>
      <c r="AL57" s="248">
        <v>2840.6700000000005</v>
      </c>
    </row>
    <row r="61" spans="1:38">
      <c r="K61" s="259"/>
    </row>
    <row r="62" spans="1:38">
      <c r="L62" s="259"/>
    </row>
    <row r="64" spans="1:38">
      <c r="I64" s="259"/>
      <c r="AC64" s="259"/>
    </row>
    <row r="66" spans="1:41" ht="14.4" customHeight="1">
      <c r="A66" s="506">
        <v>2025</v>
      </c>
      <c r="B66" s="507" t="s">
        <v>12</v>
      </c>
      <c r="C66" s="508" t="s">
        <v>14</v>
      </c>
      <c r="D66" s="508" t="s">
        <v>15</v>
      </c>
      <c r="E66" s="508" t="s">
        <v>16</v>
      </c>
      <c r="F66" s="508" t="s">
        <v>17</v>
      </c>
      <c r="G66" s="508" t="s">
        <v>367</v>
      </c>
      <c r="H66" s="508" t="s">
        <v>18</v>
      </c>
      <c r="I66" s="508" t="s">
        <v>19</v>
      </c>
      <c r="J66" s="508"/>
      <c r="K66" s="508"/>
      <c r="L66" s="508"/>
      <c r="M66" s="508"/>
      <c r="N66" s="508"/>
      <c r="O66" s="509" t="s">
        <v>368</v>
      </c>
      <c r="P66" s="509" t="s">
        <v>21</v>
      </c>
      <c r="Q66" s="509" t="s">
        <v>369</v>
      </c>
      <c r="R66" s="509" t="s">
        <v>23</v>
      </c>
      <c r="U66" s="506">
        <v>2025</v>
      </c>
      <c r="V66" s="515" t="s">
        <v>12</v>
      </c>
      <c r="W66" s="509" t="s">
        <v>14</v>
      </c>
      <c r="X66" s="509" t="s">
        <v>15</v>
      </c>
      <c r="Y66" s="509" t="s">
        <v>16</v>
      </c>
      <c r="Z66" s="509" t="s">
        <v>17</v>
      </c>
      <c r="AA66" s="509" t="s">
        <v>367</v>
      </c>
      <c r="AB66" s="509" t="s">
        <v>18</v>
      </c>
      <c r="AC66" s="512" t="s">
        <v>19</v>
      </c>
      <c r="AD66" s="513"/>
      <c r="AE66" s="513"/>
      <c r="AF66" s="513"/>
      <c r="AG66" s="513"/>
      <c r="AH66" s="514"/>
      <c r="AI66" s="509" t="s">
        <v>368</v>
      </c>
      <c r="AJ66" s="509" t="s">
        <v>21</v>
      </c>
      <c r="AK66" s="509" t="s">
        <v>369</v>
      </c>
      <c r="AL66" s="509" t="s">
        <v>23</v>
      </c>
    </row>
    <row r="67" spans="1:41" ht="45.6">
      <c r="A67" s="506"/>
      <c r="B67" s="507"/>
      <c r="C67" s="508"/>
      <c r="D67" s="508"/>
      <c r="E67" s="508"/>
      <c r="F67" s="508"/>
      <c r="G67" s="508"/>
      <c r="H67" s="508"/>
      <c r="I67" s="240" t="s">
        <v>356</v>
      </c>
      <c r="J67" s="240" t="s">
        <v>7</v>
      </c>
      <c r="K67" s="240" t="s">
        <v>357</v>
      </c>
      <c r="L67" s="240" t="s">
        <v>370</v>
      </c>
      <c r="M67" s="241" t="s">
        <v>371</v>
      </c>
      <c r="N67" s="240" t="s">
        <v>372</v>
      </c>
      <c r="O67" s="509"/>
      <c r="P67" s="509"/>
      <c r="Q67" s="509"/>
      <c r="R67" s="509"/>
      <c r="U67" s="506"/>
      <c r="V67" s="516"/>
      <c r="W67" s="511"/>
      <c r="X67" s="511"/>
      <c r="Y67" s="511"/>
      <c r="Z67" s="511"/>
      <c r="AA67" s="511"/>
      <c r="AB67" s="511"/>
      <c r="AC67" s="240" t="s">
        <v>356</v>
      </c>
      <c r="AD67" s="240" t="s">
        <v>7</v>
      </c>
      <c r="AE67" s="240" t="s">
        <v>357</v>
      </c>
      <c r="AF67" s="240" t="s">
        <v>370</v>
      </c>
      <c r="AG67" s="241" t="s">
        <v>371</v>
      </c>
      <c r="AH67" s="240" t="s">
        <v>372</v>
      </c>
      <c r="AI67" s="511"/>
      <c r="AJ67" s="511"/>
      <c r="AK67" s="511"/>
      <c r="AL67" s="511"/>
      <c r="AO67">
        <f>AL301/AL57</f>
        <v>0.45204129626819584</v>
      </c>
    </row>
    <row r="68" spans="1:41" ht="14.4" customHeight="1">
      <c r="A68" s="506"/>
      <c r="B68" s="242" t="s">
        <v>24</v>
      </c>
      <c r="C68" s="243">
        <v>0</v>
      </c>
      <c r="D68" s="244">
        <v>0</v>
      </c>
      <c r="E68" s="244">
        <v>0</v>
      </c>
      <c r="F68" s="243">
        <v>0</v>
      </c>
      <c r="G68" s="244">
        <v>0</v>
      </c>
      <c r="H68" s="244">
        <f>H74</f>
        <v>247.77734469657912</v>
      </c>
      <c r="I68" s="244">
        <f>$I$27</f>
        <v>0</v>
      </c>
      <c r="J68" s="244">
        <f>J74</f>
        <v>0</v>
      </c>
      <c r="K68" s="244">
        <v>0</v>
      </c>
      <c r="L68" s="244">
        <f>L74</f>
        <v>0</v>
      </c>
      <c r="M68" s="244">
        <v>0</v>
      </c>
      <c r="N68" s="244">
        <f>N74</f>
        <v>21.864807355516639</v>
      </c>
      <c r="O68" s="245">
        <v>0</v>
      </c>
      <c r="P68" s="244">
        <v>0</v>
      </c>
      <c r="Q68" s="244">
        <v>0</v>
      </c>
      <c r="R68" s="246">
        <f>SUM(C68:Q68)</f>
        <v>269.64215205209575</v>
      </c>
      <c r="U68" s="506"/>
      <c r="V68" s="242" t="s">
        <v>24</v>
      </c>
      <c r="W68" s="243">
        <v>0</v>
      </c>
      <c r="X68" s="244">
        <v>0</v>
      </c>
      <c r="Y68" s="244">
        <v>0</v>
      </c>
      <c r="Z68" s="243">
        <v>0</v>
      </c>
      <c r="AA68" s="244">
        <v>0</v>
      </c>
      <c r="AB68" s="244">
        <f>AB74</f>
        <v>232.43396397158202</v>
      </c>
      <c r="AC68" s="244">
        <f>IF((AC74-$AC$27)&gt;0,$AC$27+(AC74-$AC$27)*0.5,AC74)</f>
        <v>17.087108900458279</v>
      </c>
      <c r="AD68" s="244">
        <f>AD74</f>
        <v>0</v>
      </c>
      <c r="AE68" s="244">
        <f>IF((AE74-$AE$27)&gt;0,$AE$27+(AE74-AE71-AE72-$AE$27)*0.5,AE74-AE71-AE$72)</f>
        <v>20.83391606612431</v>
      </c>
      <c r="AF68" s="244">
        <f>AF74</f>
        <v>0</v>
      </c>
      <c r="AG68" s="244">
        <v>0</v>
      </c>
      <c r="AH68" s="244">
        <f>AH74</f>
        <v>46.473480000000002</v>
      </c>
      <c r="AI68" s="245">
        <v>0</v>
      </c>
      <c r="AJ68" s="244">
        <v>0</v>
      </c>
      <c r="AK68" s="244">
        <v>0</v>
      </c>
      <c r="AL68" s="246">
        <f>SUM(W68:AK68)</f>
        <v>316.82846893816458</v>
      </c>
    </row>
    <row r="69" spans="1:41" ht="14.4" customHeight="1">
      <c r="A69" s="506"/>
      <c r="B69" s="242" t="s">
        <v>28</v>
      </c>
      <c r="C69" s="243">
        <f>C74</f>
        <v>0</v>
      </c>
      <c r="D69" s="244">
        <f>D74</f>
        <v>0</v>
      </c>
      <c r="E69" s="244">
        <f>E74-E71-E72</f>
        <v>4008.0950935998676</v>
      </c>
      <c r="F69" s="243">
        <v>0</v>
      </c>
      <c r="G69" s="244">
        <v>0</v>
      </c>
      <c r="H69" s="244">
        <v>0</v>
      </c>
      <c r="I69" s="244">
        <f>I74-$I$27</f>
        <v>0</v>
      </c>
      <c r="J69" s="244">
        <v>0</v>
      </c>
      <c r="K69" s="244">
        <f>K74</f>
        <v>0</v>
      </c>
      <c r="L69" s="244">
        <v>0</v>
      </c>
      <c r="M69" s="244">
        <v>0</v>
      </c>
      <c r="N69" s="244">
        <v>0</v>
      </c>
      <c r="O69" s="245">
        <v>0</v>
      </c>
      <c r="P69" s="244">
        <v>0</v>
      </c>
      <c r="Q69" s="244">
        <v>0</v>
      </c>
      <c r="R69" s="246">
        <f t="shared" ref="R69:R74" si="3">SUM(C69:Q69)</f>
        <v>4008.0950935998676</v>
      </c>
      <c r="U69" s="506"/>
      <c r="V69" s="242" t="s">
        <v>28</v>
      </c>
      <c r="W69" s="243">
        <f>W74</f>
        <v>0</v>
      </c>
      <c r="X69" s="244">
        <f>X74</f>
        <v>0</v>
      </c>
      <c r="Y69" s="244">
        <f>Y74-Y71-Y72</f>
        <v>3838.8739346463331</v>
      </c>
      <c r="Z69" s="243">
        <v>0</v>
      </c>
      <c r="AA69" s="244">
        <v>0</v>
      </c>
      <c r="AB69" s="244">
        <v>0</v>
      </c>
      <c r="AC69" s="244">
        <f>IF((AC74-$AC$27)&gt;0,(AC74-$AC$27)*0.5,0)</f>
        <v>17.087108900458279</v>
      </c>
      <c r="AD69" s="244">
        <v>0</v>
      </c>
      <c r="AE69" s="244">
        <f>IF((AE74-AE71-AE72-$AE$27)&gt;0,(AE74-AE71-AE72-$AE$27)*0.5,0)</f>
        <v>20.83391606612431</v>
      </c>
      <c r="AF69" s="244">
        <v>0</v>
      </c>
      <c r="AG69" s="244">
        <v>0</v>
      </c>
      <c r="AH69" s="244">
        <v>0</v>
      </c>
      <c r="AI69" s="245">
        <v>0</v>
      </c>
      <c r="AJ69" s="244">
        <v>0</v>
      </c>
      <c r="AK69" s="244">
        <v>0</v>
      </c>
      <c r="AL69" s="246">
        <f t="shared" ref="AL69:AL74" si="4">SUM(W69:AK69)</f>
        <v>3876.7949596129156</v>
      </c>
    </row>
    <row r="70" spans="1:41" ht="14.4" customHeight="1">
      <c r="A70" s="506"/>
      <c r="B70" s="242" t="s">
        <v>29</v>
      </c>
      <c r="C70" s="243">
        <v>0</v>
      </c>
      <c r="D70" s="244">
        <v>0</v>
      </c>
      <c r="E70" s="244">
        <v>0</v>
      </c>
      <c r="F70" s="243">
        <v>0</v>
      </c>
      <c r="G70" s="244">
        <v>0</v>
      </c>
      <c r="H70" s="244">
        <v>0</v>
      </c>
      <c r="I70" s="244">
        <v>0</v>
      </c>
      <c r="J70" s="244">
        <v>0</v>
      </c>
      <c r="K70" s="244">
        <v>0</v>
      </c>
      <c r="L70" s="244">
        <v>0</v>
      </c>
      <c r="M70" s="244">
        <v>0</v>
      </c>
      <c r="N70" s="244">
        <v>0</v>
      </c>
      <c r="O70" s="245">
        <v>0</v>
      </c>
      <c r="P70" s="244">
        <v>0</v>
      </c>
      <c r="Q70" s="244">
        <v>0</v>
      </c>
      <c r="R70" s="246">
        <f t="shared" si="3"/>
        <v>0</v>
      </c>
      <c r="U70" s="506"/>
      <c r="V70" s="242" t="s">
        <v>29</v>
      </c>
      <c r="W70" s="243">
        <v>0</v>
      </c>
      <c r="X70" s="244">
        <v>0</v>
      </c>
      <c r="Y70" s="244">
        <v>0</v>
      </c>
      <c r="Z70" s="243">
        <v>0</v>
      </c>
      <c r="AA70" s="244">
        <v>0</v>
      </c>
      <c r="AB70" s="244">
        <v>0</v>
      </c>
      <c r="AC70" s="244">
        <v>0</v>
      </c>
      <c r="AD70" s="244">
        <v>0</v>
      </c>
      <c r="AE70" s="244">
        <v>0</v>
      </c>
      <c r="AF70" s="244">
        <v>0</v>
      </c>
      <c r="AG70" s="244">
        <v>0</v>
      </c>
      <c r="AH70" s="244">
        <v>0</v>
      </c>
      <c r="AI70" s="245">
        <v>0</v>
      </c>
      <c r="AJ70" s="244">
        <v>0</v>
      </c>
      <c r="AK70" s="244">
        <v>0</v>
      </c>
      <c r="AL70" s="246">
        <f t="shared" si="4"/>
        <v>0</v>
      </c>
    </row>
    <row r="71" spans="1:41" ht="14.4" customHeight="1">
      <c r="A71" s="506"/>
      <c r="B71" s="242" t="s">
        <v>30</v>
      </c>
      <c r="C71" s="243">
        <v>0</v>
      </c>
      <c r="D71" s="244">
        <v>0</v>
      </c>
      <c r="E71" s="244">
        <f>-Transports!$D$125</f>
        <v>-432.08549999999991</v>
      </c>
      <c r="F71" s="243">
        <v>0</v>
      </c>
      <c r="G71" s="244">
        <v>0</v>
      </c>
      <c r="H71" s="244">
        <v>0</v>
      </c>
      <c r="I71" s="244">
        <v>0</v>
      </c>
      <c r="J71" s="244">
        <v>0</v>
      </c>
      <c r="K71" s="244">
        <v>0</v>
      </c>
      <c r="L71" s="244">
        <v>0</v>
      </c>
      <c r="M71" s="244">
        <v>0</v>
      </c>
      <c r="N71" s="244">
        <v>0</v>
      </c>
      <c r="O71" s="245">
        <v>0</v>
      </c>
      <c r="P71" s="244">
        <v>0</v>
      </c>
      <c r="Q71" s="244">
        <v>0</v>
      </c>
      <c r="R71" s="246">
        <f t="shared" si="3"/>
        <v>-432.08549999999991</v>
      </c>
      <c r="U71" s="506"/>
      <c r="V71" s="242" t="s">
        <v>30</v>
      </c>
      <c r="W71" s="243">
        <v>0</v>
      </c>
      <c r="X71" s="244">
        <v>0</v>
      </c>
      <c r="Y71" s="244">
        <f>-Transports!$D$172-Transports!$D$171</f>
        <v>-432.08549999999991</v>
      </c>
      <c r="Z71" s="243">
        <v>0</v>
      </c>
      <c r="AA71" s="244">
        <v>0</v>
      </c>
      <c r="AB71" s="244">
        <v>0</v>
      </c>
      <c r="AC71" s="244">
        <v>0</v>
      </c>
      <c r="AD71" s="244">
        <v>0</v>
      </c>
      <c r="AE71" s="244">
        <f>-Transports!$D$170</f>
        <v>0</v>
      </c>
      <c r="AF71" s="244">
        <v>0</v>
      </c>
      <c r="AG71" s="244">
        <v>0</v>
      </c>
      <c r="AH71" s="244">
        <v>0</v>
      </c>
      <c r="AI71" s="245">
        <v>0</v>
      </c>
      <c r="AJ71" s="244">
        <v>0</v>
      </c>
      <c r="AK71" s="244">
        <v>0</v>
      </c>
      <c r="AL71" s="246">
        <f t="shared" si="4"/>
        <v>-432.08549999999991</v>
      </c>
    </row>
    <row r="72" spans="1:41" ht="14.4" customHeight="1">
      <c r="A72" s="506"/>
      <c r="B72" s="242" t="s">
        <v>31</v>
      </c>
      <c r="C72" s="243">
        <v>0</v>
      </c>
      <c r="D72" s="244">
        <v>0</v>
      </c>
      <c r="E72" s="244">
        <f>-Transports!$D$202</f>
        <v>-398.4485122439707</v>
      </c>
      <c r="F72" s="243">
        <v>0</v>
      </c>
      <c r="G72" s="244">
        <v>0</v>
      </c>
      <c r="H72" s="244">
        <v>0</v>
      </c>
      <c r="I72" s="244">
        <v>0</v>
      </c>
      <c r="J72" s="244">
        <v>0</v>
      </c>
      <c r="K72" s="244">
        <v>0</v>
      </c>
      <c r="L72" s="244">
        <v>0</v>
      </c>
      <c r="M72" s="244">
        <v>0</v>
      </c>
      <c r="N72" s="244">
        <v>0</v>
      </c>
      <c r="O72" s="245">
        <v>0</v>
      </c>
      <c r="P72" s="244">
        <v>0</v>
      </c>
      <c r="Q72" s="244">
        <v>0</v>
      </c>
      <c r="R72" s="246">
        <f t="shared" si="3"/>
        <v>-398.4485122439707</v>
      </c>
      <c r="U72" s="506"/>
      <c r="V72" s="242" t="s">
        <v>31</v>
      </c>
      <c r="W72" s="243">
        <v>0</v>
      </c>
      <c r="X72" s="244">
        <v>0</v>
      </c>
      <c r="Y72" s="244">
        <f>-Transports!$D$234</f>
        <v>-386.23671815760139</v>
      </c>
      <c r="Z72" s="243">
        <v>0</v>
      </c>
      <c r="AA72" s="244">
        <v>0</v>
      </c>
      <c r="AB72" s="244">
        <v>0</v>
      </c>
      <c r="AC72" s="244">
        <v>0</v>
      </c>
      <c r="AD72" s="244">
        <v>0</v>
      </c>
      <c r="AE72" s="244">
        <f>-Transports!$D$233-Transports!$D$232</f>
        <v>-7.8823820032163567</v>
      </c>
      <c r="AF72" s="244">
        <v>0</v>
      </c>
      <c r="AG72" s="244">
        <v>0</v>
      </c>
      <c r="AH72" s="244">
        <v>0</v>
      </c>
      <c r="AI72" s="245">
        <v>0</v>
      </c>
      <c r="AJ72" s="244">
        <v>0</v>
      </c>
      <c r="AK72" s="244">
        <v>0</v>
      </c>
      <c r="AL72" s="246">
        <f t="shared" si="4"/>
        <v>-394.11910016081777</v>
      </c>
    </row>
    <row r="73" spans="1:41" ht="14.4" customHeight="1">
      <c r="A73" s="506"/>
      <c r="B73" s="242" t="s">
        <v>32</v>
      </c>
      <c r="C73" s="243">
        <v>0</v>
      </c>
      <c r="D73" s="244">
        <v>0</v>
      </c>
      <c r="E73" s="244">
        <v>0</v>
      </c>
      <c r="F73" s="243">
        <v>0</v>
      </c>
      <c r="G73" s="244">
        <v>0</v>
      </c>
      <c r="H73" s="244">
        <v>0</v>
      </c>
      <c r="I73" s="244">
        <v>0</v>
      </c>
      <c r="J73" s="244">
        <v>0</v>
      </c>
      <c r="K73" s="244">
        <v>0</v>
      </c>
      <c r="L73" s="244">
        <v>0</v>
      </c>
      <c r="M73" s="244">
        <v>0</v>
      </c>
      <c r="N73" s="244">
        <v>0</v>
      </c>
      <c r="O73" s="245">
        <v>0</v>
      </c>
      <c r="P73" s="244">
        <v>0</v>
      </c>
      <c r="Q73" s="244">
        <v>0</v>
      </c>
      <c r="R73" s="246">
        <f t="shared" si="3"/>
        <v>0</v>
      </c>
      <c r="U73" s="506"/>
      <c r="V73" s="242" t="s">
        <v>32</v>
      </c>
      <c r="W73" s="243">
        <v>0</v>
      </c>
      <c r="X73" s="244">
        <v>0</v>
      </c>
      <c r="Y73" s="244">
        <v>0</v>
      </c>
      <c r="Z73" s="243">
        <v>0</v>
      </c>
      <c r="AA73" s="244">
        <v>0</v>
      </c>
      <c r="AB73" s="244">
        <v>0</v>
      </c>
      <c r="AC73" s="244">
        <v>0</v>
      </c>
      <c r="AD73" s="244">
        <v>0</v>
      </c>
      <c r="AE73" s="244">
        <v>0</v>
      </c>
      <c r="AF73" s="244">
        <v>0</v>
      </c>
      <c r="AG73" s="244">
        <v>0</v>
      </c>
      <c r="AH73" s="244">
        <v>0</v>
      </c>
      <c r="AI73" s="245">
        <v>0</v>
      </c>
      <c r="AJ73" s="244">
        <v>0</v>
      </c>
      <c r="AK73" s="244">
        <v>0</v>
      </c>
      <c r="AL73" s="246">
        <f t="shared" si="4"/>
        <v>0</v>
      </c>
    </row>
    <row r="74" spans="1:41" ht="14.4" customHeight="1">
      <c r="A74" s="506"/>
      <c r="B74" s="247" t="s">
        <v>373</v>
      </c>
      <c r="C74" s="248">
        <f>C98+C96</f>
        <v>0</v>
      </c>
      <c r="D74" s="248">
        <f>D88+D98</f>
        <v>0</v>
      </c>
      <c r="E74" s="248">
        <f>E88+E98</f>
        <v>3177.5610813558969</v>
      </c>
      <c r="F74" s="248">
        <f t="shared" ref="F74:Q74" si="5">SUM(F68:F73)</f>
        <v>0</v>
      </c>
      <c r="G74" s="248">
        <f t="shared" si="5"/>
        <v>0</v>
      </c>
      <c r="H74" s="248">
        <f>H88</f>
        <v>247.77734469657912</v>
      </c>
      <c r="I74" s="248">
        <f>I88+I96</f>
        <v>0</v>
      </c>
      <c r="J74" s="248">
        <f>J88+J98</f>
        <v>0</v>
      </c>
      <c r="K74" s="248">
        <f>K88+K98</f>
        <v>0</v>
      </c>
      <c r="L74" s="248">
        <f>L88+L98</f>
        <v>0</v>
      </c>
      <c r="M74" s="248">
        <f t="shared" si="5"/>
        <v>0</v>
      </c>
      <c r="N74" s="248">
        <f>N88+N98</f>
        <v>21.864807355516639</v>
      </c>
      <c r="O74" s="248">
        <f t="shared" si="5"/>
        <v>0</v>
      </c>
      <c r="P74" s="248">
        <f t="shared" si="5"/>
        <v>0</v>
      </c>
      <c r="Q74" s="248">
        <f t="shared" si="5"/>
        <v>0</v>
      </c>
      <c r="R74" s="248">
        <f t="shared" si="3"/>
        <v>3447.2032334079931</v>
      </c>
      <c r="U74" s="506"/>
      <c r="V74" s="247" t="s">
        <v>373</v>
      </c>
      <c r="W74" s="248">
        <f>W98+W96</f>
        <v>0</v>
      </c>
      <c r="X74" s="248">
        <f>X88+X98</f>
        <v>0</v>
      </c>
      <c r="Y74" s="248">
        <f>Y88+Y98</f>
        <v>3020.5517164887315</v>
      </c>
      <c r="Z74" s="248">
        <f>SUM(Z68:Z73)</f>
        <v>0</v>
      </c>
      <c r="AA74" s="248">
        <f>SUM(AA68:AA73)</f>
        <v>0</v>
      </c>
      <c r="AB74" s="248">
        <f>AB88</f>
        <v>232.43396397158202</v>
      </c>
      <c r="AC74" s="248">
        <f>AC88+AC96</f>
        <v>34.174217800916558</v>
      </c>
      <c r="AD74" s="248">
        <f>AD88+AD98</f>
        <v>0</v>
      </c>
      <c r="AE74" s="248">
        <f>AE88+AE98</f>
        <v>33.785450129032263</v>
      </c>
      <c r="AF74" s="248">
        <f>AF88+AF98</f>
        <v>0</v>
      </c>
      <c r="AG74" s="248">
        <f>SUM(AG68:AG73)</f>
        <v>0</v>
      </c>
      <c r="AH74" s="248">
        <f>AH88+AH98</f>
        <v>46.473480000000002</v>
      </c>
      <c r="AI74" s="248">
        <f>SUM(AI68:AI73)</f>
        <v>0</v>
      </c>
      <c r="AJ74" s="248">
        <f>SUM(AJ68:AJ73)</f>
        <v>0</v>
      </c>
      <c r="AK74" s="248">
        <f>SUM(AK68:AK73)</f>
        <v>0</v>
      </c>
      <c r="AL74" s="248">
        <f t="shared" si="4"/>
        <v>3367.4188283902627</v>
      </c>
    </row>
    <row r="75" spans="1:41" ht="14.4" customHeight="1">
      <c r="A75" s="506"/>
      <c r="B75" s="249"/>
      <c r="C75" s="250"/>
      <c r="D75" s="219"/>
      <c r="E75" s="251"/>
      <c r="F75" s="250"/>
      <c r="G75" s="250"/>
      <c r="H75" s="250"/>
      <c r="I75" s="250"/>
      <c r="J75" s="250"/>
      <c r="K75" s="250"/>
      <c r="L75" s="250"/>
      <c r="M75" s="250"/>
      <c r="N75" s="250"/>
      <c r="O75" s="259"/>
      <c r="P75" s="250"/>
      <c r="Q75" s="250"/>
      <c r="R75" s="250"/>
      <c r="U75" s="506"/>
      <c r="V75" s="249"/>
      <c r="W75" s="250"/>
      <c r="X75" s="219"/>
      <c r="Y75" s="251"/>
      <c r="Z75" s="250"/>
      <c r="AA75" s="250"/>
      <c r="AB75" s="250"/>
      <c r="AC75" s="250"/>
      <c r="AD75" s="250"/>
      <c r="AE75" s="250"/>
      <c r="AF75" s="250"/>
      <c r="AG75" s="250"/>
      <c r="AH75" s="250"/>
      <c r="AI75" s="259"/>
      <c r="AJ75" s="250"/>
      <c r="AK75" s="250"/>
      <c r="AL75" s="250"/>
    </row>
    <row r="76" spans="1:41" ht="14.4" customHeight="1">
      <c r="A76" s="506"/>
      <c r="B76" s="252" t="s">
        <v>374</v>
      </c>
      <c r="C76" s="243">
        <v>0</v>
      </c>
      <c r="D76" s="253">
        <v>0</v>
      </c>
      <c r="E76" s="253">
        <v>0</v>
      </c>
      <c r="F76" s="243">
        <v>0</v>
      </c>
      <c r="G76" s="243">
        <v>0</v>
      </c>
      <c r="H76" s="243">
        <v>0</v>
      </c>
      <c r="I76" s="243">
        <v>0</v>
      </c>
      <c r="J76" s="243">
        <v>0</v>
      </c>
      <c r="K76" s="243">
        <v>0</v>
      </c>
      <c r="L76" s="243">
        <v>0</v>
      </c>
      <c r="M76" s="243">
        <v>0</v>
      </c>
      <c r="N76" s="243">
        <v>0</v>
      </c>
      <c r="O76" s="243">
        <v>0</v>
      </c>
      <c r="P76" s="243">
        <v>0</v>
      </c>
      <c r="Q76" s="243">
        <v>0</v>
      </c>
      <c r="R76" s="254">
        <f>SUM(C76:Q76)</f>
        <v>0</v>
      </c>
      <c r="U76" s="506"/>
      <c r="V76" s="252" t="s">
        <v>374</v>
      </c>
      <c r="W76" s="243">
        <v>0</v>
      </c>
      <c r="X76" s="253">
        <v>0</v>
      </c>
      <c r="Y76" s="253">
        <v>0</v>
      </c>
      <c r="Z76" s="243">
        <v>0</v>
      </c>
      <c r="AA76" s="243">
        <v>0</v>
      </c>
      <c r="AB76" s="243">
        <v>0</v>
      </c>
      <c r="AC76" s="243">
        <v>0</v>
      </c>
      <c r="AD76" s="243">
        <v>0</v>
      </c>
      <c r="AE76" s="243">
        <v>0</v>
      </c>
      <c r="AF76" s="243">
        <v>0</v>
      </c>
      <c r="AG76" s="243">
        <v>0</v>
      </c>
      <c r="AH76" s="243">
        <v>0</v>
      </c>
      <c r="AI76" s="243">
        <v>0</v>
      </c>
      <c r="AJ76" s="243">
        <v>0</v>
      </c>
      <c r="AK76" s="243">
        <v>0</v>
      </c>
      <c r="AL76" s="254">
        <f>SUM(W76:AK76)</f>
        <v>0</v>
      </c>
    </row>
    <row r="77" spans="1:41" ht="14.4" customHeight="1">
      <c r="A77" s="506"/>
      <c r="B77" s="252" t="s">
        <v>375</v>
      </c>
      <c r="C77" s="243">
        <f>$O$77*'Prod Energie'!$D$32/(-$J$13)</f>
        <v>0</v>
      </c>
      <c r="D77" s="243">
        <v>0</v>
      </c>
      <c r="E77" s="243">
        <f>O77*'Prod Energie'!$D$33/(-$K$13)</f>
        <v>1076.9036859926202</v>
      </c>
      <c r="F77" s="243">
        <v>0</v>
      </c>
      <c r="G77" s="243">
        <v>0</v>
      </c>
      <c r="H77" s="243">
        <f>(O77)*('Prod Energie'!$D$34+'Prod Energie'!$D$39+'Prod Energie'!$D$40)/(-$L$13)</f>
        <v>247.77734469657912</v>
      </c>
      <c r="I77" s="255">
        <f>(O77)*('Prod Energie'!$D$38)/(-$M$13)</f>
        <v>0</v>
      </c>
      <c r="J77" s="255">
        <f>(O77)*('Prod Energie'!$D$36)/(-$N$13)</f>
        <v>0</v>
      </c>
      <c r="K77" s="255">
        <f>(O77)*('Prod Energie'!$D$37)/(-$O$13)</f>
        <v>0</v>
      </c>
      <c r="L77" s="255">
        <f>(O77)*('Prod Energie'!$D$41)/(-$P$13)</f>
        <v>0</v>
      </c>
      <c r="M77" s="255">
        <v>0</v>
      </c>
      <c r="N77" s="255">
        <f>(O77)*('Prod Energie'!$D$35)/(-$Q$13)</f>
        <v>0</v>
      </c>
      <c r="O77" s="243">
        <f>O88/(1+$F$17+$F$18)</f>
        <v>-721.61496653333199</v>
      </c>
      <c r="P77" s="243">
        <v>0</v>
      </c>
      <c r="Q77" s="243">
        <v>0</v>
      </c>
      <c r="R77" s="254">
        <f t="shared" ref="R77:R88" si="6">SUM(C77:Q77)</f>
        <v>603.06606415586737</v>
      </c>
      <c r="U77" s="506"/>
      <c r="V77" s="252" t="s">
        <v>375</v>
      </c>
      <c r="W77" s="243">
        <f>AI77*'Prod Energie'!$D$53/(-$J$13)</f>
        <v>0</v>
      </c>
      <c r="X77" s="243">
        <v>0</v>
      </c>
      <c r="Y77" s="243">
        <f>AI77*'Prod Energie'!$D$54/(-$K$13)</f>
        <v>961.8054642575496</v>
      </c>
      <c r="Z77" s="243">
        <v>0</v>
      </c>
      <c r="AA77" s="243">
        <v>0</v>
      </c>
      <c r="AB77" s="243">
        <f>(AI77)*('Prod Energie'!$D$55+'Prod Energie'!$D$60+'Prod Energie'!$D$61)/(-$L$13)</f>
        <v>232.43396397158202</v>
      </c>
      <c r="AC77" s="255">
        <f>(AI77)*'Prod Energie'!$D$59/(-$M$13)</f>
        <v>34.174217800916558</v>
      </c>
      <c r="AD77" s="255">
        <f>(AI77)*('Prod Energie'!$D$57)/(-$N$13)</f>
        <v>0</v>
      </c>
      <c r="AE77" s="255">
        <f>(AI77)*('Prod Energie'!$D$58)/(-$O$13)</f>
        <v>0</v>
      </c>
      <c r="AF77" s="255">
        <f>(AI77)*('Prod Energie'!$D$62)/(-$P$13)</f>
        <v>0</v>
      </c>
      <c r="AG77" s="255">
        <v>0</v>
      </c>
      <c r="AH77" s="255">
        <f>(AI77)*'Prod Energie'!$D$56/(-$Q$13)</f>
        <v>0</v>
      </c>
      <c r="AI77" s="243">
        <f>AI88/(1+$F$17+$F$18)</f>
        <v>-669.29805536527044</v>
      </c>
      <c r="AJ77" s="243">
        <v>0</v>
      </c>
      <c r="AK77" s="243">
        <v>0</v>
      </c>
      <c r="AL77" s="254">
        <f t="shared" ref="AL77:AL88" si="7">SUM(W77:AK77)</f>
        <v>559.11559066477764</v>
      </c>
    </row>
    <row r="78" spans="1:41" ht="14.4" customHeight="1">
      <c r="A78" s="506"/>
      <c r="B78" s="252" t="s">
        <v>376</v>
      </c>
      <c r="C78" s="243">
        <v>0</v>
      </c>
      <c r="D78" s="243">
        <v>0</v>
      </c>
      <c r="E78" s="243">
        <v>0</v>
      </c>
      <c r="F78" s="243">
        <v>0</v>
      </c>
      <c r="G78" s="243">
        <v>0</v>
      </c>
      <c r="H78" s="243">
        <v>0</v>
      </c>
      <c r="I78" s="255">
        <f t="shared" ref="I78:N78" si="8">$P$78*$L$18*V$17</f>
        <v>0</v>
      </c>
      <c r="J78" s="255">
        <f t="shared" si="8"/>
        <v>0</v>
      </c>
      <c r="K78" s="255">
        <f t="shared" si="8"/>
        <v>0</v>
      </c>
      <c r="L78" s="255">
        <f t="shared" si="8"/>
        <v>0</v>
      </c>
      <c r="M78" s="255">
        <f t="shared" si="8"/>
        <v>0</v>
      </c>
      <c r="N78" s="255">
        <f t="shared" si="8"/>
        <v>0</v>
      </c>
      <c r="O78" s="243">
        <v>0</v>
      </c>
      <c r="P78" s="243">
        <f>P88/(1+$R$18)</f>
        <v>0</v>
      </c>
      <c r="Q78" s="243">
        <v>0</v>
      </c>
      <c r="R78" s="254">
        <f t="shared" si="6"/>
        <v>0</v>
      </c>
      <c r="U78" s="506"/>
      <c r="V78" s="252" t="s">
        <v>376</v>
      </c>
      <c r="W78" s="243">
        <v>0</v>
      </c>
      <c r="X78" s="243">
        <v>0</v>
      </c>
      <c r="Y78" s="243">
        <v>0</v>
      </c>
      <c r="Z78" s="243">
        <v>0</v>
      </c>
      <c r="AA78" s="243">
        <v>0</v>
      </c>
      <c r="AB78" s="243">
        <v>0</v>
      </c>
      <c r="AC78" s="255">
        <f t="shared" ref="AC78:AH78" si="9">$AJ$78*$L$18*V$17</f>
        <v>0</v>
      </c>
      <c r="AD78" s="255">
        <f t="shared" si="9"/>
        <v>0</v>
      </c>
      <c r="AE78" s="255">
        <f t="shared" si="9"/>
        <v>0</v>
      </c>
      <c r="AF78" s="255">
        <f t="shared" si="9"/>
        <v>0</v>
      </c>
      <c r="AG78" s="255">
        <f t="shared" si="9"/>
        <v>0</v>
      </c>
      <c r="AH78" s="255">
        <f t="shared" si="9"/>
        <v>0</v>
      </c>
      <c r="AI78" s="243">
        <v>0</v>
      </c>
      <c r="AJ78" s="243">
        <f>AJ88/(1+$R$18)</f>
        <v>0</v>
      </c>
      <c r="AK78" s="243">
        <v>0</v>
      </c>
      <c r="AL78" s="254">
        <f t="shared" si="7"/>
        <v>0</v>
      </c>
    </row>
    <row r="79" spans="1:41" ht="14.4" customHeight="1">
      <c r="A79" s="506"/>
      <c r="B79" s="252" t="s">
        <v>377</v>
      </c>
      <c r="C79" s="243">
        <v>0</v>
      </c>
      <c r="D79" s="243">
        <v>0</v>
      </c>
      <c r="E79" s="243">
        <v>0</v>
      </c>
      <c r="F79" s="243">
        <v>0</v>
      </c>
      <c r="G79" s="243">
        <v>0</v>
      </c>
      <c r="H79" s="243">
        <v>0</v>
      </c>
      <c r="I79" s="256">
        <v>0</v>
      </c>
      <c r="J79" s="256">
        <v>0</v>
      </c>
      <c r="K79" s="256">
        <v>0</v>
      </c>
      <c r="L79" s="256">
        <v>0</v>
      </c>
      <c r="M79" s="256">
        <v>0</v>
      </c>
      <c r="N79" s="256">
        <v>0</v>
      </c>
      <c r="O79" s="243">
        <v>0</v>
      </c>
      <c r="P79" s="243">
        <v>0</v>
      </c>
      <c r="Q79" s="243">
        <v>0</v>
      </c>
      <c r="R79" s="254">
        <f t="shared" si="6"/>
        <v>0</v>
      </c>
      <c r="U79" s="506"/>
      <c r="V79" s="252" t="s">
        <v>377</v>
      </c>
      <c r="W79" s="243">
        <v>0</v>
      </c>
      <c r="X79" s="243">
        <v>0</v>
      </c>
      <c r="Y79" s="243">
        <v>0</v>
      </c>
      <c r="Z79" s="243">
        <v>0</v>
      </c>
      <c r="AA79" s="243">
        <v>0</v>
      </c>
      <c r="AB79" s="243">
        <v>0</v>
      </c>
      <c r="AC79" s="256">
        <v>0</v>
      </c>
      <c r="AD79" s="256">
        <v>0</v>
      </c>
      <c r="AE79" s="256">
        <v>0</v>
      </c>
      <c r="AF79" s="256">
        <v>0</v>
      </c>
      <c r="AG79" s="256">
        <v>0</v>
      </c>
      <c r="AH79" s="256">
        <v>0</v>
      </c>
      <c r="AI79" s="243">
        <v>0</v>
      </c>
      <c r="AJ79" s="243">
        <v>0</v>
      </c>
      <c r="AK79" s="243">
        <v>0</v>
      </c>
      <c r="AL79" s="254">
        <f t="shared" si="7"/>
        <v>0</v>
      </c>
    </row>
    <row r="80" spans="1:41" ht="14.4" customHeight="1">
      <c r="A80" s="506"/>
      <c r="B80" s="252" t="s">
        <v>378</v>
      </c>
      <c r="C80" s="243">
        <v>0</v>
      </c>
      <c r="D80" s="243">
        <v>0</v>
      </c>
      <c r="E80" s="243">
        <v>0</v>
      </c>
      <c r="F80" s="243">
        <v>0</v>
      </c>
      <c r="G80" s="243">
        <v>0</v>
      </c>
      <c r="H80" s="243">
        <v>0</v>
      </c>
      <c r="I80" s="243">
        <v>0</v>
      </c>
      <c r="J80" s="243">
        <v>0</v>
      </c>
      <c r="K80" s="243">
        <v>0</v>
      </c>
      <c r="L80" s="243">
        <v>0</v>
      </c>
      <c r="M80" s="243">
        <v>0</v>
      </c>
      <c r="N80" s="243">
        <v>0</v>
      </c>
      <c r="O80" s="243">
        <v>0</v>
      </c>
      <c r="P80" s="243">
        <v>0</v>
      </c>
      <c r="Q80" s="243">
        <v>0</v>
      </c>
      <c r="R80" s="254">
        <f t="shared" si="6"/>
        <v>0</v>
      </c>
      <c r="U80" s="506"/>
      <c r="V80" s="252" t="s">
        <v>378</v>
      </c>
      <c r="W80" s="243">
        <v>0</v>
      </c>
      <c r="X80" s="243">
        <v>0</v>
      </c>
      <c r="Y80" s="243">
        <v>0</v>
      </c>
      <c r="Z80" s="243">
        <v>0</v>
      </c>
      <c r="AA80" s="243">
        <v>0</v>
      </c>
      <c r="AB80" s="243">
        <v>0</v>
      </c>
      <c r="AC80" s="243">
        <v>0</v>
      </c>
      <c r="AD80" s="243">
        <v>0</v>
      </c>
      <c r="AE80" s="243">
        <v>0</v>
      </c>
      <c r="AF80" s="243">
        <v>0</v>
      </c>
      <c r="AG80" s="243">
        <v>0</v>
      </c>
      <c r="AH80" s="243">
        <v>0</v>
      </c>
      <c r="AI80" s="243">
        <v>0</v>
      </c>
      <c r="AJ80" s="243">
        <v>0</v>
      </c>
      <c r="AK80" s="243">
        <v>0</v>
      </c>
      <c r="AL80" s="254">
        <f t="shared" si="7"/>
        <v>0</v>
      </c>
    </row>
    <row r="81" spans="1:38" ht="14.4" customHeight="1">
      <c r="A81" s="506"/>
      <c r="B81" s="252" t="s">
        <v>36</v>
      </c>
      <c r="C81" s="243">
        <v>0</v>
      </c>
      <c r="D81" s="243">
        <v>0</v>
      </c>
      <c r="E81" s="243">
        <v>0</v>
      </c>
      <c r="F81" s="243">
        <v>0</v>
      </c>
      <c r="G81" s="243">
        <v>0</v>
      </c>
      <c r="H81" s="243">
        <v>0</v>
      </c>
      <c r="I81" s="243">
        <v>0</v>
      </c>
      <c r="J81" s="243">
        <v>0</v>
      </c>
      <c r="K81" s="243">
        <v>0</v>
      </c>
      <c r="L81" s="243">
        <v>0</v>
      </c>
      <c r="M81" s="243">
        <v>0</v>
      </c>
      <c r="N81" s="243">
        <v>0</v>
      </c>
      <c r="O81" s="243">
        <v>0</v>
      </c>
      <c r="P81" s="243">
        <v>0</v>
      </c>
      <c r="Q81" s="243">
        <v>0</v>
      </c>
      <c r="R81" s="254">
        <f t="shared" si="6"/>
        <v>0</v>
      </c>
      <c r="U81" s="506"/>
      <c r="V81" s="252" t="s">
        <v>36</v>
      </c>
      <c r="W81" s="243">
        <v>0</v>
      </c>
      <c r="X81" s="243">
        <v>0</v>
      </c>
      <c r="Y81" s="243">
        <v>0</v>
      </c>
      <c r="Z81" s="243">
        <v>0</v>
      </c>
      <c r="AA81" s="243">
        <v>0</v>
      </c>
      <c r="AB81" s="243">
        <v>0</v>
      </c>
      <c r="AC81" s="243">
        <v>0</v>
      </c>
      <c r="AD81" s="243">
        <v>0</v>
      </c>
      <c r="AE81" s="243">
        <v>0</v>
      </c>
      <c r="AF81" s="243">
        <v>0</v>
      </c>
      <c r="AG81" s="243">
        <v>0</v>
      </c>
      <c r="AH81" s="243">
        <v>0</v>
      </c>
      <c r="AI81" s="243">
        <v>0</v>
      </c>
      <c r="AJ81" s="243">
        <v>0</v>
      </c>
      <c r="AK81" s="243">
        <v>0</v>
      </c>
      <c r="AL81" s="254">
        <f t="shared" si="7"/>
        <v>0</v>
      </c>
    </row>
    <row r="82" spans="1:38" ht="14.4" customHeight="1">
      <c r="A82" s="506"/>
      <c r="B82" s="252" t="s">
        <v>379</v>
      </c>
      <c r="C82" s="243">
        <v>0</v>
      </c>
      <c r="D82" s="243">
        <v>0</v>
      </c>
      <c r="E82" s="243">
        <v>0</v>
      </c>
      <c r="F82" s="243">
        <v>0</v>
      </c>
      <c r="G82" s="243">
        <v>0</v>
      </c>
      <c r="H82" s="243">
        <v>0</v>
      </c>
      <c r="I82" s="243">
        <v>0</v>
      </c>
      <c r="J82" s="243">
        <v>0</v>
      </c>
      <c r="K82" s="243">
        <v>0</v>
      </c>
      <c r="L82" s="243">
        <v>0</v>
      </c>
      <c r="M82" s="243">
        <v>0</v>
      </c>
      <c r="N82" s="243">
        <v>0</v>
      </c>
      <c r="O82" s="243">
        <v>0</v>
      </c>
      <c r="P82" s="243">
        <v>0</v>
      </c>
      <c r="Q82" s="243">
        <v>0</v>
      </c>
      <c r="R82" s="254">
        <f t="shared" si="6"/>
        <v>0</v>
      </c>
      <c r="U82" s="506"/>
      <c r="V82" s="252" t="s">
        <v>379</v>
      </c>
      <c r="W82" s="243">
        <v>0</v>
      </c>
      <c r="X82" s="243">
        <v>0</v>
      </c>
      <c r="Y82" s="243">
        <v>0</v>
      </c>
      <c r="Z82" s="243">
        <v>0</v>
      </c>
      <c r="AA82" s="243">
        <v>0</v>
      </c>
      <c r="AB82" s="243">
        <v>0</v>
      </c>
      <c r="AC82" s="243">
        <v>0</v>
      </c>
      <c r="AD82" s="243">
        <v>0</v>
      </c>
      <c r="AE82" s="243">
        <v>0</v>
      </c>
      <c r="AF82" s="243">
        <v>0</v>
      </c>
      <c r="AG82" s="243">
        <v>0</v>
      </c>
      <c r="AH82" s="243">
        <v>0</v>
      </c>
      <c r="AI82" s="243">
        <v>0</v>
      </c>
      <c r="AJ82" s="243">
        <v>0</v>
      </c>
      <c r="AK82" s="243">
        <v>0</v>
      </c>
      <c r="AL82" s="254">
        <f t="shared" si="7"/>
        <v>0</v>
      </c>
    </row>
    <row r="83" spans="1:38" ht="14.4" customHeight="1">
      <c r="A83" s="506"/>
      <c r="B83" s="252" t="s">
        <v>380</v>
      </c>
      <c r="C83" s="243">
        <v>0</v>
      </c>
      <c r="D83" s="243">
        <v>0</v>
      </c>
      <c r="E83" s="243">
        <v>0</v>
      </c>
      <c r="F83" s="243">
        <v>0</v>
      </c>
      <c r="G83" s="243">
        <v>0</v>
      </c>
      <c r="H83" s="243">
        <v>0</v>
      </c>
      <c r="I83" s="243">
        <v>0</v>
      </c>
      <c r="J83" s="243">
        <v>0</v>
      </c>
      <c r="K83" s="243">
        <v>0</v>
      </c>
      <c r="L83" s="243">
        <v>0</v>
      </c>
      <c r="M83" s="243">
        <v>0</v>
      </c>
      <c r="N83" s="243">
        <v>0</v>
      </c>
      <c r="O83" s="243">
        <v>0</v>
      </c>
      <c r="P83" s="243">
        <v>0</v>
      </c>
      <c r="Q83" s="243">
        <v>0</v>
      </c>
      <c r="R83" s="254">
        <f t="shared" si="6"/>
        <v>0</v>
      </c>
      <c r="U83" s="506"/>
      <c r="V83" s="252" t="s">
        <v>380</v>
      </c>
      <c r="W83" s="243">
        <v>0</v>
      </c>
      <c r="X83" s="243">
        <v>0</v>
      </c>
      <c r="Y83" s="243">
        <v>0</v>
      </c>
      <c r="Z83" s="243">
        <v>0</v>
      </c>
      <c r="AA83" s="243">
        <v>0</v>
      </c>
      <c r="AB83" s="243">
        <v>0</v>
      </c>
      <c r="AC83" s="243">
        <v>0</v>
      </c>
      <c r="AD83" s="243">
        <v>0</v>
      </c>
      <c r="AE83" s="243">
        <v>0</v>
      </c>
      <c r="AF83" s="243">
        <v>0</v>
      </c>
      <c r="AG83" s="243">
        <v>0</v>
      </c>
      <c r="AH83" s="243">
        <v>0</v>
      </c>
      <c r="AI83" s="243">
        <v>0</v>
      </c>
      <c r="AJ83" s="243">
        <v>0</v>
      </c>
      <c r="AK83" s="243">
        <v>0</v>
      </c>
      <c r="AL83" s="254">
        <f t="shared" si="7"/>
        <v>0</v>
      </c>
    </row>
    <row r="84" spans="1:38" ht="14.4" customHeight="1">
      <c r="A84" s="506"/>
      <c r="B84" s="252" t="s">
        <v>381</v>
      </c>
      <c r="C84" s="243">
        <v>0</v>
      </c>
      <c r="D84" s="243">
        <v>0</v>
      </c>
      <c r="E84" s="243">
        <v>0</v>
      </c>
      <c r="F84" s="243">
        <v>0</v>
      </c>
      <c r="G84" s="243">
        <v>0</v>
      </c>
      <c r="H84" s="243">
        <v>0</v>
      </c>
      <c r="I84" s="243">
        <v>0</v>
      </c>
      <c r="J84" s="243">
        <v>0</v>
      </c>
      <c r="K84" s="243">
        <v>0</v>
      </c>
      <c r="L84" s="243">
        <v>0</v>
      </c>
      <c r="M84" s="243">
        <v>0</v>
      </c>
      <c r="N84" s="243">
        <v>0</v>
      </c>
      <c r="O84" s="243">
        <v>0</v>
      </c>
      <c r="P84" s="243">
        <v>0</v>
      </c>
      <c r="Q84" s="243">
        <v>0</v>
      </c>
      <c r="R84" s="254">
        <f t="shared" si="6"/>
        <v>0</v>
      </c>
      <c r="U84" s="506"/>
      <c r="V84" s="252" t="s">
        <v>381</v>
      </c>
      <c r="W84" s="243">
        <v>0</v>
      </c>
      <c r="X84" s="243">
        <v>0</v>
      </c>
      <c r="Y84" s="243">
        <v>0</v>
      </c>
      <c r="Z84" s="243">
        <v>0</v>
      </c>
      <c r="AA84" s="243">
        <v>0</v>
      </c>
      <c r="AB84" s="243">
        <v>0</v>
      </c>
      <c r="AC84" s="243">
        <v>0</v>
      </c>
      <c r="AD84" s="243">
        <v>0</v>
      </c>
      <c r="AE84" s="243">
        <v>0</v>
      </c>
      <c r="AF84" s="243">
        <v>0</v>
      </c>
      <c r="AG84" s="243">
        <v>0</v>
      </c>
      <c r="AH84" s="243">
        <v>0</v>
      </c>
      <c r="AI84" s="243">
        <v>0</v>
      </c>
      <c r="AJ84" s="243">
        <v>0</v>
      </c>
      <c r="AK84" s="243">
        <v>0</v>
      </c>
      <c r="AL84" s="254">
        <f t="shared" si="7"/>
        <v>0</v>
      </c>
    </row>
    <row r="85" spans="1:38" ht="14.4" customHeight="1">
      <c r="A85" s="506"/>
      <c r="B85" s="252" t="s">
        <v>37</v>
      </c>
      <c r="C85" s="243">
        <v>0</v>
      </c>
      <c r="D85" s="243">
        <v>0</v>
      </c>
      <c r="E85" s="243">
        <v>0</v>
      </c>
      <c r="F85" s="243">
        <v>0</v>
      </c>
      <c r="G85" s="243">
        <v>0</v>
      </c>
      <c r="H85" s="243">
        <v>0</v>
      </c>
      <c r="I85" s="243">
        <v>0</v>
      </c>
      <c r="J85" s="243">
        <v>0</v>
      </c>
      <c r="K85" s="243">
        <v>0</v>
      </c>
      <c r="L85" s="243">
        <v>0</v>
      </c>
      <c r="M85" s="243">
        <v>0</v>
      </c>
      <c r="N85" s="243">
        <v>0</v>
      </c>
      <c r="O85" s="243">
        <v>0</v>
      </c>
      <c r="P85" s="243">
        <v>0</v>
      </c>
      <c r="Q85" s="243">
        <v>0</v>
      </c>
      <c r="R85" s="254">
        <f t="shared" si="6"/>
        <v>0</v>
      </c>
      <c r="U85" s="506"/>
      <c r="V85" s="252" t="s">
        <v>37</v>
      </c>
      <c r="W85" s="243">
        <v>0</v>
      </c>
      <c r="X85" s="243">
        <v>0</v>
      </c>
      <c r="Y85" s="243">
        <v>0</v>
      </c>
      <c r="Z85" s="243">
        <v>0</v>
      </c>
      <c r="AA85" s="243">
        <v>0</v>
      </c>
      <c r="AB85" s="243">
        <v>0</v>
      </c>
      <c r="AC85" s="243">
        <v>0</v>
      </c>
      <c r="AD85" s="243">
        <v>0</v>
      </c>
      <c r="AE85" s="243">
        <v>0</v>
      </c>
      <c r="AF85" s="243">
        <v>0</v>
      </c>
      <c r="AG85" s="243">
        <v>0</v>
      </c>
      <c r="AH85" s="243">
        <v>0</v>
      </c>
      <c r="AI85" s="243">
        <v>0</v>
      </c>
      <c r="AJ85" s="243">
        <v>0</v>
      </c>
      <c r="AK85" s="243">
        <v>0</v>
      </c>
      <c r="AL85" s="254">
        <f t="shared" si="7"/>
        <v>0</v>
      </c>
    </row>
    <row r="86" spans="1:38" ht="14.4" customHeight="1">
      <c r="A86" s="506"/>
      <c r="B86" s="252" t="s">
        <v>38</v>
      </c>
      <c r="C86" s="243">
        <v>0</v>
      </c>
      <c r="D86" s="243">
        <v>0</v>
      </c>
      <c r="E86" s="243">
        <v>0</v>
      </c>
      <c r="F86" s="243">
        <v>0</v>
      </c>
      <c r="G86" s="243">
        <v>0</v>
      </c>
      <c r="H86" s="243">
        <v>0</v>
      </c>
      <c r="I86" s="243">
        <v>0</v>
      </c>
      <c r="J86" s="243">
        <v>0</v>
      </c>
      <c r="K86" s="243">
        <v>0</v>
      </c>
      <c r="L86" s="243">
        <v>0</v>
      </c>
      <c r="M86" s="243">
        <v>0</v>
      </c>
      <c r="N86" s="243">
        <v>0</v>
      </c>
      <c r="O86" s="243">
        <f>O77*$F$17</f>
        <v>4.6446175239978986</v>
      </c>
      <c r="P86" s="243">
        <v>0</v>
      </c>
      <c r="Q86" s="243">
        <v>0</v>
      </c>
      <c r="R86" s="254">
        <f t="shared" si="6"/>
        <v>4.6446175239978986</v>
      </c>
      <c r="U86" s="506"/>
      <c r="V86" s="252" t="s">
        <v>38</v>
      </c>
      <c r="W86" s="243">
        <v>0</v>
      </c>
      <c r="X86" s="243">
        <v>0</v>
      </c>
      <c r="Y86" s="243">
        <v>0</v>
      </c>
      <c r="Z86" s="243">
        <v>0</v>
      </c>
      <c r="AA86" s="243">
        <v>0</v>
      </c>
      <c r="AB86" s="243">
        <v>0</v>
      </c>
      <c r="AC86" s="243">
        <v>0</v>
      </c>
      <c r="AD86" s="243">
        <v>0</v>
      </c>
      <c r="AE86" s="243">
        <v>0</v>
      </c>
      <c r="AF86" s="243">
        <v>0</v>
      </c>
      <c r="AG86" s="243">
        <v>0</v>
      </c>
      <c r="AH86" s="243">
        <v>0</v>
      </c>
      <c r="AI86" s="243">
        <f>AI77*$F$17</f>
        <v>4.3078838728376905</v>
      </c>
      <c r="AJ86" s="243">
        <v>0</v>
      </c>
      <c r="AK86" s="243">
        <v>0</v>
      </c>
      <c r="AL86" s="254">
        <f t="shared" si="7"/>
        <v>4.3078838728376905</v>
      </c>
    </row>
    <row r="87" spans="1:38" ht="14.4" customHeight="1">
      <c r="A87" s="506"/>
      <c r="B87" s="252" t="s">
        <v>39</v>
      </c>
      <c r="C87" s="243">
        <v>0</v>
      </c>
      <c r="D87" s="243">
        <v>0</v>
      </c>
      <c r="E87" s="243">
        <v>0</v>
      </c>
      <c r="F87" s="243">
        <v>0</v>
      </c>
      <c r="G87" s="243">
        <v>0</v>
      </c>
      <c r="H87" s="243">
        <v>0</v>
      </c>
      <c r="I87" s="243">
        <v>0</v>
      </c>
      <c r="J87" s="243">
        <v>0</v>
      </c>
      <c r="K87" s="243">
        <v>0</v>
      </c>
      <c r="L87" s="243">
        <v>0</v>
      </c>
      <c r="M87" s="243">
        <v>0</v>
      </c>
      <c r="N87" s="243">
        <v>0</v>
      </c>
      <c r="O87" s="243">
        <f>O77*$F$18</f>
        <v>44.216924061112458</v>
      </c>
      <c r="P87" s="243">
        <f>P78*$R$18</f>
        <v>0</v>
      </c>
      <c r="Q87" s="243">
        <v>0</v>
      </c>
      <c r="R87" s="254">
        <f t="shared" si="6"/>
        <v>44.216924061112458</v>
      </c>
      <c r="S87" s="259">
        <f>R98+R88</f>
        <v>3447.2032334079931</v>
      </c>
      <c r="U87" s="506"/>
      <c r="V87" s="252" t="s">
        <v>39</v>
      </c>
      <c r="W87" s="243">
        <v>0</v>
      </c>
      <c r="X87" s="243">
        <v>0</v>
      </c>
      <c r="Y87" s="243">
        <v>0</v>
      </c>
      <c r="Z87" s="243">
        <v>0</v>
      </c>
      <c r="AA87" s="243">
        <v>0</v>
      </c>
      <c r="AB87" s="243">
        <v>0</v>
      </c>
      <c r="AC87" s="243">
        <v>0</v>
      </c>
      <c r="AD87" s="243">
        <v>0</v>
      </c>
      <c r="AE87" s="243">
        <v>0</v>
      </c>
      <c r="AF87" s="243">
        <v>0</v>
      </c>
      <c r="AG87" s="243">
        <v>0</v>
      </c>
      <c r="AH87" s="243">
        <v>0</v>
      </c>
      <c r="AI87" s="243">
        <f>AI77*$F$18</f>
        <v>41.011207722739798</v>
      </c>
      <c r="AJ87" s="243">
        <f>AJ78*$R$18</f>
        <v>0</v>
      </c>
      <c r="AK87" s="243">
        <v>0</v>
      </c>
      <c r="AL87" s="254">
        <f t="shared" si="7"/>
        <v>41.011207722739798</v>
      </c>
    </row>
    <row r="88" spans="1:38" ht="14.4" customHeight="1">
      <c r="A88" s="506"/>
      <c r="B88" s="247" t="s">
        <v>40</v>
      </c>
      <c r="C88" s="248">
        <f>SUM(C76:C87)</f>
        <v>0</v>
      </c>
      <c r="D88" s="248">
        <f t="shared" ref="D88:Q88" si="10">SUM(D76:D87)</f>
        <v>0</v>
      </c>
      <c r="E88" s="248">
        <f t="shared" si="10"/>
        <v>1076.9036859926202</v>
      </c>
      <c r="F88" s="248">
        <f t="shared" si="10"/>
        <v>0</v>
      </c>
      <c r="G88" s="248">
        <f t="shared" si="10"/>
        <v>0</v>
      </c>
      <c r="H88" s="248">
        <f t="shared" si="10"/>
        <v>247.77734469657912</v>
      </c>
      <c r="I88" s="248">
        <f t="shared" si="10"/>
        <v>0</v>
      </c>
      <c r="J88" s="248">
        <f t="shared" si="10"/>
        <v>0</v>
      </c>
      <c r="K88" s="248">
        <f t="shared" si="10"/>
        <v>0</v>
      </c>
      <c r="L88" s="248">
        <f t="shared" si="10"/>
        <v>0</v>
      </c>
      <c r="M88" s="248">
        <f t="shared" si="10"/>
        <v>0</v>
      </c>
      <c r="N88" s="248">
        <f t="shared" si="10"/>
        <v>0</v>
      </c>
      <c r="O88" s="248">
        <f>-O98</f>
        <v>-672.75342494822166</v>
      </c>
      <c r="P88" s="248">
        <f>-P90</f>
        <v>0</v>
      </c>
      <c r="Q88" s="248">
        <f t="shared" si="10"/>
        <v>0</v>
      </c>
      <c r="R88" s="248">
        <f t="shared" si="6"/>
        <v>651.9276057409777</v>
      </c>
      <c r="U88" s="506"/>
      <c r="V88" s="247" t="s">
        <v>40</v>
      </c>
      <c r="W88" s="248">
        <f t="shared" ref="W88:AH88" si="11">SUM(W76:W87)</f>
        <v>0</v>
      </c>
      <c r="X88" s="248">
        <f t="shared" si="11"/>
        <v>0</v>
      </c>
      <c r="Y88" s="248">
        <f t="shared" si="11"/>
        <v>961.8054642575496</v>
      </c>
      <c r="Z88" s="248">
        <f t="shared" si="11"/>
        <v>0</v>
      </c>
      <c r="AA88" s="248">
        <f t="shared" si="11"/>
        <v>0</v>
      </c>
      <c r="AB88" s="248">
        <f t="shared" si="11"/>
        <v>232.43396397158202</v>
      </c>
      <c r="AC88" s="248">
        <f t="shared" si="11"/>
        <v>34.174217800916558</v>
      </c>
      <c r="AD88" s="248">
        <f t="shared" si="11"/>
        <v>0</v>
      </c>
      <c r="AE88" s="248">
        <f t="shared" si="11"/>
        <v>0</v>
      </c>
      <c r="AF88" s="248">
        <f t="shared" si="11"/>
        <v>0</v>
      </c>
      <c r="AG88" s="248">
        <f t="shared" si="11"/>
        <v>0</v>
      </c>
      <c r="AH88" s="248">
        <f t="shared" si="11"/>
        <v>0</v>
      </c>
      <c r="AI88" s="248">
        <f>-AI98</f>
        <v>-623.978963769693</v>
      </c>
      <c r="AJ88" s="248">
        <f>-AJ90</f>
        <v>0</v>
      </c>
      <c r="AK88" s="248">
        <f>SUM(AK76:AK87)</f>
        <v>0</v>
      </c>
      <c r="AL88" s="248">
        <f t="shared" si="7"/>
        <v>604.43468226035509</v>
      </c>
    </row>
    <row r="89" spans="1:38" ht="14.4" customHeight="1">
      <c r="A89" s="506"/>
      <c r="B89" s="249"/>
      <c r="C89" s="250"/>
      <c r="D89" s="250"/>
      <c r="E89" s="257"/>
      <c r="F89" s="250"/>
      <c r="G89" s="250"/>
      <c r="H89" s="250"/>
      <c r="I89" s="257"/>
      <c r="J89" s="250"/>
      <c r="K89" s="250"/>
      <c r="L89" s="250"/>
      <c r="M89" s="258"/>
      <c r="N89" s="250"/>
      <c r="O89" s="250"/>
      <c r="P89" s="250"/>
      <c r="Q89" s="250"/>
      <c r="R89" s="250"/>
      <c r="U89" s="506"/>
      <c r="V89" s="249"/>
      <c r="W89" s="250"/>
      <c r="X89" s="250"/>
      <c r="Y89" s="257"/>
      <c r="Z89" s="250"/>
      <c r="AA89" s="250"/>
      <c r="AB89" s="250"/>
      <c r="AC89" s="257"/>
      <c r="AD89" s="250"/>
      <c r="AE89" s="250"/>
      <c r="AF89" s="250"/>
      <c r="AG89" s="258"/>
      <c r="AH89" s="250"/>
      <c r="AI89" s="250"/>
      <c r="AJ89" s="250"/>
      <c r="AK89" s="250"/>
      <c r="AL89" s="250"/>
    </row>
    <row r="90" spans="1:38" ht="14.4" customHeight="1">
      <c r="A90" s="506"/>
      <c r="B90" s="252" t="s">
        <v>41</v>
      </c>
      <c r="C90" s="243">
        <v>0</v>
      </c>
      <c r="D90" s="243">
        <v>0</v>
      </c>
      <c r="E90" s="243">
        <f>Industrie!$D$35</f>
        <v>0</v>
      </c>
      <c r="F90" s="243">
        <v>0</v>
      </c>
      <c r="G90" s="243">
        <v>0</v>
      </c>
      <c r="H90" s="243">
        <v>0</v>
      </c>
      <c r="I90" s="243">
        <v>0</v>
      </c>
      <c r="J90" s="243">
        <v>0</v>
      </c>
      <c r="K90" s="243">
        <v>0</v>
      </c>
      <c r="L90" s="243">
        <v>0</v>
      </c>
      <c r="M90" s="243">
        <v>0</v>
      </c>
      <c r="N90" s="243">
        <v>0</v>
      </c>
      <c r="O90" s="243">
        <f>Industrie!$D$36</f>
        <v>309.37554451055951</v>
      </c>
      <c r="P90" s="243">
        <f>Industrie!$D$39</f>
        <v>0</v>
      </c>
      <c r="Q90" s="243">
        <v>0</v>
      </c>
      <c r="R90" s="254">
        <f>SUM(C90:Q90)</f>
        <v>309.37554451055951</v>
      </c>
      <c r="U90" s="506"/>
      <c r="V90" s="252" t="s">
        <v>41</v>
      </c>
      <c r="W90" s="243">
        <v>0</v>
      </c>
      <c r="X90" s="243">
        <v>0</v>
      </c>
      <c r="Y90" s="243">
        <f>Industrie!$D$56</f>
        <v>0</v>
      </c>
      <c r="Z90" s="243">
        <v>0</v>
      </c>
      <c r="AA90" s="243">
        <v>0</v>
      </c>
      <c r="AB90" s="243">
        <v>0</v>
      </c>
      <c r="AC90" s="243">
        <f>Industrie!$D$62*$V$13/SUM($V$13:$AA$13)</f>
        <v>0</v>
      </c>
      <c r="AD90" s="243">
        <f>Industrie!$D$62*$W$13/SUM($V$13:$AA$13)</f>
        <v>0</v>
      </c>
      <c r="AE90" s="243">
        <f>Industrie!$D$62*$X$13/SUM($V$13:$AA$13)</f>
        <v>0</v>
      </c>
      <c r="AF90" s="243">
        <f>Industrie!$D$62*$Y$13/SUM($V$13:$AA$13)</f>
        <v>0</v>
      </c>
      <c r="AG90" s="243">
        <f>Industrie!$D$62*$Z$13/SUM($V$13:$AA$13)</f>
        <v>0</v>
      </c>
      <c r="AH90" s="243">
        <f>Industrie!$D$62*$AA$13/SUM($V$13:$AA$13)</f>
        <v>0</v>
      </c>
      <c r="AI90" s="243">
        <f>Industrie!$D$57</f>
        <v>293.70831572035564</v>
      </c>
      <c r="AJ90" s="243">
        <f>Industrie!$D$63</f>
        <v>0</v>
      </c>
      <c r="AK90" s="243">
        <v>0</v>
      </c>
      <c r="AL90" s="254">
        <f>SUM(W90:AK90)</f>
        <v>293.70831572035564</v>
      </c>
    </row>
    <row r="91" spans="1:38" ht="14.4" customHeight="1">
      <c r="A91" s="506"/>
      <c r="B91" s="252" t="s">
        <v>42</v>
      </c>
      <c r="C91" s="243">
        <v>0</v>
      </c>
      <c r="D91" s="243">
        <v>0</v>
      </c>
      <c r="E91" s="243">
        <f>Transports!$F$49+Transports!$D$106+Transports!$D$203</f>
        <v>1853.7917053453662</v>
      </c>
      <c r="F91" s="243">
        <v>0</v>
      </c>
      <c r="G91" s="243">
        <v>0</v>
      </c>
      <c r="H91" s="243">
        <v>0</v>
      </c>
      <c r="I91" s="243">
        <v>0</v>
      </c>
      <c r="J91" s="243">
        <v>0</v>
      </c>
      <c r="K91" s="243">
        <v>0</v>
      </c>
      <c r="L91" s="243">
        <v>0</v>
      </c>
      <c r="M91" s="243">
        <v>0</v>
      </c>
      <c r="N91" s="243">
        <v>0</v>
      </c>
      <c r="O91" s="243">
        <f>Transports!$F$50+Transports!D107</f>
        <v>8.0839137126183829</v>
      </c>
      <c r="P91" s="243">
        <v>0</v>
      </c>
      <c r="Q91" s="243">
        <v>0</v>
      </c>
      <c r="R91" s="254">
        <f t="shared" ref="R91:R98" si="12">SUM(C91:Q91)</f>
        <v>1861.8756190579845</v>
      </c>
      <c r="U91" s="506"/>
      <c r="V91" s="252" t="s">
        <v>42</v>
      </c>
      <c r="W91" s="243">
        <v>0</v>
      </c>
      <c r="X91" s="243">
        <v>0</v>
      </c>
      <c r="Y91" s="243">
        <f>Transports!$F$76+Transports!$D$150+Transports!$D$238</f>
        <v>1847.9681339516117</v>
      </c>
      <c r="Z91" s="243">
        <v>0</v>
      </c>
      <c r="AA91" s="243">
        <v>0</v>
      </c>
      <c r="AB91" s="243">
        <v>0</v>
      </c>
      <c r="AC91" s="243">
        <v>0</v>
      </c>
      <c r="AD91" s="243">
        <v>0</v>
      </c>
      <c r="AE91" s="243">
        <f>Transports!$D$236+Transports!$D$237</f>
        <v>0</v>
      </c>
      <c r="AF91" s="243">
        <v>0</v>
      </c>
      <c r="AG91" s="243">
        <v>0</v>
      </c>
      <c r="AH91" s="243">
        <v>0</v>
      </c>
      <c r="AI91" s="243">
        <f>Transports!$F$77+Transports!$D$151</f>
        <v>28.051602716003956</v>
      </c>
      <c r="AJ91" s="243">
        <v>0</v>
      </c>
      <c r="AK91" s="243">
        <v>0</v>
      </c>
      <c r="AL91" s="254">
        <f t="shared" ref="AL91:AL98" si="13">SUM(W91:AK91)</f>
        <v>1876.0197366676157</v>
      </c>
    </row>
    <row r="92" spans="1:38" ht="14.4" customHeight="1">
      <c r="A92" s="506"/>
      <c r="B92" s="252" t="s">
        <v>43</v>
      </c>
      <c r="C92" s="243">
        <v>0</v>
      </c>
      <c r="D92" s="243">
        <v>0</v>
      </c>
      <c r="E92" s="243">
        <f>'Résidentiel-tertiaire'!$D$172</f>
        <v>89.760788091068306</v>
      </c>
      <c r="F92" s="243">
        <v>0</v>
      </c>
      <c r="G92" s="243">
        <v>0</v>
      </c>
      <c r="H92" s="243">
        <v>0</v>
      </c>
      <c r="I92" s="243">
        <f>'Résidentiel-tertiaire'!$D$173*$I$51/SUM($I$51:$N$51)</f>
        <v>0</v>
      </c>
      <c r="J92" s="243">
        <f>'Résidentiel-tertiaire'!$D$173*$J$51/SUM($I$51:$N$51)</f>
        <v>0</v>
      </c>
      <c r="K92" s="243">
        <f>'Résidentiel-tertiaire'!$D$173*$K$51/SUM($I$51:$N$51)</f>
        <v>0</v>
      </c>
      <c r="L92" s="243">
        <f>'Résidentiel-tertiaire'!$D$173*$L$51/SUM($I$51:$N$51)</f>
        <v>0</v>
      </c>
      <c r="M92" s="243">
        <f>'Résidentiel-tertiaire'!$D$173*$M$51/SUM($I$51:$N$51)</f>
        <v>0</v>
      </c>
      <c r="N92" s="243">
        <f>'Résidentiel-tertiaire'!$D$173*$N$51/SUM($I$51:$N$51)</f>
        <v>21.864807355516639</v>
      </c>
      <c r="O92" s="243">
        <f>'Résidentiel-tertiaire'!$D$174</f>
        <v>240.51288091068304</v>
      </c>
      <c r="P92" s="243">
        <v>0</v>
      </c>
      <c r="Q92" s="243">
        <v>0</v>
      </c>
      <c r="R92" s="254">
        <f t="shared" si="12"/>
        <v>352.13847635726802</v>
      </c>
      <c r="U92" s="506"/>
      <c r="V92" s="252" t="s">
        <v>43</v>
      </c>
      <c r="W92" s="243">
        <v>0</v>
      </c>
      <c r="X92" s="243">
        <v>0</v>
      </c>
      <c r="Y92" s="243">
        <f>'Résidentiel-tertiaire'!$D$187</f>
        <v>75.594999999999999</v>
      </c>
      <c r="Z92" s="243">
        <v>0</v>
      </c>
      <c r="AA92" s="243">
        <v>0</v>
      </c>
      <c r="AB92" s="243">
        <v>0</v>
      </c>
      <c r="AC92" s="243">
        <f>'Résidentiel-tertiaire'!$D$188*$V$14/SUM($V$14:$AA$14)</f>
        <v>0</v>
      </c>
      <c r="AD92" s="243">
        <f>'Résidentiel-tertiaire'!$D$188*$W$14/SUM($V$14:$AA$14)</f>
        <v>0</v>
      </c>
      <c r="AE92" s="243">
        <f>'Résidentiel-tertiaire'!$D$188*$X$14/SUM($V$14:$AA$14)</f>
        <v>0</v>
      </c>
      <c r="AF92" s="243">
        <f>'Résidentiel-tertiaire'!$D$188*$Y$14/SUM($V$14:$AA$14)</f>
        <v>0</v>
      </c>
      <c r="AG92" s="243">
        <f>'Résidentiel-tertiaire'!$D$188*$Z$14/SUM($V$14:$AA$14)</f>
        <v>0</v>
      </c>
      <c r="AH92" s="243">
        <f>'Résidentiel-tertiaire'!$D$188*$AA$14/SUM($V$14:$AA$14)</f>
        <v>46.473480000000002</v>
      </c>
      <c r="AI92" s="243">
        <f>'Résidentiel-tertiaire'!$D$189</f>
        <v>193.95118400000004</v>
      </c>
      <c r="AJ92" s="243">
        <v>0</v>
      </c>
      <c r="AK92" s="243">
        <v>0</v>
      </c>
      <c r="AL92" s="254">
        <f t="shared" si="13"/>
        <v>316.01966400000003</v>
      </c>
    </row>
    <row r="93" spans="1:38" ht="14.4" customHeight="1">
      <c r="A93" s="506"/>
      <c r="B93" s="252" t="s">
        <v>44</v>
      </c>
      <c r="C93" s="243">
        <v>0</v>
      </c>
      <c r="D93" s="243">
        <v>0</v>
      </c>
      <c r="E93" s="243">
        <f>'Résidentiel-tertiaire'!$D$177</f>
        <v>39.126497373029771</v>
      </c>
      <c r="F93" s="243">
        <v>0</v>
      </c>
      <c r="G93" s="243">
        <v>0</v>
      </c>
      <c r="H93" s="243">
        <v>0</v>
      </c>
      <c r="I93" s="243">
        <v>0</v>
      </c>
      <c r="J93" s="243">
        <v>0</v>
      </c>
      <c r="K93" s="243">
        <v>0</v>
      </c>
      <c r="L93" s="243">
        <v>0</v>
      </c>
      <c r="M93" s="243">
        <v>0</v>
      </c>
      <c r="N93" s="243">
        <v>0</v>
      </c>
      <c r="O93" s="243">
        <f>'Résidentiel-tertiaire'!$D$180</f>
        <v>114.78108581436078</v>
      </c>
      <c r="P93" s="243">
        <v>0</v>
      </c>
      <c r="Q93" s="243">
        <v>0</v>
      </c>
      <c r="R93" s="254">
        <f t="shared" si="12"/>
        <v>153.90758318739054</v>
      </c>
      <c r="U93" s="506"/>
      <c r="V93" s="252" t="s">
        <v>44</v>
      </c>
      <c r="W93" s="243">
        <v>0</v>
      </c>
      <c r="X93" s="243">
        <v>0</v>
      </c>
      <c r="Y93" s="243">
        <f>'Résidentiel-tertiaire'!$D$192</f>
        <v>32.951666666666668</v>
      </c>
      <c r="Z93" s="243">
        <v>0</v>
      </c>
      <c r="AA93" s="243">
        <v>0</v>
      </c>
      <c r="AB93" s="243">
        <v>0</v>
      </c>
      <c r="AC93" s="243">
        <f>'Résidentiel-tertiaire'!$D$193*$V$15/SUM($V$15:$AA$15)</f>
        <v>0</v>
      </c>
      <c r="AD93" s="243">
        <f>'Résidentiel-tertiaire'!$D$193*$W$15/SUM($V$15:$AA$15)</f>
        <v>0</v>
      </c>
      <c r="AE93" s="243">
        <f>'Résidentiel-tertiaire'!$D$193*$X$15/SUM($V$15:$AA$15)</f>
        <v>0</v>
      </c>
      <c r="AF93" s="243">
        <f>'Résidentiel-tertiaire'!$D$193*$Y$15/SUM($V$15:$AA$15)</f>
        <v>0</v>
      </c>
      <c r="AG93" s="243">
        <f>'Résidentiel-tertiaire'!$D$193*$Z$15/SUM($V$15:$AA$15)</f>
        <v>0</v>
      </c>
      <c r="AH93" s="243">
        <f>'Résidentiel-tertiaire'!$D$193*$AA$15/SUM($V$15:$AA$15)</f>
        <v>0</v>
      </c>
      <c r="AI93" s="243">
        <f>'Résidentiel-tertiaire'!$D$194</f>
        <v>108.26786133333333</v>
      </c>
      <c r="AJ93" s="243">
        <v>0</v>
      </c>
      <c r="AK93" s="243">
        <v>0</v>
      </c>
      <c r="AL93" s="254">
        <f t="shared" si="13"/>
        <v>141.219528</v>
      </c>
    </row>
    <row r="94" spans="1:38" ht="14.4" customHeight="1">
      <c r="A94" s="506"/>
      <c r="B94" s="252" t="s">
        <v>4</v>
      </c>
      <c r="C94" s="243">
        <v>0</v>
      </c>
      <c r="D94" s="243">
        <v>0</v>
      </c>
      <c r="E94" s="243">
        <f>Agriculture!$J$27</f>
        <v>117.97840455381264</v>
      </c>
      <c r="F94" s="243">
        <v>0</v>
      </c>
      <c r="G94" s="243">
        <v>0</v>
      </c>
      <c r="H94" s="243">
        <v>0</v>
      </c>
      <c r="I94" s="243">
        <v>0</v>
      </c>
      <c r="J94" s="243">
        <v>0</v>
      </c>
      <c r="K94" s="243">
        <v>0</v>
      </c>
      <c r="L94" s="243">
        <v>0</v>
      </c>
      <c r="M94" s="243">
        <v>0</v>
      </c>
      <c r="N94" s="243">
        <v>0</v>
      </c>
      <c r="O94" s="243">
        <f>Agriculture!$J$28</f>
        <v>0</v>
      </c>
      <c r="P94" s="243">
        <v>0</v>
      </c>
      <c r="Q94" s="243">
        <v>0</v>
      </c>
      <c r="R94" s="254">
        <f t="shared" si="12"/>
        <v>117.97840455381264</v>
      </c>
      <c r="U94" s="506"/>
      <c r="V94" s="252" t="s">
        <v>4</v>
      </c>
      <c r="W94" s="243">
        <v>0</v>
      </c>
      <c r="X94" s="243">
        <v>0</v>
      </c>
      <c r="Y94" s="243">
        <f>Agriculture!$M$43</f>
        <v>102.23145161290323</v>
      </c>
      <c r="Z94" s="243">
        <v>0</v>
      </c>
      <c r="AA94" s="243">
        <v>0</v>
      </c>
      <c r="AB94" s="243">
        <v>0</v>
      </c>
      <c r="AC94" s="243">
        <v>0</v>
      </c>
      <c r="AD94" s="243">
        <v>0</v>
      </c>
      <c r="AE94" s="243">
        <f>Agriculture!$M$45</f>
        <v>33.785450129032263</v>
      </c>
      <c r="AF94" s="243">
        <v>0</v>
      </c>
      <c r="AG94" s="243">
        <v>0</v>
      </c>
      <c r="AH94" s="243">
        <v>0</v>
      </c>
      <c r="AI94" s="243">
        <f>Agriculture!$M$44</f>
        <v>0</v>
      </c>
      <c r="AJ94" s="243">
        <v>0</v>
      </c>
      <c r="AK94" s="243">
        <v>0</v>
      </c>
      <c r="AL94" s="254">
        <f t="shared" si="13"/>
        <v>136.0169017419355</v>
      </c>
    </row>
    <row r="95" spans="1:38" ht="14.4" customHeight="1">
      <c r="A95" s="506"/>
      <c r="B95" s="252" t="s">
        <v>382</v>
      </c>
      <c r="C95" s="243">
        <v>0</v>
      </c>
      <c r="D95" s="243">
        <v>0</v>
      </c>
      <c r="E95" s="243">
        <v>0</v>
      </c>
      <c r="F95" s="243">
        <v>0</v>
      </c>
      <c r="G95" s="243">
        <v>0</v>
      </c>
      <c r="H95" s="243">
        <v>0</v>
      </c>
      <c r="I95" s="243">
        <v>0</v>
      </c>
      <c r="J95" s="243">
        <v>0</v>
      </c>
      <c r="K95" s="243">
        <v>0</v>
      </c>
      <c r="L95" s="243">
        <v>0</v>
      </c>
      <c r="M95" s="243">
        <v>0</v>
      </c>
      <c r="N95" s="243">
        <v>0</v>
      </c>
      <c r="O95" s="243">
        <v>0</v>
      </c>
      <c r="P95" s="243">
        <v>0</v>
      </c>
      <c r="Q95" s="243">
        <v>0</v>
      </c>
      <c r="R95" s="254">
        <f t="shared" si="12"/>
        <v>0</v>
      </c>
      <c r="U95" s="506"/>
      <c r="V95" s="252" t="s">
        <v>382</v>
      </c>
      <c r="W95" s="243">
        <v>0</v>
      </c>
      <c r="X95" s="243">
        <v>0</v>
      </c>
      <c r="Y95" s="243">
        <v>0</v>
      </c>
      <c r="Z95" s="243">
        <v>0</v>
      </c>
      <c r="AA95" s="243">
        <v>0</v>
      </c>
      <c r="AB95" s="243">
        <v>0</v>
      </c>
      <c r="AC95" s="243">
        <v>0</v>
      </c>
      <c r="AD95" s="243">
        <v>0</v>
      </c>
      <c r="AE95" s="243">
        <v>0</v>
      </c>
      <c r="AF95" s="243">
        <v>0</v>
      </c>
      <c r="AG95" s="243">
        <v>0</v>
      </c>
      <c r="AH95" s="243">
        <v>0</v>
      </c>
      <c r="AI95" s="243">
        <v>0</v>
      </c>
      <c r="AJ95" s="243">
        <v>0</v>
      </c>
      <c r="AK95" s="243">
        <v>0</v>
      </c>
      <c r="AL95" s="254">
        <f t="shared" si="13"/>
        <v>0</v>
      </c>
    </row>
    <row r="96" spans="1:38" ht="14.4" customHeight="1">
      <c r="A96" s="506"/>
      <c r="B96" s="247" t="s">
        <v>45</v>
      </c>
      <c r="C96" s="248">
        <f>SUM(C90:C95)</f>
        <v>0</v>
      </c>
      <c r="D96" s="248">
        <f t="shared" ref="D96:Q96" si="14">SUM(D90:D95)</f>
        <v>0</v>
      </c>
      <c r="E96" s="248">
        <f t="shared" si="14"/>
        <v>2100.6573953632765</v>
      </c>
      <c r="F96" s="248">
        <f t="shared" si="14"/>
        <v>0</v>
      </c>
      <c r="G96" s="248">
        <f t="shared" si="14"/>
        <v>0</v>
      </c>
      <c r="H96" s="248">
        <f t="shared" si="14"/>
        <v>0</v>
      </c>
      <c r="I96" s="248">
        <f t="shared" si="14"/>
        <v>0</v>
      </c>
      <c r="J96" s="248">
        <f t="shared" si="14"/>
        <v>0</v>
      </c>
      <c r="K96" s="248">
        <f t="shared" si="14"/>
        <v>0</v>
      </c>
      <c r="L96" s="248">
        <f t="shared" si="14"/>
        <v>0</v>
      </c>
      <c r="M96" s="248">
        <f t="shared" si="14"/>
        <v>0</v>
      </c>
      <c r="N96" s="248">
        <f t="shared" si="14"/>
        <v>21.864807355516639</v>
      </c>
      <c r="O96" s="248">
        <f t="shared" si="14"/>
        <v>672.75342494822166</v>
      </c>
      <c r="P96" s="248">
        <f t="shared" si="14"/>
        <v>0</v>
      </c>
      <c r="Q96" s="248">
        <f t="shared" si="14"/>
        <v>0</v>
      </c>
      <c r="R96" s="248">
        <f t="shared" si="12"/>
        <v>2795.2756276670152</v>
      </c>
      <c r="U96" s="506"/>
      <c r="V96" s="247" t="s">
        <v>45</v>
      </c>
      <c r="W96" s="248">
        <f t="shared" ref="W96:AK96" si="15">SUM(W90:W95)</f>
        <v>0</v>
      </c>
      <c r="X96" s="248">
        <f t="shared" si="15"/>
        <v>0</v>
      </c>
      <c r="Y96" s="248">
        <f t="shared" si="15"/>
        <v>2058.7462522311816</v>
      </c>
      <c r="Z96" s="248">
        <f t="shared" si="15"/>
        <v>0</v>
      </c>
      <c r="AA96" s="248">
        <f t="shared" si="15"/>
        <v>0</v>
      </c>
      <c r="AB96" s="248">
        <f t="shared" si="15"/>
        <v>0</v>
      </c>
      <c r="AC96" s="248">
        <f t="shared" si="15"/>
        <v>0</v>
      </c>
      <c r="AD96" s="248">
        <f t="shared" si="15"/>
        <v>0</v>
      </c>
      <c r="AE96" s="248">
        <f t="shared" si="15"/>
        <v>33.785450129032263</v>
      </c>
      <c r="AF96" s="248">
        <f t="shared" si="15"/>
        <v>0</v>
      </c>
      <c r="AG96" s="248">
        <f t="shared" si="15"/>
        <v>0</v>
      </c>
      <c r="AH96" s="248">
        <f t="shared" si="15"/>
        <v>46.473480000000002</v>
      </c>
      <c r="AI96" s="248">
        <f t="shared" si="15"/>
        <v>623.978963769693</v>
      </c>
      <c r="AJ96" s="248">
        <f t="shared" si="15"/>
        <v>0</v>
      </c>
      <c r="AK96" s="248">
        <f t="shared" si="15"/>
        <v>0</v>
      </c>
      <c r="AL96" s="248">
        <f t="shared" si="13"/>
        <v>2762.984146129907</v>
      </c>
    </row>
    <row r="97" spans="1:38" ht="14.4" customHeight="1">
      <c r="A97" s="506"/>
      <c r="B97" s="242" t="s">
        <v>46</v>
      </c>
      <c r="C97" s="243">
        <v>0</v>
      </c>
      <c r="D97" s="243">
        <v>0</v>
      </c>
      <c r="E97" s="243">
        <f>Industrie!$D$37</f>
        <v>0</v>
      </c>
      <c r="F97" s="243">
        <v>0</v>
      </c>
      <c r="G97" s="243">
        <v>0</v>
      </c>
      <c r="H97" s="243">
        <v>0</v>
      </c>
      <c r="I97" s="243">
        <v>0</v>
      </c>
      <c r="J97" s="243">
        <v>0</v>
      </c>
      <c r="K97" s="243">
        <v>0</v>
      </c>
      <c r="L97" s="243">
        <v>0</v>
      </c>
      <c r="M97" s="243">
        <v>0</v>
      </c>
      <c r="N97" s="243">
        <v>0</v>
      </c>
      <c r="O97" s="243">
        <v>0</v>
      </c>
      <c r="P97" s="243">
        <v>0</v>
      </c>
      <c r="Q97" s="243">
        <v>0</v>
      </c>
      <c r="R97" s="254">
        <f t="shared" si="12"/>
        <v>0</v>
      </c>
      <c r="U97" s="506"/>
      <c r="V97" s="242" t="s">
        <v>46</v>
      </c>
      <c r="W97" s="243">
        <v>0</v>
      </c>
      <c r="X97" s="243">
        <v>0</v>
      </c>
      <c r="Y97" s="243">
        <f>Industrie!$D$59</f>
        <v>0</v>
      </c>
      <c r="Z97" s="243">
        <v>0</v>
      </c>
      <c r="AA97" s="243">
        <v>0</v>
      </c>
      <c r="AB97" s="243">
        <v>0</v>
      </c>
      <c r="AC97" s="243">
        <v>0</v>
      </c>
      <c r="AD97" s="243">
        <v>0</v>
      </c>
      <c r="AE97" s="243">
        <v>0</v>
      </c>
      <c r="AF97" s="243">
        <v>0</v>
      </c>
      <c r="AG97" s="243">
        <v>0</v>
      </c>
      <c r="AH97" s="243">
        <v>0</v>
      </c>
      <c r="AI97" s="243">
        <v>0</v>
      </c>
      <c r="AJ97" s="243">
        <v>0</v>
      </c>
      <c r="AK97" s="243">
        <v>0</v>
      </c>
      <c r="AL97" s="254">
        <f t="shared" si="13"/>
        <v>0</v>
      </c>
    </row>
    <row r="98" spans="1:38" ht="14.4" customHeight="1">
      <c r="A98" s="506"/>
      <c r="B98" s="247" t="s">
        <v>47</v>
      </c>
      <c r="C98" s="248">
        <f>C97+C96</f>
        <v>0</v>
      </c>
      <c r="D98" s="248">
        <f t="shared" ref="D98:Q98" si="16">D97+D96</f>
        <v>0</v>
      </c>
      <c r="E98" s="248">
        <f t="shared" si="16"/>
        <v>2100.6573953632765</v>
      </c>
      <c r="F98" s="248">
        <f t="shared" si="16"/>
        <v>0</v>
      </c>
      <c r="G98" s="248">
        <f t="shared" si="16"/>
        <v>0</v>
      </c>
      <c r="H98" s="248">
        <f t="shared" si="16"/>
        <v>0</v>
      </c>
      <c r="I98" s="248">
        <f t="shared" si="16"/>
        <v>0</v>
      </c>
      <c r="J98" s="248">
        <f t="shared" si="16"/>
        <v>0</v>
      </c>
      <c r="K98" s="248">
        <f t="shared" si="16"/>
        <v>0</v>
      </c>
      <c r="L98" s="248">
        <f t="shared" si="16"/>
        <v>0</v>
      </c>
      <c r="M98" s="248">
        <f t="shared" si="16"/>
        <v>0</v>
      </c>
      <c r="N98" s="248">
        <f t="shared" si="16"/>
        <v>21.864807355516639</v>
      </c>
      <c r="O98" s="248">
        <f t="shared" si="16"/>
        <v>672.75342494822166</v>
      </c>
      <c r="P98" s="248">
        <f t="shared" si="16"/>
        <v>0</v>
      </c>
      <c r="Q98" s="248">
        <f t="shared" si="16"/>
        <v>0</v>
      </c>
      <c r="R98" s="248">
        <f t="shared" si="12"/>
        <v>2795.2756276670152</v>
      </c>
      <c r="U98" s="506"/>
      <c r="V98" s="247" t="s">
        <v>47</v>
      </c>
      <c r="W98" s="248">
        <f t="shared" ref="W98:AK98" si="17">W97+W96</f>
        <v>0</v>
      </c>
      <c r="X98" s="248">
        <f t="shared" si="17"/>
        <v>0</v>
      </c>
      <c r="Y98" s="248">
        <f t="shared" si="17"/>
        <v>2058.7462522311816</v>
      </c>
      <c r="Z98" s="248">
        <f t="shared" si="17"/>
        <v>0</v>
      </c>
      <c r="AA98" s="248">
        <f t="shared" si="17"/>
        <v>0</v>
      </c>
      <c r="AB98" s="248">
        <f t="shared" si="17"/>
        <v>0</v>
      </c>
      <c r="AC98" s="248">
        <f t="shared" si="17"/>
        <v>0</v>
      </c>
      <c r="AD98" s="248">
        <f t="shared" si="17"/>
        <v>0</v>
      </c>
      <c r="AE98" s="248">
        <f t="shared" si="17"/>
        <v>33.785450129032263</v>
      </c>
      <c r="AF98" s="248">
        <f t="shared" si="17"/>
        <v>0</v>
      </c>
      <c r="AG98" s="248">
        <f t="shared" si="17"/>
        <v>0</v>
      </c>
      <c r="AH98" s="248">
        <f t="shared" si="17"/>
        <v>46.473480000000002</v>
      </c>
      <c r="AI98" s="248">
        <f t="shared" si="17"/>
        <v>623.978963769693</v>
      </c>
      <c r="AJ98" s="248">
        <f t="shared" si="17"/>
        <v>0</v>
      </c>
      <c r="AK98" s="248">
        <f t="shared" si="17"/>
        <v>0</v>
      </c>
      <c r="AL98" s="248">
        <f t="shared" si="13"/>
        <v>2762.984146129907</v>
      </c>
    </row>
    <row r="107" spans="1:38" ht="14.4" customHeight="1">
      <c r="A107" s="506">
        <v>2030</v>
      </c>
      <c r="B107" s="507" t="s">
        <v>12</v>
      </c>
      <c r="C107" s="508" t="s">
        <v>14</v>
      </c>
      <c r="D107" s="508" t="s">
        <v>15</v>
      </c>
      <c r="E107" s="508" t="s">
        <v>16</v>
      </c>
      <c r="F107" s="508" t="s">
        <v>17</v>
      </c>
      <c r="G107" s="508" t="s">
        <v>367</v>
      </c>
      <c r="H107" s="508" t="s">
        <v>18</v>
      </c>
      <c r="I107" s="508" t="s">
        <v>19</v>
      </c>
      <c r="J107" s="508"/>
      <c r="K107" s="508"/>
      <c r="L107" s="508"/>
      <c r="M107" s="508"/>
      <c r="N107" s="508"/>
      <c r="O107" s="509" t="s">
        <v>368</v>
      </c>
      <c r="P107" s="509" t="s">
        <v>21</v>
      </c>
      <c r="Q107" s="509" t="s">
        <v>369</v>
      </c>
      <c r="R107" s="509" t="s">
        <v>23</v>
      </c>
      <c r="U107" s="506">
        <v>2030</v>
      </c>
      <c r="V107" s="515" t="s">
        <v>12</v>
      </c>
      <c r="W107" s="509" t="s">
        <v>14</v>
      </c>
      <c r="X107" s="509" t="s">
        <v>15</v>
      </c>
      <c r="Y107" s="509" t="s">
        <v>16</v>
      </c>
      <c r="Z107" s="509" t="s">
        <v>17</v>
      </c>
      <c r="AA107" s="509" t="s">
        <v>367</v>
      </c>
      <c r="AB107" s="509" t="s">
        <v>18</v>
      </c>
      <c r="AC107" s="512" t="s">
        <v>19</v>
      </c>
      <c r="AD107" s="513"/>
      <c r="AE107" s="513"/>
      <c r="AF107" s="513"/>
      <c r="AG107" s="513"/>
      <c r="AH107" s="514"/>
      <c r="AI107" s="509" t="s">
        <v>368</v>
      </c>
      <c r="AJ107" s="509" t="s">
        <v>21</v>
      </c>
      <c r="AK107" s="509" t="s">
        <v>369</v>
      </c>
      <c r="AL107" s="509" t="s">
        <v>23</v>
      </c>
    </row>
    <row r="108" spans="1:38" ht="45.6">
      <c r="A108" s="506"/>
      <c r="B108" s="507"/>
      <c r="C108" s="508"/>
      <c r="D108" s="508"/>
      <c r="E108" s="508"/>
      <c r="F108" s="508"/>
      <c r="G108" s="508"/>
      <c r="H108" s="508"/>
      <c r="I108" s="240" t="s">
        <v>356</v>
      </c>
      <c r="J108" s="240" t="s">
        <v>7</v>
      </c>
      <c r="K108" s="240" t="s">
        <v>357</v>
      </c>
      <c r="L108" s="240" t="s">
        <v>370</v>
      </c>
      <c r="M108" s="241" t="s">
        <v>371</v>
      </c>
      <c r="N108" s="240" t="s">
        <v>372</v>
      </c>
      <c r="O108" s="509"/>
      <c r="P108" s="509"/>
      <c r="Q108" s="509"/>
      <c r="R108" s="509"/>
      <c r="U108" s="506"/>
      <c r="V108" s="516"/>
      <c r="W108" s="511"/>
      <c r="X108" s="511"/>
      <c r="Y108" s="511"/>
      <c r="Z108" s="511"/>
      <c r="AA108" s="511"/>
      <c r="AB108" s="511"/>
      <c r="AC108" s="240" t="s">
        <v>356</v>
      </c>
      <c r="AD108" s="240" t="s">
        <v>7</v>
      </c>
      <c r="AE108" s="240" t="s">
        <v>357</v>
      </c>
      <c r="AF108" s="240" t="s">
        <v>370</v>
      </c>
      <c r="AG108" s="241" t="s">
        <v>371</v>
      </c>
      <c r="AH108" s="240" t="s">
        <v>372</v>
      </c>
      <c r="AI108" s="511"/>
      <c r="AJ108" s="511"/>
      <c r="AK108" s="511"/>
      <c r="AL108" s="511"/>
    </row>
    <row r="109" spans="1:38" ht="14.4" customHeight="1">
      <c r="A109" s="506"/>
      <c r="B109" s="242" t="s">
        <v>24</v>
      </c>
      <c r="C109" s="243">
        <v>0</v>
      </c>
      <c r="D109" s="244">
        <v>0</v>
      </c>
      <c r="E109" s="244">
        <v>0</v>
      </c>
      <c r="F109" s="243">
        <v>0</v>
      </c>
      <c r="G109" s="244">
        <v>0</v>
      </c>
      <c r="H109" s="244">
        <f>H115</f>
        <v>274.59307464209633</v>
      </c>
      <c r="I109" s="244">
        <f>$I$27</f>
        <v>0</v>
      </c>
      <c r="J109" s="244">
        <f>J115</f>
        <v>0</v>
      </c>
      <c r="K109" s="244">
        <v>0</v>
      </c>
      <c r="L109" s="244">
        <f>L115</f>
        <v>0</v>
      </c>
      <c r="M109" s="244">
        <v>0</v>
      </c>
      <c r="N109" s="244">
        <f>N115</f>
        <v>21.671313485113835</v>
      </c>
      <c r="O109" s="245">
        <v>0</v>
      </c>
      <c r="P109" s="244">
        <v>0</v>
      </c>
      <c r="Q109" s="244">
        <v>0</v>
      </c>
      <c r="R109" s="246">
        <f>SUM(C109:Q109)</f>
        <v>296.26438812721017</v>
      </c>
      <c r="U109" s="506"/>
      <c r="V109" s="242" t="s">
        <v>24</v>
      </c>
      <c r="W109" s="243">
        <v>0</v>
      </c>
      <c r="X109" s="244">
        <v>0</v>
      </c>
      <c r="Y109" s="244">
        <v>0</v>
      </c>
      <c r="Z109" s="243">
        <v>0</v>
      </c>
      <c r="AA109" s="244">
        <v>0</v>
      </c>
      <c r="AB109" s="244">
        <f>AB115</f>
        <v>252.85919204044885</v>
      </c>
      <c r="AC109" s="244">
        <f>IF((AC115-$AC$27)&gt;0,$AC$27+(AC115-$AC$27)*0.5,AC115)</f>
        <v>37.616611392169453</v>
      </c>
      <c r="AD109" s="244">
        <f>AD115</f>
        <v>0</v>
      </c>
      <c r="AE109" s="244">
        <f>IF((AE115-$AE$27)&gt;0,$AE$27+(AE115-AE112-AE113-$AE$27)*0.5,AE115-AE112-AE$72)</f>
        <v>43.404604109577647</v>
      </c>
      <c r="AF109" s="244">
        <f>AF115</f>
        <v>0</v>
      </c>
      <c r="AG109" s="244">
        <v>0</v>
      </c>
      <c r="AH109" s="244">
        <f>AH115</f>
        <v>40.611959999999996</v>
      </c>
      <c r="AI109" s="245">
        <v>0</v>
      </c>
      <c r="AJ109" s="244">
        <v>0</v>
      </c>
      <c r="AK109" s="244">
        <v>0</v>
      </c>
      <c r="AL109" s="246">
        <f>SUM(W109:AK109)</f>
        <v>374.49236754219595</v>
      </c>
    </row>
    <row r="110" spans="1:38" ht="14.4" customHeight="1">
      <c r="A110" s="506"/>
      <c r="B110" s="242" t="s">
        <v>28</v>
      </c>
      <c r="C110" s="243">
        <f>C115</f>
        <v>0</v>
      </c>
      <c r="D110" s="244">
        <f>D115</f>
        <v>0</v>
      </c>
      <c r="E110" s="244">
        <f>E115-E112-E113</f>
        <v>3863.3184387690731</v>
      </c>
      <c r="F110" s="243">
        <v>0</v>
      </c>
      <c r="G110" s="244">
        <v>0</v>
      </c>
      <c r="H110" s="244">
        <v>0</v>
      </c>
      <c r="I110" s="244">
        <f>I115-$I$27</f>
        <v>0</v>
      </c>
      <c r="J110" s="244">
        <v>0</v>
      </c>
      <c r="K110" s="244">
        <f>K115</f>
        <v>0</v>
      </c>
      <c r="L110" s="244">
        <v>0</v>
      </c>
      <c r="M110" s="244">
        <v>0</v>
      </c>
      <c r="N110" s="244">
        <v>0</v>
      </c>
      <c r="O110" s="245">
        <v>0</v>
      </c>
      <c r="P110" s="244">
        <v>0</v>
      </c>
      <c r="Q110" s="244">
        <v>0</v>
      </c>
      <c r="R110" s="246">
        <f t="shared" ref="R110:R115" si="18">SUM(C110:Q110)</f>
        <v>3863.3184387690731</v>
      </c>
      <c r="U110" s="506"/>
      <c r="V110" s="242" t="s">
        <v>28</v>
      </c>
      <c r="W110" s="243">
        <f>W115</f>
        <v>0</v>
      </c>
      <c r="X110" s="244">
        <f>X115</f>
        <v>0</v>
      </c>
      <c r="Y110" s="244">
        <f>Y115-Y112-Y113</f>
        <v>3339.2306112604779</v>
      </c>
      <c r="Z110" s="243">
        <v>0</v>
      </c>
      <c r="AA110" s="244">
        <v>0</v>
      </c>
      <c r="AB110" s="244">
        <v>0</v>
      </c>
      <c r="AC110" s="244">
        <f>IF((AC115-$AC$27)&gt;0,(AC115-$AC$27)*0.5,0)</f>
        <v>37.616611392169453</v>
      </c>
      <c r="AD110" s="244">
        <v>0</v>
      </c>
      <c r="AE110" s="244">
        <f>IF((AE115-AE112-AE113-$AE$27)&gt;0,(AE115-AE112-AE113-$AE$27)*0.5,0)</f>
        <v>43.404604109577647</v>
      </c>
      <c r="AF110" s="244">
        <v>0</v>
      </c>
      <c r="AG110" s="244">
        <v>0</v>
      </c>
      <c r="AH110" s="244">
        <v>0</v>
      </c>
      <c r="AI110" s="245">
        <v>0</v>
      </c>
      <c r="AJ110" s="244">
        <v>0</v>
      </c>
      <c r="AK110" s="244">
        <v>0</v>
      </c>
      <c r="AL110" s="246">
        <f t="shared" ref="AL110:AL115" si="19">SUM(W110:AK110)</f>
        <v>3420.2518267622249</v>
      </c>
    </row>
    <row r="111" spans="1:38" ht="14.4" customHeight="1">
      <c r="A111" s="506"/>
      <c r="B111" s="242" t="s">
        <v>29</v>
      </c>
      <c r="C111" s="243">
        <v>0</v>
      </c>
      <c r="D111" s="244">
        <v>0</v>
      </c>
      <c r="E111" s="244">
        <v>0</v>
      </c>
      <c r="F111" s="243">
        <v>0</v>
      </c>
      <c r="G111" s="244">
        <v>0</v>
      </c>
      <c r="H111" s="244">
        <v>0</v>
      </c>
      <c r="I111" s="244">
        <v>0</v>
      </c>
      <c r="J111" s="244">
        <v>0</v>
      </c>
      <c r="K111" s="244">
        <v>0</v>
      </c>
      <c r="L111" s="244">
        <v>0</v>
      </c>
      <c r="M111" s="244">
        <v>0</v>
      </c>
      <c r="N111" s="244">
        <v>0</v>
      </c>
      <c r="O111" s="245">
        <v>0</v>
      </c>
      <c r="P111" s="244">
        <v>0</v>
      </c>
      <c r="Q111" s="244">
        <v>0</v>
      </c>
      <c r="R111" s="246">
        <f t="shared" si="18"/>
        <v>0</v>
      </c>
      <c r="U111" s="506"/>
      <c r="V111" s="242" t="s">
        <v>29</v>
      </c>
      <c r="W111" s="243">
        <v>0</v>
      </c>
      <c r="X111" s="244">
        <v>0</v>
      </c>
      <c r="Y111" s="244">
        <v>0</v>
      </c>
      <c r="Z111" s="243">
        <v>0</v>
      </c>
      <c r="AA111" s="244">
        <v>0</v>
      </c>
      <c r="AB111" s="244">
        <v>0</v>
      </c>
      <c r="AC111" s="244">
        <v>0</v>
      </c>
      <c r="AD111" s="244">
        <v>0</v>
      </c>
      <c r="AE111" s="244">
        <v>0</v>
      </c>
      <c r="AF111" s="244">
        <v>0</v>
      </c>
      <c r="AG111" s="244">
        <v>0</v>
      </c>
      <c r="AH111" s="244">
        <v>0</v>
      </c>
      <c r="AI111" s="245">
        <v>0</v>
      </c>
      <c r="AJ111" s="244">
        <v>0</v>
      </c>
      <c r="AK111" s="244">
        <v>0</v>
      </c>
      <c r="AL111" s="246">
        <f t="shared" si="19"/>
        <v>0</v>
      </c>
    </row>
    <row r="112" spans="1:38" ht="14.4" customHeight="1">
      <c r="A112" s="506"/>
      <c r="B112" s="242" t="s">
        <v>30</v>
      </c>
      <c r="C112" s="243">
        <v>0</v>
      </c>
      <c r="D112" s="244">
        <v>0</v>
      </c>
      <c r="E112" s="244">
        <f>-Transports!$E$125</f>
        <v>-397.32</v>
      </c>
      <c r="F112" s="243">
        <v>0</v>
      </c>
      <c r="G112" s="244">
        <v>0</v>
      </c>
      <c r="H112" s="244">
        <v>0</v>
      </c>
      <c r="I112" s="244">
        <v>0</v>
      </c>
      <c r="J112" s="244">
        <v>0</v>
      </c>
      <c r="K112" s="244">
        <v>0</v>
      </c>
      <c r="L112" s="244">
        <v>0</v>
      </c>
      <c r="M112" s="244">
        <v>0</v>
      </c>
      <c r="N112" s="244">
        <v>0</v>
      </c>
      <c r="O112" s="245">
        <v>0</v>
      </c>
      <c r="P112" s="244">
        <v>0</v>
      </c>
      <c r="Q112" s="244">
        <v>0</v>
      </c>
      <c r="R112" s="246">
        <f t="shared" si="18"/>
        <v>-397.32</v>
      </c>
      <c r="U112" s="506"/>
      <c r="V112" s="242" t="s">
        <v>30</v>
      </c>
      <c r="W112" s="243">
        <v>0</v>
      </c>
      <c r="X112" s="244">
        <v>0</v>
      </c>
      <c r="Y112" s="244">
        <f>-Transports!$E$172-Transports!$E$171</f>
        <v>-388.19299199999995</v>
      </c>
      <c r="Z112" s="243">
        <v>0</v>
      </c>
      <c r="AA112" s="244">
        <v>0</v>
      </c>
      <c r="AB112" s="244">
        <v>0</v>
      </c>
      <c r="AC112" s="244">
        <v>0</v>
      </c>
      <c r="AD112" s="244">
        <v>0</v>
      </c>
      <c r="AE112" s="244">
        <f>-Transports!$E$170</f>
        <v>-1.5590079999999999</v>
      </c>
      <c r="AF112" s="244">
        <v>0</v>
      </c>
      <c r="AG112" s="244">
        <v>0</v>
      </c>
      <c r="AH112" s="244">
        <v>0</v>
      </c>
      <c r="AI112" s="245">
        <v>0</v>
      </c>
      <c r="AJ112" s="244">
        <v>0</v>
      </c>
      <c r="AK112" s="244">
        <v>0</v>
      </c>
      <c r="AL112" s="246">
        <f t="shared" si="19"/>
        <v>-389.75199999999995</v>
      </c>
    </row>
    <row r="113" spans="1:38" ht="14.4" customHeight="1">
      <c r="A113" s="506"/>
      <c r="B113" s="242" t="s">
        <v>31</v>
      </c>
      <c r="C113" s="243">
        <v>0</v>
      </c>
      <c r="D113" s="244">
        <v>0</v>
      </c>
      <c r="E113" s="244">
        <f>-Transports!$E$202</f>
        <v>-404.52960078750311</v>
      </c>
      <c r="F113" s="243">
        <v>0</v>
      </c>
      <c r="G113" s="244">
        <v>0</v>
      </c>
      <c r="H113" s="244">
        <v>0</v>
      </c>
      <c r="I113" s="244">
        <v>0</v>
      </c>
      <c r="J113" s="244">
        <v>0</v>
      </c>
      <c r="K113" s="244">
        <v>0</v>
      </c>
      <c r="L113" s="244">
        <v>0</v>
      </c>
      <c r="M113" s="244">
        <v>0</v>
      </c>
      <c r="N113" s="244">
        <v>0</v>
      </c>
      <c r="O113" s="245">
        <v>0</v>
      </c>
      <c r="P113" s="244">
        <v>0</v>
      </c>
      <c r="Q113" s="244">
        <v>0</v>
      </c>
      <c r="R113" s="246">
        <f t="shared" si="18"/>
        <v>-404.52960078750311</v>
      </c>
      <c r="U113" s="506"/>
      <c r="V113" s="242" t="s">
        <v>31</v>
      </c>
      <c r="W113" s="243">
        <v>0</v>
      </c>
      <c r="X113" s="244">
        <v>0</v>
      </c>
      <c r="Y113" s="244">
        <f>-Transports!$E$234</f>
        <v>-372.10776828059409</v>
      </c>
      <c r="Z113" s="243">
        <v>0</v>
      </c>
      <c r="AA113" s="244">
        <v>0</v>
      </c>
      <c r="AB113" s="244">
        <v>0</v>
      </c>
      <c r="AC113" s="244">
        <v>0</v>
      </c>
      <c r="AD113" s="244">
        <v>0</v>
      </c>
      <c r="AE113" s="244">
        <f>-Transports!$E$233-Transports!$E$232</f>
        <v>-19.584619383189164</v>
      </c>
      <c r="AF113" s="244">
        <v>0</v>
      </c>
      <c r="AG113" s="244">
        <v>0</v>
      </c>
      <c r="AH113" s="244">
        <v>0</v>
      </c>
      <c r="AI113" s="245">
        <v>0</v>
      </c>
      <c r="AJ113" s="244">
        <v>0</v>
      </c>
      <c r="AK113" s="244">
        <v>0</v>
      </c>
      <c r="AL113" s="246">
        <f t="shared" si="19"/>
        <v>-391.69238766378328</v>
      </c>
    </row>
    <row r="114" spans="1:38" ht="14.4" customHeight="1">
      <c r="A114" s="506"/>
      <c r="B114" s="242" t="s">
        <v>32</v>
      </c>
      <c r="C114" s="243">
        <v>0</v>
      </c>
      <c r="D114" s="244">
        <v>0</v>
      </c>
      <c r="E114" s="244">
        <v>0</v>
      </c>
      <c r="F114" s="243">
        <v>0</v>
      </c>
      <c r="G114" s="244">
        <v>0</v>
      </c>
      <c r="H114" s="244">
        <v>0</v>
      </c>
      <c r="I114" s="244">
        <v>0</v>
      </c>
      <c r="J114" s="244">
        <v>0</v>
      </c>
      <c r="K114" s="244">
        <v>0</v>
      </c>
      <c r="L114" s="244">
        <v>0</v>
      </c>
      <c r="M114" s="244">
        <v>0</v>
      </c>
      <c r="N114" s="244">
        <v>0</v>
      </c>
      <c r="O114" s="245">
        <v>0</v>
      </c>
      <c r="P114" s="244">
        <v>0</v>
      </c>
      <c r="Q114" s="244">
        <v>0</v>
      </c>
      <c r="R114" s="246">
        <f t="shared" si="18"/>
        <v>0</v>
      </c>
      <c r="U114" s="506"/>
      <c r="V114" s="242" t="s">
        <v>32</v>
      </c>
      <c r="W114" s="243">
        <v>0</v>
      </c>
      <c r="X114" s="244">
        <v>0</v>
      </c>
      <c r="Y114" s="244">
        <v>0</v>
      </c>
      <c r="Z114" s="243">
        <v>0</v>
      </c>
      <c r="AA114" s="244">
        <v>0</v>
      </c>
      <c r="AB114" s="244">
        <v>0</v>
      </c>
      <c r="AC114" s="244">
        <v>0</v>
      </c>
      <c r="AD114" s="244">
        <v>0</v>
      </c>
      <c r="AE114" s="244">
        <v>0</v>
      </c>
      <c r="AF114" s="244">
        <v>0</v>
      </c>
      <c r="AG114" s="244">
        <v>0</v>
      </c>
      <c r="AH114" s="244">
        <v>0</v>
      </c>
      <c r="AI114" s="245">
        <v>0</v>
      </c>
      <c r="AJ114" s="244">
        <v>0</v>
      </c>
      <c r="AK114" s="244">
        <v>0</v>
      </c>
      <c r="AL114" s="246">
        <f t="shared" si="19"/>
        <v>0</v>
      </c>
    </row>
    <row r="115" spans="1:38" ht="14.4" customHeight="1">
      <c r="A115" s="506"/>
      <c r="B115" s="247" t="s">
        <v>373</v>
      </c>
      <c r="C115" s="248">
        <f>C139+C137</f>
        <v>0</v>
      </c>
      <c r="D115" s="248">
        <f>D129+D139</f>
        <v>0</v>
      </c>
      <c r="E115" s="248">
        <f>E129+E139</f>
        <v>3061.4688379815698</v>
      </c>
      <c r="F115" s="248">
        <f>SUM(F109:F114)</f>
        <v>0</v>
      </c>
      <c r="G115" s="248">
        <f>SUM(G109:G114)</f>
        <v>0</v>
      </c>
      <c r="H115" s="248">
        <f>H129</f>
        <v>274.59307464209633</v>
      </c>
      <c r="I115" s="248">
        <f>I129+I137</f>
        <v>0</v>
      </c>
      <c r="J115" s="248">
        <f>J129+J139</f>
        <v>0</v>
      </c>
      <c r="K115" s="248">
        <f>K129+K139</f>
        <v>0</v>
      </c>
      <c r="L115" s="248">
        <f>L129+L139</f>
        <v>0</v>
      </c>
      <c r="M115" s="248">
        <f>SUM(M109:M114)</f>
        <v>0</v>
      </c>
      <c r="N115" s="248">
        <f>N129+N139</f>
        <v>21.671313485113835</v>
      </c>
      <c r="O115" s="248">
        <f>SUM(O109:O114)</f>
        <v>0</v>
      </c>
      <c r="P115" s="248">
        <f>SUM(P109:P114)</f>
        <v>0</v>
      </c>
      <c r="Q115" s="248">
        <f>SUM(Q109:Q114)</f>
        <v>0</v>
      </c>
      <c r="R115" s="248">
        <f t="shared" si="18"/>
        <v>3357.7332261087799</v>
      </c>
      <c r="U115" s="506"/>
      <c r="V115" s="247" t="s">
        <v>373</v>
      </c>
      <c r="W115" s="248">
        <f>W139+W137</f>
        <v>0</v>
      </c>
      <c r="X115" s="248">
        <f>X129+X139</f>
        <v>0</v>
      </c>
      <c r="Y115" s="248">
        <f>Y129+Y139</f>
        <v>2578.9298509798841</v>
      </c>
      <c r="Z115" s="248">
        <f>SUM(Z109:Z114)</f>
        <v>0</v>
      </c>
      <c r="AA115" s="248">
        <f>SUM(AA109:AA114)</f>
        <v>0</v>
      </c>
      <c r="AB115" s="248">
        <f>AB129</f>
        <v>252.85919204044885</v>
      </c>
      <c r="AC115" s="248">
        <f>AC129+AC137</f>
        <v>75.233222784338906</v>
      </c>
      <c r="AD115" s="248">
        <f>AD129+AD139</f>
        <v>0</v>
      </c>
      <c r="AE115" s="248">
        <f>AE129+AE139</f>
        <v>65.665580835966125</v>
      </c>
      <c r="AF115" s="248">
        <f>AF129+AF139</f>
        <v>0</v>
      </c>
      <c r="AG115" s="248">
        <f>SUM(AG109:AG114)</f>
        <v>0</v>
      </c>
      <c r="AH115" s="248">
        <f>AH129+AH139</f>
        <v>40.611959999999996</v>
      </c>
      <c r="AI115" s="248">
        <f>SUM(AI109:AI114)</f>
        <v>0</v>
      </c>
      <c r="AJ115" s="248">
        <f>SUM(AJ109:AJ114)</f>
        <v>0</v>
      </c>
      <c r="AK115" s="248">
        <f>SUM(AK109:AK114)</f>
        <v>0</v>
      </c>
      <c r="AL115" s="248">
        <f t="shared" si="19"/>
        <v>3013.2998066406381</v>
      </c>
    </row>
    <row r="116" spans="1:38" ht="14.4" customHeight="1">
      <c r="A116" s="506"/>
      <c r="B116" s="249"/>
      <c r="C116" s="250"/>
      <c r="D116" s="219"/>
      <c r="E116" s="251"/>
      <c r="F116" s="250"/>
      <c r="G116" s="250"/>
      <c r="H116" s="250"/>
      <c r="I116" s="250"/>
      <c r="J116" s="250"/>
      <c r="K116" s="250"/>
      <c r="L116" s="250"/>
      <c r="M116" s="250"/>
      <c r="N116" s="250"/>
      <c r="O116" s="259"/>
      <c r="P116" s="250"/>
      <c r="Q116" s="250"/>
      <c r="R116" s="250"/>
      <c r="U116" s="506"/>
      <c r="V116" s="249"/>
      <c r="W116" s="250"/>
      <c r="X116" s="219"/>
      <c r="Y116" s="251"/>
      <c r="Z116" s="250"/>
      <c r="AA116" s="250"/>
      <c r="AB116" s="250"/>
      <c r="AC116" s="250"/>
      <c r="AD116" s="250"/>
      <c r="AE116" s="250"/>
      <c r="AF116" s="250"/>
      <c r="AG116" s="250"/>
      <c r="AH116" s="250"/>
      <c r="AI116" s="259"/>
      <c r="AJ116" s="250"/>
      <c r="AK116" s="250"/>
      <c r="AL116" s="250"/>
    </row>
    <row r="117" spans="1:38" ht="14.4" customHeight="1">
      <c r="A117" s="506"/>
      <c r="B117" s="252" t="s">
        <v>374</v>
      </c>
      <c r="C117" s="243">
        <v>0</v>
      </c>
      <c r="D117" s="253">
        <v>0</v>
      </c>
      <c r="E117" s="253">
        <v>0</v>
      </c>
      <c r="F117" s="243">
        <v>0</v>
      </c>
      <c r="G117" s="243">
        <v>0</v>
      </c>
      <c r="H117" s="243">
        <v>0</v>
      </c>
      <c r="I117" s="243">
        <v>0</v>
      </c>
      <c r="J117" s="243">
        <v>0</v>
      </c>
      <c r="K117" s="243">
        <v>0</v>
      </c>
      <c r="L117" s="243">
        <v>0</v>
      </c>
      <c r="M117" s="243">
        <v>0</v>
      </c>
      <c r="N117" s="243">
        <v>0</v>
      </c>
      <c r="O117" s="243">
        <v>0</v>
      </c>
      <c r="P117" s="243">
        <v>0</v>
      </c>
      <c r="Q117" s="243">
        <v>0</v>
      </c>
      <c r="R117" s="254">
        <f>SUM(C117:Q117)</f>
        <v>0</v>
      </c>
      <c r="U117" s="506"/>
      <c r="V117" s="252" t="s">
        <v>374</v>
      </c>
      <c r="W117" s="243">
        <v>0</v>
      </c>
      <c r="X117" s="253">
        <v>0</v>
      </c>
      <c r="Y117" s="253">
        <v>0</v>
      </c>
      <c r="Z117" s="243">
        <v>0</v>
      </c>
      <c r="AA117" s="243">
        <v>0</v>
      </c>
      <c r="AB117" s="243">
        <v>0</v>
      </c>
      <c r="AC117" s="243">
        <v>0</v>
      </c>
      <c r="AD117" s="243">
        <v>0</v>
      </c>
      <c r="AE117" s="243">
        <v>0</v>
      </c>
      <c r="AF117" s="243">
        <v>0</v>
      </c>
      <c r="AG117" s="243">
        <v>0</v>
      </c>
      <c r="AH117" s="243">
        <v>0</v>
      </c>
      <c r="AI117" s="243">
        <v>0</v>
      </c>
      <c r="AJ117" s="243">
        <v>0</v>
      </c>
      <c r="AK117" s="243">
        <v>0</v>
      </c>
      <c r="AL117" s="254">
        <f>SUM(W117:AK117)</f>
        <v>0</v>
      </c>
    </row>
    <row r="118" spans="1:38" ht="14.4" customHeight="1">
      <c r="A118" s="506"/>
      <c r="B118" s="252" t="s">
        <v>375</v>
      </c>
      <c r="C118" s="243">
        <f>$O$118*'Prod Energie'!$E$32/(-$J$13)</f>
        <v>0</v>
      </c>
      <c r="D118" s="243">
        <v>0</v>
      </c>
      <c r="E118" s="243">
        <f>O118*'Prod Energie'!$E$33/(-$K$13)</f>
        <v>1054.0571734913094</v>
      </c>
      <c r="F118" s="243">
        <v>0</v>
      </c>
      <c r="G118" s="243">
        <v>0</v>
      </c>
      <c r="H118" s="243">
        <f>(O118)*('Prod Energie'!$E$34+'Prod Energie'!$E$39+'Prod Energie'!$E$40)/(-$L$13)</f>
        <v>274.59307464209633</v>
      </c>
      <c r="I118" s="255">
        <f>(O118)*('Prod Energie'!$E$38)/(-$M$13)</f>
        <v>0</v>
      </c>
      <c r="J118" s="255">
        <f>(O118)*('Prod Energie'!$E$36)/(-$N$13)</f>
        <v>0</v>
      </c>
      <c r="K118" s="255">
        <f>(O118)*('Prod Energie'!$E$37)/(-$O$13)</f>
        <v>0</v>
      </c>
      <c r="L118" s="255">
        <f>(O118)*('Prod Energie'!$E$41)/(-P13)</f>
        <v>0</v>
      </c>
      <c r="M118" s="255">
        <v>0</v>
      </c>
      <c r="N118" s="255">
        <f>(O118)*('Prod Energie'!$E$35)/(-$Q$13)</f>
        <v>0</v>
      </c>
      <c r="O118" s="243">
        <f>O129/(1+$F$17+$F$18)</f>
        <v>-738.37823097827243</v>
      </c>
      <c r="P118" s="243">
        <v>0</v>
      </c>
      <c r="Q118" s="243">
        <v>0</v>
      </c>
      <c r="R118" s="254">
        <f t="shared" ref="R118:R129" si="20">SUM(C118:Q118)</f>
        <v>590.27201715513331</v>
      </c>
      <c r="U118" s="506"/>
      <c r="V118" s="252" t="s">
        <v>375</v>
      </c>
      <c r="W118" s="243">
        <f>AI118*'Prod Energie'!$E$53/(-$J$13)</f>
        <v>0</v>
      </c>
      <c r="X118" s="243">
        <v>0</v>
      </c>
      <c r="Y118" s="243">
        <f>AI118*'Prod Energie'!$E$54/(-$K$13)</f>
        <v>873.8487801914049</v>
      </c>
      <c r="Z118" s="243">
        <v>0</v>
      </c>
      <c r="AA118" s="243">
        <v>0</v>
      </c>
      <c r="AB118" s="243">
        <f>(AI118)*('Prod Energie'!$E$55+'Prod Energie'!$E$60+'Prod Energie'!$E$61)/(-$L$13)</f>
        <v>252.85919204044885</v>
      </c>
      <c r="AC118" s="255">
        <f>(AI118)*'Prod Energie'!$E$59/(-$M$13)</f>
        <v>75.233222784338906</v>
      </c>
      <c r="AD118" s="255">
        <f>(AI118)*('Prod Energie'!$E$57)/(-$N$13)</f>
        <v>0</v>
      </c>
      <c r="AE118" s="255">
        <f>(AI118)*('Prod Energie'!$E$58)/(-$O$13)</f>
        <v>0</v>
      </c>
      <c r="AF118" s="255">
        <f>(AI118)*('Prod Energie'!$E$62)/(-$P$13)</f>
        <v>0</v>
      </c>
      <c r="AG118" s="255">
        <v>0</v>
      </c>
      <c r="AH118" s="255">
        <f>(AI118)*'Prod Energie'!$E$56/(-$Q$13)</f>
        <v>0</v>
      </c>
      <c r="AI118" s="243">
        <f>AI129/(1+$F$17+$F$18)</f>
        <v>-667.44594443840253</v>
      </c>
      <c r="AJ118" s="243">
        <v>0</v>
      </c>
      <c r="AK118" s="243">
        <v>0</v>
      </c>
      <c r="AL118" s="254">
        <f t="shared" ref="AL118:AL129" si="21">SUM(W118:AK118)</f>
        <v>534.49525057779022</v>
      </c>
    </row>
    <row r="119" spans="1:38" ht="14.4" customHeight="1">
      <c r="A119" s="506"/>
      <c r="B119" s="252" t="s">
        <v>376</v>
      </c>
      <c r="C119" s="243">
        <v>0</v>
      </c>
      <c r="D119" s="243">
        <v>0</v>
      </c>
      <c r="E119" s="243">
        <v>0</v>
      </c>
      <c r="F119" s="243">
        <v>0</v>
      </c>
      <c r="G119" s="243">
        <v>0</v>
      </c>
      <c r="H119" s="243">
        <v>0</v>
      </c>
      <c r="I119" s="255">
        <f t="shared" ref="I119:N119" si="22">$P$119*$L$18*V$17</f>
        <v>0</v>
      </c>
      <c r="J119" s="255">
        <f t="shared" si="22"/>
        <v>0</v>
      </c>
      <c r="K119" s="255">
        <f t="shared" si="22"/>
        <v>0</v>
      </c>
      <c r="L119" s="255">
        <f t="shared" si="22"/>
        <v>0</v>
      </c>
      <c r="M119" s="255">
        <f t="shared" si="22"/>
        <v>0</v>
      </c>
      <c r="N119" s="255">
        <f t="shared" si="22"/>
        <v>0</v>
      </c>
      <c r="O119" s="243">
        <v>0</v>
      </c>
      <c r="P119" s="243">
        <f>P129/(1+$R$18)</f>
        <v>0</v>
      </c>
      <c r="Q119" s="243">
        <v>0</v>
      </c>
      <c r="R119" s="254">
        <f t="shared" si="20"/>
        <v>0</v>
      </c>
      <c r="U119" s="506"/>
      <c r="V119" s="252" t="s">
        <v>376</v>
      </c>
      <c r="W119" s="243">
        <v>0</v>
      </c>
      <c r="X119" s="243">
        <v>0</v>
      </c>
      <c r="Y119" s="243">
        <v>0</v>
      </c>
      <c r="Z119" s="243">
        <v>0</v>
      </c>
      <c r="AA119" s="243">
        <v>0</v>
      </c>
      <c r="AB119" s="243">
        <v>0</v>
      </c>
      <c r="AC119" s="255">
        <f t="shared" ref="AC119:AH119" si="23">$AJ$119*$L$18*V$17</f>
        <v>0</v>
      </c>
      <c r="AD119" s="255">
        <f t="shared" si="23"/>
        <v>0</v>
      </c>
      <c r="AE119" s="255">
        <f t="shared" si="23"/>
        <v>0</v>
      </c>
      <c r="AF119" s="255">
        <f t="shared" si="23"/>
        <v>0</v>
      </c>
      <c r="AG119" s="255">
        <f t="shared" si="23"/>
        <v>0</v>
      </c>
      <c r="AH119" s="255">
        <f t="shared" si="23"/>
        <v>0</v>
      </c>
      <c r="AI119" s="243">
        <v>0</v>
      </c>
      <c r="AJ119" s="243">
        <f>AJ129/(1+$R$18)</f>
        <v>0</v>
      </c>
      <c r="AK119" s="243">
        <v>0</v>
      </c>
      <c r="AL119" s="254">
        <f t="shared" si="21"/>
        <v>0</v>
      </c>
    </row>
    <row r="120" spans="1:38" ht="14.4" customHeight="1">
      <c r="A120" s="506"/>
      <c r="B120" s="252" t="s">
        <v>377</v>
      </c>
      <c r="C120" s="243">
        <v>0</v>
      </c>
      <c r="D120" s="243">
        <v>0</v>
      </c>
      <c r="E120" s="243">
        <v>0</v>
      </c>
      <c r="F120" s="243">
        <v>0</v>
      </c>
      <c r="G120" s="243">
        <v>0</v>
      </c>
      <c r="H120" s="243">
        <v>0</v>
      </c>
      <c r="I120" s="256">
        <v>0</v>
      </c>
      <c r="J120" s="256">
        <v>0</v>
      </c>
      <c r="K120" s="256">
        <v>0</v>
      </c>
      <c r="L120" s="256">
        <v>0</v>
      </c>
      <c r="M120" s="256">
        <v>0</v>
      </c>
      <c r="N120" s="256">
        <v>0</v>
      </c>
      <c r="O120" s="243">
        <v>0</v>
      </c>
      <c r="P120" s="243">
        <v>0</v>
      </c>
      <c r="Q120" s="243">
        <v>0</v>
      </c>
      <c r="R120" s="254">
        <f t="shared" si="20"/>
        <v>0</v>
      </c>
      <c r="U120" s="506"/>
      <c r="V120" s="252" t="s">
        <v>377</v>
      </c>
      <c r="W120" s="243">
        <v>0</v>
      </c>
      <c r="X120" s="243">
        <v>0</v>
      </c>
      <c r="Y120" s="243">
        <v>0</v>
      </c>
      <c r="Z120" s="243">
        <v>0</v>
      </c>
      <c r="AA120" s="243">
        <v>0</v>
      </c>
      <c r="AB120" s="243">
        <v>0</v>
      </c>
      <c r="AC120" s="256">
        <v>0</v>
      </c>
      <c r="AD120" s="256">
        <v>0</v>
      </c>
      <c r="AE120" s="256">
        <v>0</v>
      </c>
      <c r="AF120" s="256">
        <v>0</v>
      </c>
      <c r="AG120" s="256">
        <v>0</v>
      </c>
      <c r="AH120" s="256">
        <v>0</v>
      </c>
      <c r="AI120" s="243">
        <v>0</v>
      </c>
      <c r="AJ120" s="243">
        <v>0</v>
      </c>
      <c r="AK120" s="243">
        <v>0</v>
      </c>
      <c r="AL120" s="254">
        <f t="shared" si="21"/>
        <v>0</v>
      </c>
    </row>
    <row r="121" spans="1:38" ht="14.4" customHeight="1">
      <c r="A121" s="506"/>
      <c r="B121" s="252" t="s">
        <v>378</v>
      </c>
      <c r="C121" s="243">
        <v>0</v>
      </c>
      <c r="D121" s="243">
        <v>0</v>
      </c>
      <c r="E121" s="243">
        <v>0</v>
      </c>
      <c r="F121" s="243">
        <v>0</v>
      </c>
      <c r="G121" s="243">
        <v>0</v>
      </c>
      <c r="H121" s="243">
        <v>0</v>
      </c>
      <c r="I121" s="243">
        <v>0</v>
      </c>
      <c r="J121" s="243">
        <v>0</v>
      </c>
      <c r="K121" s="243">
        <v>0</v>
      </c>
      <c r="L121" s="243">
        <v>0</v>
      </c>
      <c r="M121" s="243">
        <v>0</v>
      </c>
      <c r="N121" s="243">
        <v>0</v>
      </c>
      <c r="O121" s="243">
        <v>0</v>
      </c>
      <c r="P121" s="243">
        <v>0</v>
      </c>
      <c r="Q121" s="243">
        <v>0</v>
      </c>
      <c r="R121" s="254">
        <f t="shared" si="20"/>
        <v>0</v>
      </c>
      <c r="U121" s="506"/>
      <c r="V121" s="252" t="s">
        <v>378</v>
      </c>
      <c r="W121" s="243">
        <v>0</v>
      </c>
      <c r="X121" s="243">
        <v>0</v>
      </c>
      <c r="Y121" s="243">
        <v>0</v>
      </c>
      <c r="Z121" s="243">
        <v>0</v>
      </c>
      <c r="AA121" s="243">
        <v>0</v>
      </c>
      <c r="AB121" s="243">
        <v>0</v>
      </c>
      <c r="AC121" s="243">
        <v>0</v>
      </c>
      <c r="AD121" s="243">
        <v>0</v>
      </c>
      <c r="AE121" s="243">
        <v>0</v>
      </c>
      <c r="AF121" s="243">
        <v>0</v>
      </c>
      <c r="AG121" s="243">
        <v>0</v>
      </c>
      <c r="AH121" s="243">
        <v>0</v>
      </c>
      <c r="AI121" s="243">
        <v>0</v>
      </c>
      <c r="AJ121" s="243">
        <v>0</v>
      </c>
      <c r="AK121" s="243">
        <v>0</v>
      </c>
      <c r="AL121" s="254">
        <f t="shared" si="21"/>
        <v>0</v>
      </c>
    </row>
    <row r="122" spans="1:38" ht="14.4" customHeight="1">
      <c r="A122" s="506"/>
      <c r="B122" s="252" t="s">
        <v>36</v>
      </c>
      <c r="C122" s="243">
        <v>0</v>
      </c>
      <c r="D122" s="243">
        <v>0</v>
      </c>
      <c r="E122" s="243">
        <v>0</v>
      </c>
      <c r="F122" s="243">
        <v>0</v>
      </c>
      <c r="G122" s="243">
        <v>0</v>
      </c>
      <c r="H122" s="243">
        <v>0</v>
      </c>
      <c r="I122" s="243">
        <v>0</v>
      </c>
      <c r="J122" s="243">
        <v>0</v>
      </c>
      <c r="K122" s="243">
        <v>0</v>
      </c>
      <c r="L122" s="243">
        <v>0</v>
      </c>
      <c r="M122" s="243">
        <v>0</v>
      </c>
      <c r="N122" s="243">
        <v>0</v>
      </c>
      <c r="O122" s="243">
        <v>0</v>
      </c>
      <c r="P122" s="243">
        <v>0</v>
      </c>
      <c r="Q122" s="243">
        <v>0</v>
      </c>
      <c r="R122" s="254">
        <f t="shared" si="20"/>
        <v>0</v>
      </c>
      <c r="U122" s="506"/>
      <c r="V122" s="252" t="s">
        <v>36</v>
      </c>
      <c r="W122" s="243">
        <v>0</v>
      </c>
      <c r="X122" s="243">
        <v>0</v>
      </c>
      <c r="Y122" s="243">
        <v>0</v>
      </c>
      <c r="Z122" s="243">
        <v>0</v>
      </c>
      <c r="AA122" s="243">
        <v>0</v>
      </c>
      <c r="AB122" s="243">
        <v>0</v>
      </c>
      <c r="AC122" s="243">
        <v>0</v>
      </c>
      <c r="AD122" s="243">
        <v>0</v>
      </c>
      <c r="AE122" s="243">
        <v>0</v>
      </c>
      <c r="AF122" s="243">
        <v>0</v>
      </c>
      <c r="AG122" s="243">
        <v>0</v>
      </c>
      <c r="AH122" s="243">
        <v>0</v>
      </c>
      <c r="AI122" s="243">
        <v>0</v>
      </c>
      <c r="AJ122" s="243">
        <v>0</v>
      </c>
      <c r="AK122" s="243">
        <v>0</v>
      </c>
      <c r="AL122" s="254">
        <f t="shared" si="21"/>
        <v>0</v>
      </c>
    </row>
    <row r="123" spans="1:38" ht="14.4" customHeight="1">
      <c r="A123" s="506"/>
      <c r="B123" s="252" t="s">
        <v>379</v>
      </c>
      <c r="C123" s="243">
        <v>0</v>
      </c>
      <c r="D123" s="243">
        <v>0</v>
      </c>
      <c r="E123" s="243">
        <v>0</v>
      </c>
      <c r="F123" s="243">
        <v>0</v>
      </c>
      <c r="G123" s="243">
        <v>0</v>
      </c>
      <c r="H123" s="243">
        <v>0</v>
      </c>
      <c r="I123" s="243">
        <v>0</v>
      </c>
      <c r="J123" s="243">
        <v>0</v>
      </c>
      <c r="K123" s="243">
        <v>0</v>
      </c>
      <c r="L123" s="243">
        <v>0</v>
      </c>
      <c r="M123" s="243">
        <v>0</v>
      </c>
      <c r="N123" s="243">
        <v>0</v>
      </c>
      <c r="O123" s="243">
        <v>0</v>
      </c>
      <c r="P123" s="243">
        <v>0</v>
      </c>
      <c r="Q123" s="243">
        <v>0</v>
      </c>
      <c r="R123" s="254">
        <f t="shared" si="20"/>
        <v>0</v>
      </c>
      <c r="U123" s="506"/>
      <c r="V123" s="252" t="s">
        <v>379</v>
      </c>
      <c r="W123" s="243">
        <v>0</v>
      </c>
      <c r="X123" s="243">
        <v>0</v>
      </c>
      <c r="Y123" s="243">
        <v>0</v>
      </c>
      <c r="Z123" s="243">
        <v>0</v>
      </c>
      <c r="AA123" s="243">
        <v>0</v>
      </c>
      <c r="AB123" s="243">
        <v>0</v>
      </c>
      <c r="AC123" s="243">
        <v>0</v>
      </c>
      <c r="AD123" s="243">
        <v>0</v>
      </c>
      <c r="AE123" s="243">
        <v>0</v>
      </c>
      <c r="AF123" s="243">
        <v>0</v>
      </c>
      <c r="AG123" s="243">
        <v>0</v>
      </c>
      <c r="AH123" s="243">
        <v>0</v>
      </c>
      <c r="AI123" s="243">
        <v>0</v>
      </c>
      <c r="AJ123" s="243">
        <v>0</v>
      </c>
      <c r="AK123" s="243">
        <v>0</v>
      </c>
      <c r="AL123" s="254">
        <f t="shared" si="21"/>
        <v>0</v>
      </c>
    </row>
    <row r="124" spans="1:38" ht="14.4" customHeight="1">
      <c r="A124" s="506"/>
      <c r="B124" s="252" t="s">
        <v>380</v>
      </c>
      <c r="C124" s="243">
        <v>0</v>
      </c>
      <c r="D124" s="243">
        <v>0</v>
      </c>
      <c r="E124" s="243">
        <v>0</v>
      </c>
      <c r="F124" s="243">
        <v>0</v>
      </c>
      <c r="G124" s="243">
        <v>0</v>
      </c>
      <c r="H124" s="243">
        <v>0</v>
      </c>
      <c r="I124" s="243">
        <v>0</v>
      </c>
      <c r="J124" s="243">
        <v>0</v>
      </c>
      <c r="K124" s="243">
        <v>0</v>
      </c>
      <c r="L124" s="243">
        <v>0</v>
      </c>
      <c r="M124" s="243">
        <v>0</v>
      </c>
      <c r="N124" s="243">
        <v>0</v>
      </c>
      <c r="O124" s="243">
        <v>0</v>
      </c>
      <c r="P124" s="243">
        <v>0</v>
      </c>
      <c r="Q124" s="243">
        <v>0</v>
      </c>
      <c r="R124" s="254">
        <f t="shared" si="20"/>
        <v>0</v>
      </c>
      <c r="U124" s="506"/>
      <c r="V124" s="252" t="s">
        <v>380</v>
      </c>
      <c r="W124" s="243">
        <v>0</v>
      </c>
      <c r="X124" s="243">
        <v>0</v>
      </c>
      <c r="Y124" s="243">
        <v>0</v>
      </c>
      <c r="Z124" s="243">
        <v>0</v>
      </c>
      <c r="AA124" s="243">
        <v>0</v>
      </c>
      <c r="AB124" s="243">
        <v>0</v>
      </c>
      <c r="AC124" s="243">
        <v>0</v>
      </c>
      <c r="AD124" s="243">
        <v>0</v>
      </c>
      <c r="AE124" s="243">
        <v>0</v>
      </c>
      <c r="AF124" s="243">
        <v>0</v>
      </c>
      <c r="AG124" s="243">
        <v>0</v>
      </c>
      <c r="AH124" s="243">
        <v>0</v>
      </c>
      <c r="AI124" s="243">
        <v>0</v>
      </c>
      <c r="AJ124" s="243">
        <v>0</v>
      </c>
      <c r="AK124" s="243">
        <v>0</v>
      </c>
      <c r="AL124" s="254">
        <f t="shared" si="21"/>
        <v>0</v>
      </c>
    </row>
    <row r="125" spans="1:38" ht="14.4" customHeight="1">
      <c r="A125" s="506"/>
      <c r="B125" s="252" t="s">
        <v>381</v>
      </c>
      <c r="C125" s="243">
        <v>0</v>
      </c>
      <c r="D125" s="243">
        <v>0</v>
      </c>
      <c r="E125" s="243">
        <v>0</v>
      </c>
      <c r="F125" s="243">
        <v>0</v>
      </c>
      <c r="G125" s="243">
        <v>0</v>
      </c>
      <c r="H125" s="243">
        <v>0</v>
      </c>
      <c r="I125" s="243">
        <v>0</v>
      </c>
      <c r="J125" s="243">
        <v>0</v>
      </c>
      <c r="K125" s="243">
        <v>0</v>
      </c>
      <c r="L125" s="243">
        <v>0</v>
      </c>
      <c r="M125" s="243">
        <v>0</v>
      </c>
      <c r="N125" s="243">
        <v>0</v>
      </c>
      <c r="O125" s="243">
        <v>0</v>
      </c>
      <c r="P125" s="243">
        <v>0</v>
      </c>
      <c r="Q125" s="243">
        <v>0</v>
      </c>
      <c r="R125" s="254">
        <f t="shared" si="20"/>
        <v>0</v>
      </c>
      <c r="U125" s="506"/>
      <c r="V125" s="252" t="s">
        <v>381</v>
      </c>
      <c r="W125" s="243">
        <v>0</v>
      </c>
      <c r="X125" s="243">
        <v>0</v>
      </c>
      <c r="Y125" s="243">
        <v>0</v>
      </c>
      <c r="Z125" s="243">
        <v>0</v>
      </c>
      <c r="AA125" s="243">
        <v>0</v>
      </c>
      <c r="AB125" s="243">
        <v>0</v>
      </c>
      <c r="AC125" s="243">
        <v>0</v>
      </c>
      <c r="AD125" s="243">
        <v>0</v>
      </c>
      <c r="AE125" s="243">
        <v>0</v>
      </c>
      <c r="AF125" s="243">
        <v>0</v>
      </c>
      <c r="AG125" s="243">
        <v>0</v>
      </c>
      <c r="AH125" s="243">
        <v>0</v>
      </c>
      <c r="AI125" s="243">
        <v>0</v>
      </c>
      <c r="AJ125" s="243">
        <v>0</v>
      </c>
      <c r="AK125" s="243">
        <v>0</v>
      </c>
      <c r="AL125" s="254">
        <f t="shared" si="21"/>
        <v>0</v>
      </c>
    </row>
    <row r="126" spans="1:38" ht="14.4" customHeight="1">
      <c r="A126" s="506"/>
      <c r="B126" s="252" t="s">
        <v>37</v>
      </c>
      <c r="C126" s="243">
        <v>0</v>
      </c>
      <c r="D126" s="243">
        <v>0</v>
      </c>
      <c r="E126" s="243">
        <v>0</v>
      </c>
      <c r="F126" s="243">
        <v>0</v>
      </c>
      <c r="G126" s="243">
        <v>0</v>
      </c>
      <c r="H126" s="243">
        <v>0</v>
      </c>
      <c r="I126" s="243">
        <v>0</v>
      </c>
      <c r="J126" s="243">
        <v>0</v>
      </c>
      <c r="K126" s="243">
        <v>0</v>
      </c>
      <c r="L126" s="243">
        <v>0</v>
      </c>
      <c r="M126" s="243">
        <v>0</v>
      </c>
      <c r="N126" s="243">
        <v>0</v>
      </c>
      <c r="O126" s="243">
        <v>0</v>
      </c>
      <c r="P126" s="243">
        <v>0</v>
      </c>
      <c r="Q126" s="243">
        <v>0</v>
      </c>
      <c r="R126" s="254">
        <f t="shared" si="20"/>
        <v>0</v>
      </c>
      <c r="U126" s="506"/>
      <c r="V126" s="252" t="s">
        <v>37</v>
      </c>
      <c r="W126" s="243">
        <v>0</v>
      </c>
      <c r="X126" s="243">
        <v>0</v>
      </c>
      <c r="Y126" s="243">
        <v>0</v>
      </c>
      <c r="Z126" s="243">
        <v>0</v>
      </c>
      <c r="AA126" s="243">
        <v>0</v>
      </c>
      <c r="AB126" s="243">
        <v>0</v>
      </c>
      <c r="AC126" s="243">
        <v>0</v>
      </c>
      <c r="AD126" s="243">
        <v>0</v>
      </c>
      <c r="AE126" s="243">
        <v>0</v>
      </c>
      <c r="AF126" s="243">
        <v>0</v>
      </c>
      <c r="AG126" s="243">
        <v>0</v>
      </c>
      <c r="AH126" s="243">
        <v>0</v>
      </c>
      <c r="AI126" s="243">
        <v>0</v>
      </c>
      <c r="AJ126" s="243">
        <v>0</v>
      </c>
      <c r="AK126" s="243">
        <v>0</v>
      </c>
      <c r="AL126" s="254">
        <f t="shared" si="21"/>
        <v>0</v>
      </c>
    </row>
    <row r="127" spans="1:38" ht="14.4" customHeight="1">
      <c r="A127" s="506"/>
      <c r="B127" s="252" t="s">
        <v>38</v>
      </c>
      <c r="C127" s="243">
        <v>0</v>
      </c>
      <c r="D127" s="243">
        <v>0</v>
      </c>
      <c r="E127" s="243">
        <v>0</v>
      </c>
      <c r="F127" s="243">
        <v>0</v>
      </c>
      <c r="G127" s="243">
        <v>0</v>
      </c>
      <c r="H127" s="243">
        <v>0</v>
      </c>
      <c r="I127" s="243">
        <v>0</v>
      </c>
      <c r="J127" s="243">
        <v>0</v>
      </c>
      <c r="K127" s="243">
        <v>0</v>
      </c>
      <c r="L127" s="243">
        <v>0</v>
      </c>
      <c r="M127" s="243">
        <v>0</v>
      </c>
      <c r="N127" s="243">
        <v>0</v>
      </c>
      <c r="O127" s="243">
        <f>O118*$F$17</f>
        <v>4.752512946641942</v>
      </c>
      <c r="P127" s="243">
        <v>0</v>
      </c>
      <c r="Q127" s="243">
        <v>0</v>
      </c>
      <c r="R127" s="254">
        <f t="shared" si="20"/>
        <v>4.752512946641942</v>
      </c>
      <c r="U127" s="506"/>
      <c r="V127" s="252" t="s">
        <v>38</v>
      </c>
      <c r="W127" s="243">
        <v>0</v>
      </c>
      <c r="X127" s="243">
        <v>0</v>
      </c>
      <c r="Y127" s="243">
        <v>0</v>
      </c>
      <c r="Z127" s="243">
        <v>0</v>
      </c>
      <c r="AA127" s="243">
        <v>0</v>
      </c>
      <c r="AB127" s="243">
        <v>0</v>
      </c>
      <c r="AC127" s="243">
        <v>0</v>
      </c>
      <c r="AD127" s="243">
        <v>0</v>
      </c>
      <c r="AE127" s="243">
        <v>0</v>
      </c>
      <c r="AF127" s="243">
        <v>0</v>
      </c>
      <c r="AG127" s="243">
        <v>0</v>
      </c>
      <c r="AH127" s="243">
        <v>0</v>
      </c>
      <c r="AI127" s="243">
        <f>AI118*$F$17</f>
        <v>4.2959629076883052</v>
      </c>
      <c r="AJ127" s="243">
        <v>0</v>
      </c>
      <c r="AK127" s="243">
        <v>0</v>
      </c>
      <c r="AL127" s="254">
        <f t="shared" si="21"/>
        <v>4.2959629076883052</v>
      </c>
    </row>
    <row r="128" spans="1:38" ht="14.4" customHeight="1">
      <c r="A128" s="506"/>
      <c r="B128" s="252" t="s">
        <v>39</v>
      </c>
      <c r="C128" s="243">
        <v>0</v>
      </c>
      <c r="D128" s="243">
        <v>0</v>
      </c>
      <c r="E128" s="243">
        <v>0</v>
      </c>
      <c r="F128" s="243">
        <v>0</v>
      </c>
      <c r="G128" s="243">
        <v>0</v>
      </c>
      <c r="H128" s="243">
        <v>0</v>
      </c>
      <c r="I128" s="243">
        <v>0</v>
      </c>
      <c r="J128" s="243">
        <v>0</v>
      </c>
      <c r="K128" s="243">
        <v>0</v>
      </c>
      <c r="L128" s="243">
        <v>0</v>
      </c>
      <c r="M128" s="243">
        <v>0</v>
      </c>
      <c r="N128" s="243">
        <v>0</v>
      </c>
      <c r="O128" s="243">
        <f>O118*$F$18</f>
        <v>45.244092323072337</v>
      </c>
      <c r="P128" s="243">
        <f>P119*$R$18</f>
        <v>0</v>
      </c>
      <c r="Q128" s="243">
        <v>0</v>
      </c>
      <c r="R128" s="254">
        <f t="shared" si="20"/>
        <v>45.244092323072337</v>
      </c>
      <c r="S128" s="259"/>
      <c r="U128" s="506"/>
      <c r="V128" s="252" t="s">
        <v>39</v>
      </c>
      <c r="W128" s="243">
        <v>0</v>
      </c>
      <c r="X128" s="243">
        <v>0</v>
      </c>
      <c r="Y128" s="243">
        <v>0</v>
      </c>
      <c r="Z128" s="243">
        <v>0</v>
      </c>
      <c r="AA128" s="243">
        <v>0</v>
      </c>
      <c r="AB128" s="243">
        <v>0</v>
      </c>
      <c r="AC128" s="243">
        <v>0</v>
      </c>
      <c r="AD128" s="243">
        <v>0</v>
      </c>
      <c r="AE128" s="243">
        <v>0</v>
      </c>
      <c r="AF128" s="243">
        <v>0</v>
      </c>
      <c r="AG128" s="243">
        <v>0</v>
      </c>
      <c r="AH128" s="243">
        <v>0</v>
      </c>
      <c r="AI128" s="243">
        <f>AI118*$F$18</f>
        <v>40.897719710428326</v>
      </c>
      <c r="AJ128" s="243">
        <f>AJ119*$R$18</f>
        <v>0</v>
      </c>
      <c r="AK128" s="243">
        <v>0</v>
      </c>
      <c r="AL128" s="254">
        <f t="shared" si="21"/>
        <v>40.897719710428326</v>
      </c>
    </row>
    <row r="129" spans="1:38" ht="14.4" customHeight="1">
      <c r="A129" s="506"/>
      <c r="B129" s="247" t="s">
        <v>40</v>
      </c>
      <c r="C129" s="248">
        <f>SUM(C117:C128)</f>
        <v>0</v>
      </c>
      <c r="D129" s="248">
        <f t="shared" ref="D129:N129" si="24">SUM(D117:D128)</f>
        <v>0</v>
      </c>
      <c r="E129" s="248">
        <f t="shared" si="24"/>
        <v>1054.0571734913094</v>
      </c>
      <c r="F129" s="248">
        <f t="shared" si="24"/>
        <v>0</v>
      </c>
      <c r="G129" s="248">
        <f t="shared" si="24"/>
        <v>0</v>
      </c>
      <c r="H129" s="248">
        <f t="shared" si="24"/>
        <v>274.59307464209633</v>
      </c>
      <c r="I129" s="248">
        <f t="shared" si="24"/>
        <v>0</v>
      </c>
      <c r="J129" s="248">
        <f t="shared" si="24"/>
        <v>0</v>
      </c>
      <c r="K129" s="248">
        <f t="shared" si="24"/>
        <v>0</v>
      </c>
      <c r="L129" s="248">
        <f t="shared" si="24"/>
        <v>0</v>
      </c>
      <c r="M129" s="248">
        <f t="shared" si="24"/>
        <v>0</v>
      </c>
      <c r="N129" s="248">
        <f t="shared" si="24"/>
        <v>0</v>
      </c>
      <c r="O129" s="248">
        <f>-O139</f>
        <v>-688.3816257085582</v>
      </c>
      <c r="P129" s="248">
        <f>-P131</f>
        <v>0</v>
      </c>
      <c r="Q129" s="248">
        <f>SUM(Q117:Q128)</f>
        <v>0</v>
      </c>
      <c r="R129" s="248">
        <f t="shared" si="20"/>
        <v>640.26862242484754</v>
      </c>
      <c r="U129" s="506"/>
      <c r="V129" s="247" t="s">
        <v>40</v>
      </c>
      <c r="W129" s="248">
        <f>SUM(W117:W128)</f>
        <v>0</v>
      </c>
      <c r="X129" s="248">
        <f t="shared" ref="X129:AH129" si="25">SUM(X117:X128)</f>
        <v>0</v>
      </c>
      <c r="Y129" s="248">
        <f t="shared" si="25"/>
        <v>873.8487801914049</v>
      </c>
      <c r="Z129" s="248">
        <f t="shared" si="25"/>
        <v>0</v>
      </c>
      <c r="AA129" s="248">
        <f t="shared" si="25"/>
        <v>0</v>
      </c>
      <c r="AB129" s="248">
        <f t="shared" si="25"/>
        <v>252.85919204044885</v>
      </c>
      <c r="AC129" s="248">
        <f t="shared" si="25"/>
        <v>75.233222784338906</v>
      </c>
      <c r="AD129" s="248">
        <f t="shared" si="25"/>
        <v>0</v>
      </c>
      <c r="AE129" s="248">
        <f t="shared" si="25"/>
        <v>0</v>
      </c>
      <c r="AF129" s="248">
        <f t="shared" si="25"/>
        <v>0</v>
      </c>
      <c r="AG129" s="248">
        <f t="shared" si="25"/>
        <v>0</v>
      </c>
      <c r="AH129" s="248">
        <f t="shared" si="25"/>
        <v>0</v>
      </c>
      <c r="AI129" s="248">
        <f>-AI139</f>
        <v>-622.25226182028587</v>
      </c>
      <c r="AJ129" s="248">
        <f>-AJ131</f>
        <v>0</v>
      </c>
      <c r="AK129" s="248">
        <f>SUM(AK117:AK128)</f>
        <v>0</v>
      </c>
      <c r="AL129" s="248">
        <f t="shared" si="21"/>
        <v>579.68893319590688</v>
      </c>
    </row>
    <row r="130" spans="1:38" ht="14.4" customHeight="1">
      <c r="A130" s="506"/>
      <c r="B130" s="249"/>
      <c r="C130" s="250"/>
      <c r="D130" s="250"/>
      <c r="E130" s="257"/>
      <c r="F130" s="250"/>
      <c r="G130" s="250"/>
      <c r="H130" s="250"/>
      <c r="I130" s="257"/>
      <c r="J130" s="250"/>
      <c r="K130" s="250"/>
      <c r="L130" s="250"/>
      <c r="M130" s="258"/>
      <c r="N130" s="250"/>
      <c r="O130" s="250"/>
      <c r="P130" s="250"/>
      <c r="Q130" s="250"/>
      <c r="R130" s="250"/>
      <c r="U130" s="506"/>
      <c r="V130" s="249"/>
      <c r="W130" s="250"/>
      <c r="X130" s="250"/>
      <c r="Y130" s="257"/>
      <c r="Z130" s="250"/>
      <c r="AA130" s="250"/>
      <c r="AB130" s="250"/>
      <c r="AC130" s="257"/>
      <c r="AD130" s="250"/>
      <c r="AE130" s="250"/>
      <c r="AF130" s="250"/>
      <c r="AG130" s="258"/>
      <c r="AH130" s="250"/>
      <c r="AI130" s="250"/>
      <c r="AJ130" s="250"/>
      <c r="AK130" s="250"/>
      <c r="AL130" s="250"/>
    </row>
    <row r="131" spans="1:38" ht="14.4" customHeight="1">
      <c r="A131" s="506"/>
      <c r="B131" s="252" t="s">
        <v>41</v>
      </c>
      <c r="C131" s="243">
        <v>0</v>
      </c>
      <c r="D131" s="243">
        <v>0</v>
      </c>
      <c r="E131" s="243">
        <f>Industrie!$E$35</f>
        <v>0</v>
      </c>
      <c r="F131" s="243">
        <v>0</v>
      </c>
      <c r="G131" s="243">
        <v>0</v>
      </c>
      <c r="H131" s="243">
        <v>0</v>
      </c>
      <c r="I131" s="243">
        <v>0</v>
      </c>
      <c r="J131" s="243">
        <v>0</v>
      </c>
      <c r="K131" s="243">
        <v>0</v>
      </c>
      <c r="L131" s="243">
        <v>0</v>
      </c>
      <c r="M131" s="243">
        <v>0</v>
      </c>
      <c r="N131" s="243">
        <v>0</v>
      </c>
      <c r="O131" s="243">
        <f>Industrie!$E$36</f>
        <v>320.17103725180613</v>
      </c>
      <c r="P131" s="243">
        <f>Industrie!$E$39</f>
        <v>0</v>
      </c>
      <c r="Q131" s="243">
        <v>0</v>
      </c>
      <c r="R131" s="254">
        <f>SUM(C131:Q131)</f>
        <v>320.17103725180613</v>
      </c>
      <c r="U131" s="506"/>
      <c r="V131" s="252" t="s">
        <v>41</v>
      </c>
      <c r="W131" s="243">
        <v>0</v>
      </c>
      <c r="X131" s="243">
        <v>0</v>
      </c>
      <c r="Y131" s="243">
        <f>Industrie!$E$56</f>
        <v>0</v>
      </c>
      <c r="Z131" s="243">
        <v>0</v>
      </c>
      <c r="AA131" s="243">
        <v>0</v>
      </c>
      <c r="AB131" s="243">
        <v>0</v>
      </c>
      <c r="AC131" s="243">
        <f>Industrie!$E$62*$V$13/SUM($V$13:$AA$13)</f>
        <v>0</v>
      </c>
      <c r="AD131" s="243">
        <f>Industrie!$E$62*$W$13/SUM($V$13:$AA$13)</f>
        <v>0</v>
      </c>
      <c r="AE131" s="243">
        <f>Industrie!$E$62*$X$13/SUM($V$13:$AA$13)</f>
        <v>0</v>
      </c>
      <c r="AF131" s="243">
        <f>Industrie!$E$62*$Y$13/SUM($V$13:$AA$13)</f>
        <v>0</v>
      </c>
      <c r="AG131" s="243">
        <f>Industrie!$E$62*$Z$13/SUM($V$13:$AA$13)</f>
        <v>0</v>
      </c>
      <c r="AH131" s="243">
        <f>Industrie!$E$62*$AA$13/SUM($V$13:$AA$13)</f>
        <v>0</v>
      </c>
      <c r="AI131" s="243">
        <f>Industrie!$E$57</f>
        <v>289.24478672695653</v>
      </c>
      <c r="AJ131" s="243">
        <f>Industrie!$E$63</f>
        <v>0</v>
      </c>
      <c r="AK131" s="243">
        <v>0</v>
      </c>
      <c r="AL131" s="254">
        <f>SUM(W131:AK131)</f>
        <v>289.24478672695653</v>
      </c>
    </row>
    <row r="132" spans="1:38" ht="14.4" customHeight="1">
      <c r="A132" s="506"/>
      <c r="B132" s="252" t="s">
        <v>42</v>
      </c>
      <c r="C132" s="243">
        <v>0</v>
      </c>
      <c r="D132" s="243">
        <v>0</v>
      </c>
      <c r="E132" s="243">
        <f>Transports!$G$49+Transports!$E$106+Transports!$E$203</f>
        <v>1769.010399457424</v>
      </c>
      <c r="F132" s="243">
        <v>0</v>
      </c>
      <c r="G132" s="243">
        <v>0</v>
      </c>
      <c r="H132" s="243">
        <v>0</v>
      </c>
      <c r="I132" s="243">
        <v>0</v>
      </c>
      <c r="J132" s="243">
        <v>0</v>
      </c>
      <c r="K132" s="243">
        <v>0</v>
      </c>
      <c r="L132" s="243">
        <v>0</v>
      </c>
      <c r="M132" s="243">
        <v>0</v>
      </c>
      <c r="N132" s="243">
        <v>0</v>
      </c>
      <c r="O132" s="243">
        <f>Transports!$G$50+Transports!$E$107</f>
        <v>16.060816127505216</v>
      </c>
      <c r="P132" s="243">
        <v>0</v>
      </c>
      <c r="Q132" s="243">
        <v>0</v>
      </c>
      <c r="R132" s="254">
        <f t="shared" ref="R132:R139" si="26">SUM(C132:Q132)</f>
        <v>1785.0712155849292</v>
      </c>
      <c r="U132" s="506"/>
      <c r="V132" s="252" t="s">
        <v>42</v>
      </c>
      <c r="W132" s="243">
        <v>0</v>
      </c>
      <c r="X132" s="243">
        <v>0</v>
      </c>
      <c r="Y132" s="243">
        <f>Transports!$G$76+Transports!$E$150+Transports!$E$238</f>
        <v>1536.4585761648232</v>
      </c>
      <c r="Z132" s="243">
        <v>0</v>
      </c>
      <c r="AA132" s="243">
        <v>0</v>
      </c>
      <c r="AB132" s="243">
        <v>0</v>
      </c>
      <c r="AC132" s="243">
        <v>0</v>
      </c>
      <c r="AD132" s="243">
        <v>0</v>
      </c>
      <c r="AE132" s="243">
        <f>Transports!$E$236+Transports!$E$237</f>
        <v>3.7255889327403082</v>
      </c>
      <c r="AF132" s="243">
        <v>0</v>
      </c>
      <c r="AG132" s="243">
        <v>0</v>
      </c>
      <c r="AH132" s="243">
        <v>0</v>
      </c>
      <c r="AI132" s="243">
        <f>Transports!$G$77+Transports!$E$151</f>
        <v>60.887384426662635</v>
      </c>
      <c r="AJ132" s="243">
        <v>0</v>
      </c>
      <c r="AK132" s="243">
        <v>0</v>
      </c>
      <c r="AL132" s="254">
        <f t="shared" ref="AL132:AL139" si="27">SUM(W132:AK132)</f>
        <v>1601.0715495242262</v>
      </c>
    </row>
    <row r="133" spans="1:38" ht="14.4" customHeight="1">
      <c r="A133" s="506"/>
      <c r="B133" s="252" t="s">
        <v>43</v>
      </c>
      <c r="C133" s="243">
        <v>0</v>
      </c>
      <c r="D133" s="243">
        <v>0</v>
      </c>
      <c r="E133" s="243">
        <f>'Résidentiel-tertiaire'!$E$172</f>
        <v>88.966444833625232</v>
      </c>
      <c r="F133" s="243">
        <v>0</v>
      </c>
      <c r="G133" s="243">
        <v>0</v>
      </c>
      <c r="H133" s="243">
        <v>0</v>
      </c>
      <c r="I133" s="243">
        <f>'Résidentiel-tertiaire'!$E$173*$I$51/SUM($I$51:$N$51)</f>
        <v>0</v>
      </c>
      <c r="J133" s="243">
        <f>'Résidentiel-tertiaire'!$E$173*$J$51/SUM($I$51:$N$51)</f>
        <v>0</v>
      </c>
      <c r="K133" s="243">
        <f>'Résidentiel-tertiaire'!$E$173*$K$51/SUM($I$51:$N$51)</f>
        <v>0</v>
      </c>
      <c r="L133" s="243">
        <f>'Résidentiel-tertiaire'!$E$173*$L$51/SUM($I$51:$N$51)</f>
        <v>0</v>
      </c>
      <c r="M133" s="243">
        <f>'Résidentiel-tertiaire'!$E$173*$M$51/SUM($I$51:$N$51)</f>
        <v>0</v>
      </c>
      <c r="N133" s="243">
        <f>'Résidentiel-tertiaire'!$E$173*$N$51/SUM($I$51:$N$51)</f>
        <v>21.671313485113835</v>
      </c>
      <c r="O133" s="243">
        <f>'Résidentiel-tertiaire'!$E$174</f>
        <v>238.38444833625218</v>
      </c>
      <c r="P133" s="243">
        <v>0</v>
      </c>
      <c r="Q133" s="243">
        <v>0</v>
      </c>
      <c r="R133" s="254">
        <f t="shared" si="26"/>
        <v>349.02220665499124</v>
      </c>
      <c r="S133" s="259">
        <f>R139+R129</f>
        <v>3357.7332261087795</v>
      </c>
      <c r="U133" s="506"/>
      <c r="V133" s="252" t="s">
        <v>43</v>
      </c>
      <c r="W133" s="243">
        <v>0</v>
      </c>
      <c r="X133" s="243">
        <v>0</v>
      </c>
      <c r="Y133" s="243">
        <f>'Résidentiel-tertiaire'!$E$187</f>
        <v>60.475999999999999</v>
      </c>
      <c r="Z133" s="243">
        <v>0</v>
      </c>
      <c r="AA133" s="243">
        <v>0</v>
      </c>
      <c r="AB133" s="243">
        <v>0</v>
      </c>
      <c r="AC133" s="243">
        <f>'Résidentiel-tertiaire'!$E$188*$V$14/SUM($V$14:$AA$14)</f>
        <v>0</v>
      </c>
      <c r="AD133" s="243">
        <f>'Résidentiel-tertiaire'!$E$188*$W$14/SUM($V$14:$AA$14)</f>
        <v>0</v>
      </c>
      <c r="AE133" s="243">
        <f>'Résidentiel-tertiaire'!$E$188*$X$14/SUM($V$14:$AA$14)</f>
        <v>0</v>
      </c>
      <c r="AF133" s="243">
        <f>'Résidentiel-tertiaire'!$E$188*$Y$14/SUM($V$14:$AA$14)</f>
        <v>0</v>
      </c>
      <c r="AG133" s="243">
        <f>'Résidentiel-tertiaire'!$E$188*$Z$14/SUM($V$14:$AA$14)</f>
        <v>0</v>
      </c>
      <c r="AH133" s="243">
        <f>'Résidentiel-tertiaire'!$E$188*$AA$14/SUM($V$14:$AA$14)</f>
        <v>40.611959999999996</v>
      </c>
      <c r="AI133" s="243">
        <f>'Résidentiel-tertiaire'!$E$189</f>
        <v>175.07336800000002</v>
      </c>
      <c r="AJ133" s="243">
        <v>0</v>
      </c>
      <c r="AK133" s="243">
        <v>0</v>
      </c>
      <c r="AL133" s="254">
        <f t="shared" si="27"/>
        <v>276.16132800000003</v>
      </c>
    </row>
    <row r="134" spans="1:38" ht="14.4" customHeight="1">
      <c r="A134" s="506"/>
      <c r="B134" s="252" t="s">
        <v>44</v>
      </c>
      <c r="C134" s="243">
        <v>0</v>
      </c>
      <c r="D134" s="243">
        <v>0</v>
      </c>
      <c r="E134" s="243">
        <f>'Résidentiel-tertiaire'!$E$177</f>
        <v>38.780245183887921</v>
      </c>
      <c r="F134" s="243">
        <v>0</v>
      </c>
      <c r="G134" s="243">
        <v>0</v>
      </c>
      <c r="H134" s="243">
        <v>0</v>
      </c>
      <c r="I134" s="243">
        <v>0</v>
      </c>
      <c r="J134" s="243">
        <v>0</v>
      </c>
      <c r="K134" s="243">
        <v>0</v>
      </c>
      <c r="L134" s="243">
        <v>0</v>
      </c>
      <c r="M134" s="243">
        <v>0</v>
      </c>
      <c r="N134" s="243">
        <v>0</v>
      </c>
      <c r="O134" s="243">
        <f>'Résidentiel-tertiaire'!$E$180</f>
        <v>113.76532399299475</v>
      </c>
      <c r="P134" s="243">
        <v>0</v>
      </c>
      <c r="Q134" s="243">
        <v>0</v>
      </c>
      <c r="R134" s="254">
        <f t="shared" si="26"/>
        <v>152.54556917688268</v>
      </c>
      <c r="U134" s="506"/>
      <c r="V134" s="252" t="s">
        <v>44</v>
      </c>
      <c r="W134" s="243">
        <v>0</v>
      </c>
      <c r="X134" s="243">
        <v>0</v>
      </c>
      <c r="Y134" s="243">
        <f>'Résidentiel-tertiaire'!$E$192</f>
        <v>26.361333333333334</v>
      </c>
      <c r="Z134" s="243">
        <v>0</v>
      </c>
      <c r="AA134" s="243">
        <v>0</v>
      </c>
      <c r="AB134" s="243">
        <v>0</v>
      </c>
      <c r="AC134" s="243">
        <f>'Résidentiel-tertiaire'!$E$193*$V$15/SUM($V$15:$AA$15)</f>
        <v>0</v>
      </c>
      <c r="AD134" s="243">
        <f>'Résidentiel-tertiaire'!$E$193*$W$15/SUM($V$15:$AA$15)</f>
        <v>0</v>
      </c>
      <c r="AE134" s="243">
        <f>'Résidentiel-tertiaire'!$E$193*$X$15/SUM($V$15:$AA$15)</f>
        <v>0</v>
      </c>
      <c r="AF134" s="243">
        <f>'Résidentiel-tertiaire'!$E$193*$Y$15/SUM($V$15:$AA$15)</f>
        <v>0</v>
      </c>
      <c r="AG134" s="243">
        <f>'Résidentiel-tertiaire'!$E$193*$Z$15/SUM($V$15:$AA$15)</f>
        <v>0</v>
      </c>
      <c r="AH134" s="243">
        <f>'Résidentiel-tertiaire'!$E$193*$AA$15/SUM($V$15:$AA$15)</f>
        <v>0</v>
      </c>
      <c r="AI134" s="243">
        <f>'Résidentiel-tertiaire'!$E$194</f>
        <v>97.046722666666668</v>
      </c>
      <c r="AJ134" s="243">
        <v>0</v>
      </c>
      <c r="AK134" s="243">
        <v>0</v>
      </c>
      <c r="AL134" s="254">
        <f t="shared" si="27"/>
        <v>123.408056</v>
      </c>
    </row>
    <row r="135" spans="1:38" ht="14.4" customHeight="1">
      <c r="A135" s="506"/>
      <c r="B135" s="252" t="s">
        <v>4</v>
      </c>
      <c r="C135" s="243">
        <v>0</v>
      </c>
      <c r="D135" s="243">
        <v>0</v>
      </c>
      <c r="E135" s="243">
        <f>Agriculture!$M$27</f>
        <v>110.65457501532316</v>
      </c>
      <c r="F135" s="243">
        <v>0</v>
      </c>
      <c r="G135" s="243">
        <v>0</v>
      </c>
      <c r="H135" s="243">
        <v>0</v>
      </c>
      <c r="I135" s="243">
        <v>0</v>
      </c>
      <c r="J135" s="243">
        <v>0</v>
      </c>
      <c r="K135" s="243">
        <v>0</v>
      </c>
      <c r="L135" s="243">
        <v>0</v>
      </c>
      <c r="M135" s="243">
        <v>0</v>
      </c>
      <c r="N135" s="243">
        <v>0</v>
      </c>
      <c r="O135" s="243">
        <f>Agriculture!$M$28</f>
        <v>0</v>
      </c>
      <c r="P135" s="243">
        <v>0</v>
      </c>
      <c r="Q135" s="243">
        <v>0</v>
      </c>
      <c r="R135" s="254">
        <f t="shared" si="26"/>
        <v>110.65457501532316</v>
      </c>
      <c r="U135" s="506"/>
      <c r="V135" s="252" t="s">
        <v>4</v>
      </c>
      <c r="W135" s="243">
        <v>0</v>
      </c>
      <c r="X135" s="243">
        <v>0</v>
      </c>
      <c r="Y135" s="243">
        <f>Agriculture!$Q$43</f>
        <v>81.785161290322577</v>
      </c>
      <c r="Z135" s="243">
        <v>0</v>
      </c>
      <c r="AA135" s="243">
        <v>0</v>
      </c>
      <c r="AB135" s="243">
        <v>0</v>
      </c>
      <c r="AC135" s="243">
        <v>0</v>
      </c>
      <c r="AD135" s="243">
        <v>0</v>
      </c>
      <c r="AE135" s="243">
        <f>Agriculture!$Q$45</f>
        <v>61.93999190322581</v>
      </c>
      <c r="AF135" s="243">
        <v>0</v>
      </c>
      <c r="AG135" s="243">
        <v>0</v>
      </c>
      <c r="AH135" s="243">
        <v>0</v>
      </c>
      <c r="AI135" s="243">
        <f>Agriculture!$Q$44</f>
        <v>0</v>
      </c>
      <c r="AJ135" s="243">
        <v>0</v>
      </c>
      <c r="AK135" s="243">
        <v>0</v>
      </c>
      <c r="AL135" s="254">
        <f t="shared" si="27"/>
        <v>143.72515319354838</v>
      </c>
    </row>
    <row r="136" spans="1:38" ht="14.4" customHeight="1">
      <c r="A136" s="506"/>
      <c r="B136" s="252" t="s">
        <v>382</v>
      </c>
      <c r="C136" s="243">
        <v>0</v>
      </c>
      <c r="D136" s="243">
        <v>0</v>
      </c>
      <c r="E136" s="243">
        <v>0</v>
      </c>
      <c r="F136" s="243">
        <v>0</v>
      </c>
      <c r="G136" s="243">
        <v>0</v>
      </c>
      <c r="H136" s="243">
        <v>0</v>
      </c>
      <c r="I136" s="243">
        <v>0</v>
      </c>
      <c r="J136" s="243">
        <v>0</v>
      </c>
      <c r="K136" s="243">
        <v>0</v>
      </c>
      <c r="L136" s="243">
        <v>0</v>
      </c>
      <c r="M136" s="243">
        <v>0</v>
      </c>
      <c r="N136" s="243">
        <v>0</v>
      </c>
      <c r="O136" s="243">
        <v>0</v>
      </c>
      <c r="P136" s="243">
        <v>0</v>
      </c>
      <c r="Q136" s="243">
        <v>0</v>
      </c>
      <c r="R136" s="254">
        <f t="shared" si="26"/>
        <v>0</v>
      </c>
      <c r="U136" s="506"/>
      <c r="V136" s="252" t="s">
        <v>382</v>
      </c>
      <c r="W136" s="243">
        <v>0</v>
      </c>
      <c r="X136" s="243">
        <v>0</v>
      </c>
      <c r="Y136" s="243">
        <v>0</v>
      </c>
      <c r="Z136" s="243">
        <v>0</v>
      </c>
      <c r="AA136" s="243">
        <v>0</v>
      </c>
      <c r="AB136" s="243">
        <v>0</v>
      </c>
      <c r="AC136" s="243">
        <v>0</v>
      </c>
      <c r="AD136" s="243">
        <v>0</v>
      </c>
      <c r="AE136" s="243">
        <v>0</v>
      </c>
      <c r="AF136" s="243">
        <v>0</v>
      </c>
      <c r="AG136" s="243">
        <v>0</v>
      </c>
      <c r="AH136" s="243">
        <v>0</v>
      </c>
      <c r="AI136" s="243">
        <v>0</v>
      </c>
      <c r="AJ136" s="243">
        <v>0</v>
      </c>
      <c r="AK136" s="243">
        <v>0</v>
      </c>
      <c r="AL136" s="254">
        <f t="shared" si="27"/>
        <v>0</v>
      </c>
    </row>
    <row r="137" spans="1:38" ht="14.4" customHeight="1">
      <c r="A137" s="506"/>
      <c r="B137" s="247" t="s">
        <v>45</v>
      </c>
      <c r="C137" s="248">
        <f>SUM(C131:C136)</f>
        <v>0</v>
      </c>
      <c r="D137" s="248">
        <f t="shared" ref="D137:Q137" si="28">SUM(D131:D136)</f>
        <v>0</v>
      </c>
      <c r="E137" s="248">
        <f t="shared" si="28"/>
        <v>2007.4116644902604</v>
      </c>
      <c r="F137" s="248">
        <f t="shared" si="28"/>
        <v>0</v>
      </c>
      <c r="G137" s="248">
        <f t="shared" si="28"/>
        <v>0</v>
      </c>
      <c r="H137" s="248">
        <f t="shared" si="28"/>
        <v>0</v>
      </c>
      <c r="I137" s="248">
        <f t="shared" si="28"/>
        <v>0</v>
      </c>
      <c r="J137" s="248">
        <f t="shared" si="28"/>
        <v>0</v>
      </c>
      <c r="K137" s="248">
        <f t="shared" si="28"/>
        <v>0</v>
      </c>
      <c r="L137" s="248">
        <f t="shared" si="28"/>
        <v>0</v>
      </c>
      <c r="M137" s="248">
        <f t="shared" si="28"/>
        <v>0</v>
      </c>
      <c r="N137" s="248">
        <f t="shared" si="28"/>
        <v>21.671313485113835</v>
      </c>
      <c r="O137" s="248">
        <f t="shared" si="28"/>
        <v>688.3816257085582</v>
      </c>
      <c r="P137" s="248">
        <f t="shared" si="28"/>
        <v>0</v>
      </c>
      <c r="Q137" s="248">
        <f t="shared" si="28"/>
        <v>0</v>
      </c>
      <c r="R137" s="248">
        <f t="shared" si="26"/>
        <v>2717.4646036839322</v>
      </c>
      <c r="U137" s="506"/>
      <c r="V137" s="247" t="s">
        <v>45</v>
      </c>
      <c r="W137" s="248">
        <f>SUM(W131:W136)</f>
        <v>0</v>
      </c>
      <c r="X137" s="248">
        <f t="shared" ref="X137:AK137" si="29">SUM(X131:X136)</f>
        <v>0</v>
      </c>
      <c r="Y137" s="248">
        <f t="shared" si="29"/>
        <v>1705.0810707884791</v>
      </c>
      <c r="Z137" s="248">
        <f t="shared" si="29"/>
        <v>0</v>
      </c>
      <c r="AA137" s="248">
        <f t="shared" si="29"/>
        <v>0</v>
      </c>
      <c r="AB137" s="248">
        <f t="shared" si="29"/>
        <v>0</v>
      </c>
      <c r="AC137" s="248">
        <f t="shared" si="29"/>
        <v>0</v>
      </c>
      <c r="AD137" s="248">
        <f t="shared" si="29"/>
        <v>0</v>
      </c>
      <c r="AE137" s="248">
        <f t="shared" si="29"/>
        <v>65.665580835966125</v>
      </c>
      <c r="AF137" s="248">
        <f t="shared" si="29"/>
        <v>0</v>
      </c>
      <c r="AG137" s="248">
        <f t="shared" si="29"/>
        <v>0</v>
      </c>
      <c r="AH137" s="248">
        <f t="shared" si="29"/>
        <v>40.611959999999996</v>
      </c>
      <c r="AI137" s="248">
        <f t="shared" si="29"/>
        <v>622.25226182028587</v>
      </c>
      <c r="AJ137" s="248">
        <f t="shared" si="29"/>
        <v>0</v>
      </c>
      <c r="AK137" s="248">
        <f t="shared" si="29"/>
        <v>0</v>
      </c>
      <c r="AL137" s="248">
        <f t="shared" si="27"/>
        <v>2433.6108734447312</v>
      </c>
    </row>
    <row r="138" spans="1:38" ht="14.4" customHeight="1">
      <c r="A138" s="506"/>
      <c r="B138" s="242" t="s">
        <v>46</v>
      </c>
      <c r="C138" s="243">
        <v>0</v>
      </c>
      <c r="D138" s="243">
        <v>0</v>
      </c>
      <c r="E138" s="243">
        <f>Industrie!$E$37</f>
        <v>0</v>
      </c>
      <c r="F138" s="243">
        <v>0</v>
      </c>
      <c r="G138" s="243">
        <v>0</v>
      </c>
      <c r="H138" s="243">
        <v>0</v>
      </c>
      <c r="I138" s="243">
        <v>0</v>
      </c>
      <c r="J138" s="243">
        <v>0</v>
      </c>
      <c r="K138" s="243">
        <v>0</v>
      </c>
      <c r="L138" s="243">
        <v>0</v>
      </c>
      <c r="M138" s="243">
        <v>0</v>
      </c>
      <c r="N138" s="243">
        <v>0</v>
      </c>
      <c r="O138" s="243">
        <v>0</v>
      </c>
      <c r="P138" s="243">
        <v>0</v>
      </c>
      <c r="Q138" s="243">
        <v>0</v>
      </c>
      <c r="R138" s="254">
        <f t="shared" si="26"/>
        <v>0</v>
      </c>
      <c r="U138" s="506"/>
      <c r="V138" s="242" t="s">
        <v>46</v>
      </c>
      <c r="W138" s="243">
        <v>0</v>
      </c>
      <c r="X138" s="243">
        <v>0</v>
      </c>
      <c r="Y138" s="243">
        <f>Industrie!$E$59</f>
        <v>0</v>
      </c>
      <c r="Z138" s="243">
        <v>0</v>
      </c>
      <c r="AA138" s="243">
        <v>0</v>
      </c>
      <c r="AB138" s="243">
        <v>0</v>
      </c>
      <c r="AC138" s="243">
        <v>0</v>
      </c>
      <c r="AD138" s="243">
        <v>0</v>
      </c>
      <c r="AE138" s="243">
        <v>0</v>
      </c>
      <c r="AF138" s="243">
        <v>0</v>
      </c>
      <c r="AG138" s="243">
        <v>0</v>
      </c>
      <c r="AH138" s="243">
        <v>0</v>
      </c>
      <c r="AI138" s="243">
        <v>0</v>
      </c>
      <c r="AJ138" s="243">
        <v>0</v>
      </c>
      <c r="AK138" s="243">
        <v>0</v>
      </c>
      <c r="AL138" s="254">
        <f t="shared" si="27"/>
        <v>0</v>
      </c>
    </row>
    <row r="139" spans="1:38" ht="14.4" customHeight="1">
      <c r="A139" s="506"/>
      <c r="B139" s="247" t="s">
        <v>47</v>
      </c>
      <c r="C139" s="248">
        <f>C138+C137</f>
        <v>0</v>
      </c>
      <c r="D139" s="248">
        <f t="shared" ref="D139:Q139" si="30">D138+D137</f>
        <v>0</v>
      </c>
      <c r="E139" s="248">
        <f t="shared" si="30"/>
        <v>2007.4116644902604</v>
      </c>
      <c r="F139" s="248">
        <f t="shared" si="30"/>
        <v>0</v>
      </c>
      <c r="G139" s="248">
        <f t="shared" si="30"/>
        <v>0</v>
      </c>
      <c r="H139" s="248">
        <f t="shared" si="30"/>
        <v>0</v>
      </c>
      <c r="I139" s="248">
        <f t="shared" si="30"/>
        <v>0</v>
      </c>
      <c r="J139" s="248">
        <f t="shared" si="30"/>
        <v>0</v>
      </c>
      <c r="K139" s="248">
        <f t="shared" si="30"/>
        <v>0</v>
      </c>
      <c r="L139" s="248">
        <f t="shared" si="30"/>
        <v>0</v>
      </c>
      <c r="M139" s="248">
        <f t="shared" si="30"/>
        <v>0</v>
      </c>
      <c r="N139" s="248">
        <f t="shared" si="30"/>
        <v>21.671313485113835</v>
      </c>
      <c r="O139" s="248">
        <f t="shared" si="30"/>
        <v>688.3816257085582</v>
      </c>
      <c r="P139" s="248">
        <f t="shared" si="30"/>
        <v>0</v>
      </c>
      <c r="Q139" s="248">
        <f t="shared" si="30"/>
        <v>0</v>
      </c>
      <c r="R139" s="248">
        <f t="shared" si="26"/>
        <v>2717.4646036839322</v>
      </c>
      <c r="U139" s="506"/>
      <c r="V139" s="247" t="s">
        <v>47</v>
      </c>
      <c r="W139" s="248">
        <f>W138+W137</f>
        <v>0</v>
      </c>
      <c r="X139" s="248">
        <f t="shared" ref="X139:AK139" si="31">X138+X137</f>
        <v>0</v>
      </c>
      <c r="Y139" s="248">
        <f t="shared" si="31"/>
        <v>1705.0810707884791</v>
      </c>
      <c r="Z139" s="248">
        <f t="shared" si="31"/>
        <v>0</v>
      </c>
      <c r="AA139" s="248">
        <f t="shared" si="31"/>
        <v>0</v>
      </c>
      <c r="AB139" s="248">
        <f t="shared" si="31"/>
        <v>0</v>
      </c>
      <c r="AC139" s="248">
        <f t="shared" si="31"/>
        <v>0</v>
      </c>
      <c r="AD139" s="248">
        <f t="shared" si="31"/>
        <v>0</v>
      </c>
      <c r="AE139" s="248">
        <f t="shared" si="31"/>
        <v>65.665580835966125</v>
      </c>
      <c r="AF139" s="248">
        <f t="shared" si="31"/>
        <v>0</v>
      </c>
      <c r="AG139" s="248">
        <f t="shared" si="31"/>
        <v>0</v>
      </c>
      <c r="AH139" s="248">
        <f t="shared" si="31"/>
        <v>40.611959999999996</v>
      </c>
      <c r="AI139" s="248">
        <f t="shared" si="31"/>
        <v>622.25226182028587</v>
      </c>
      <c r="AJ139" s="248">
        <f t="shared" si="31"/>
        <v>0</v>
      </c>
      <c r="AK139" s="248">
        <f t="shared" si="31"/>
        <v>0</v>
      </c>
      <c r="AL139" s="248">
        <f t="shared" si="27"/>
        <v>2433.6108734447312</v>
      </c>
    </row>
    <row r="148" spans="1:38" ht="14.4" customHeight="1">
      <c r="A148" s="506">
        <v>2035</v>
      </c>
      <c r="B148" s="507" t="s">
        <v>12</v>
      </c>
      <c r="C148" s="508" t="s">
        <v>14</v>
      </c>
      <c r="D148" s="508" t="s">
        <v>15</v>
      </c>
      <c r="E148" s="508" t="s">
        <v>16</v>
      </c>
      <c r="F148" s="508" t="s">
        <v>17</v>
      </c>
      <c r="G148" s="508" t="s">
        <v>367</v>
      </c>
      <c r="H148" s="508" t="s">
        <v>18</v>
      </c>
      <c r="I148" s="508" t="s">
        <v>19</v>
      </c>
      <c r="J148" s="508"/>
      <c r="K148" s="508"/>
      <c r="L148" s="508"/>
      <c r="M148" s="508"/>
      <c r="N148" s="508"/>
      <c r="O148" s="509" t="s">
        <v>368</v>
      </c>
      <c r="P148" s="509" t="s">
        <v>21</v>
      </c>
      <c r="Q148" s="509" t="s">
        <v>369</v>
      </c>
      <c r="R148" s="509" t="s">
        <v>23</v>
      </c>
      <c r="U148" s="506">
        <v>2035</v>
      </c>
      <c r="V148" s="515" t="s">
        <v>12</v>
      </c>
      <c r="W148" s="509" t="s">
        <v>14</v>
      </c>
      <c r="X148" s="509" t="s">
        <v>15</v>
      </c>
      <c r="Y148" s="509" t="s">
        <v>16</v>
      </c>
      <c r="Z148" s="509" t="s">
        <v>17</v>
      </c>
      <c r="AA148" s="509" t="s">
        <v>367</v>
      </c>
      <c r="AB148" s="509" t="s">
        <v>18</v>
      </c>
      <c r="AC148" s="512" t="s">
        <v>19</v>
      </c>
      <c r="AD148" s="513"/>
      <c r="AE148" s="513"/>
      <c r="AF148" s="513"/>
      <c r="AG148" s="513"/>
      <c r="AH148" s="514"/>
      <c r="AI148" s="509" t="s">
        <v>368</v>
      </c>
      <c r="AJ148" s="509" t="s">
        <v>21</v>
      </c>
      <c r="AK148" s="509" t="s">
        <v>369</v>
      </c>
      <c r="AL148" s="509" t="s">
        <v>23</v>
      </c>
    </row>
    <row r="149" spans="1:38" ht="45.6">
      <c r="A149" s="506"/>
      <c r="B149" s="507"/>
      <c r="C149" s="508"/>
      <c r="D149" s="508"/>
      <c r="E149" s="508"/>
      <c r="F149" s="508"/>
      <c r="G149" s="508"/>
      <c r="H149" s="508"/>
      <c r="I149" s="240" t="s">
        <v>356</v>
      </c>
      <c r="J149" s="240" t="s">
        <v>7</v>
      </c>
      <c r="K149" s="240" t="s">
        <v>357</v>
      </c>
      <c r="L149" s="240" t="s">
        <v>370</v>
      </c>
      <c r="M149" s="241" t="s">
        <v>371</v>
      </c>
      <c r="N149" s="240" t="s">
        <v>372</v>
      </c>
      <c r="O149" s="509"/>
      <c r="P149" s="509"/>
      <c r="Q149" s="509"/>
      <c r="R149" s="509"/>
      <c r="U149" s="506"/>
      <c r="V149" s="516"/>
      <c r="W149" s="511"/>
      <c r="X149" s="511"/>
      <c r="Y149" s="511"/>
      <c r="Z149" s="511"/>
      <c r="AA149" s="511"/>
      <c r="AB149" s="511"/>
      <c r="AC149" s="240" t="s">
        <v>356</v>
      </c>
      <c r="AD149" s="240" t="s">
        <v>7</v>
      </c>
      <c r="AE149" s="240" t="s">
        <v>357</v>
      </c>
      <c r="AF149" s="240" t="s">
        <v>370</v>
      </c>
      <c r="AG149" s="241" t="s">
        <v>371</v>
      </c>
      <c r="AH149" s="240" t="s">
        <v>372</v>
      </c>
      <c r="AI149" s="511"/>
      <c r="AJ149" s="511"/>
      <c r="AK149" s="511"/>
      <c r="AL149" s="511"/>
    </row>
    <row r="150" spans="1:38" ht="14.4" customHeight="1">
      <c r="A150" s="506"/>
      <c r="B150" s="242" t="s">
        <v>24</v>
      </c>
      <c r="C150" s="243">
        <v>0</v>
      </c>
      <c r="D150" s="244">
        <v>0</v>
      </c>
      <c r="E150" s="244">
        <v>0</v>
      </c>
      <c r="F150" s="243">
        <v>0</v>
      </c>
      <c r="G150" s="244">
        <v>0</v>
      </c>
      <c r="H150" s="244">
        <f>H156</f>
        <v>279.95622063119981</v>
      </c>
      <c r="I150" s="244">
        <f>$I$27</f>
        <v>0</v>
      </c>
      <c r="J150" s="244">
        <f>J156</f>
        <v>0</v>
      </c>
      <c r="K150" s="244">
        <v>0</v>
      </c>
      <c r="L150" s="244">
        <f>L156</f>
        <v>0</v>
      </c>
      <c r="M150" s="244">
        <v>0</v>
      </c>
      <c r="N150" s="244">
        <f>N156</f>
        <v>21.477819614711034</v>
      </c>
      <c r="O150" s="245">
        <v>0</v>
      </c>
      <c r="P150" s="244">
        <v>0</v>
      </c>
      <c r="Q150" s="244">
        <v>0</v>
      </c>
      <c r="R150" s="246">
        <f>SUM(C150:Q150)</f>
        <v>301.43404024591086</v>
      </c>
      <c r="U150" s="506"/>
      <c r="V150" s="242" t="s">
        <v>24</v>
      </c>
      <c r="W150" s="243">
        <v>0</v>
      </c>
      <c r="X150" s="244">
        <v>0</v>
      </c>
      <c r="Y150" s="244">
        <v>0</v>
      </c>
      <c r="Z150" s="243">
        <v>0</v>
      </c>
      <c r="AA150" s="244">
        <v>0</v>
      </c>
      <c r="AB150" s="244">
        <f>AB156</f>
        <v>264.62777834811607</v>
      </c>
      <c r="AC150" s="244">
        <f>IF((AC156-$AC$27)&gt;0,$AC$27+(AC156-$AC$27)*0.5,AC156)</f>
        <v>59.015412256727039</v>
      </c>
      <c r="AD150" s="244">
        <f>AD156</f>
        <v>0</v>
      </c>
      <c r="AE150" s="244">
        <f>IF((AE156-$AE$27)&gt;0,$AE$27+(AE156-AE153-AE154-$AE$27)*0.5,AE156-AE153-AE$72)</f>
        <v>110.63319618099862</v>
      </c>
      <c r="AF150" s="244">
        <f>AF156</f>
        <v>0</v>
      </c>
      <c r="AG150" s="244">
        <v>0</v>
      </c>
      <c r="AH150" s="244">
        <f>AH156</f>
        <v>39.617594999999994</v>
      </c>
      <c r="AI150" s="245">
        <v>0</v>
      </c>
      <c r="AJ150" s="244">
        <v>0</v>
      </c>
      <c r="AK150" s="244">
        <v>0</v>
      </c>
      <c r="AL150" s="246">
        <f>SUM(W150:AK150)</f>
        <v>473.89398178584173</v>
      </c>
    </row>
    <row r="151" spans="1:38" ht="14.4" customHeight="1">
      <c r="A151" s="506"/>
      <c r="B151" s="242" t="s">
        <v>28</v>
      </c>
      <c r="C151" s="243">
        <f>C156</f>
        <v>0</v>
      </c>
      <c r="D151" s="244">
        <f>D156</f>
        <v>0</v>
      </c>
      <c r="E151" s="244">
        <f>E156-E153-E154</f>
        <v>3850.8808482109284</v>
      </c>
      <c r="F151" s="243">
        <v>0</v>
      </c>
      <c r="G151" s="244">
        <v>0</v>
      </c>
      <c r="H151" s="244">
        <v>0</v>
      </c>
      <c r="I151" s="244">
        <f>I156-$I$27</f>
        <v>0</v>
      </c>
      <c r="J151" s="244">
        <v>0</v>
      </c>
      <c r="K151" s="244">
        <f>K156</f>
        <v>0</v>
      </c>
      <c r="L151" s="244">
        <v>0</v>
      </c>
      <c r="M151" s="244">
        <v>0</v>
      </c>
      <c r="N151" s="244">
        <v>0</v>
      </c>
      <c r="O151" s="245">
        <v>0</v>
      </c>
      <c r="P151" s="244">
        <v>0</v>
      </c>
      <c r="Q151" s="244">
        <v>0</v>
      </c>
      <c r="R151" s="246">
        <f t="shared" ref="R151:R156" si="32">SUM(C151:Q151)</f>
        <v>3850.8808482109284</v>
      </c>
      <c r="U151" s="506"/>
      <c r="V151" s="242" t="s">
        <v>28</v>
      </c>
      <c r="W151" s="243">
        <f>W156</f>
        <v>0</v>
      </c>
      <c r="X151" s="244">
        <f>X156</f>
        <v>0</v>
      </c>
      <c r="Y151" s="244">
        <f>Y156-Y153-Y154</f>
        <v>2879.4333672471712</v>
      </c>
      <c r="Z151" s="243">
        <v>0</v>
      </c>
      <c r="AA151" s="244">
        <v>0</v>
      </c>
      <c r="AB151" s="244">
        <v>0</v>
      </c>
      <c r="AC151" s="244">
        <f>IF((AC156-$AC$27)&gt;0,(AC156-$AC$27)*0.5,0)</f>
        <v>59.015412256727039</v>
      </c>
      <c r="AD151" s="244">
        <v>0</v>
      </c>
      <c r="AE151" s="244">
        <f>IF((AE156-AE153-AE154-$AE$27)&gt;0,(AE156-AE153-AE154-$AE$27)*0.5,0)</f>
        <v>110.63319618099862</v>
      </c>
      <c r="AF151" s="244">
        <v>0</v>
      </c>
      <c r="AG151" s="244">
        <v>0</v>
      </c>
      <c r="AH151" s="244">
        <v>0</v>
      </c>
      <c r="AI151" s="245">
        <v>0</v>
      </c>
      <c r="AJ151" s="244">
        <v>0</v>
      </c>
      <c r="AK151" s="244">
        <v>0</v>
      </c>
      <c r="AL151" s="246">
        <f t="shared" ref="AL151:AL156" si="33">SUM(W151:AK151)</f>
        <v>3049.0819756848969</v>
      </c>
    </row>
    <row r="152" spans="1:38" ht="14.4" customHeight="1">
      <c r="A152" s="506"/>
      <c r="B152" s="242" t="s">
        <v>29</v>
      </c>
      <c r="C152" s="243">
        <v>0</v>
      </c>
      <c r="D152" s="244">
        <v>0</v>
      </c>
      <c r="E152" s="244">
        <v>0</v>
      </c>
      <c r="F152" s="243">
        <v>0</v>
      </c>
      <c r="G152" s="244">
        <v>0</v>
      </c>
      <c r="H152" s="244">
        <v>0</v>
      </c>
      <c r="I152" s="244">
        <v>0</v>
      </c>
      <c r="J152" s="244">
        <v>0</v>
      </c>
      <c r="K152" s="244">
        <v>0</v>
      </c>
      <c r="L152" s="244">
        <v>0</v>
      </c>
      <c r="M152" s="244">
        <v>0</v>
      </c>
      <c r="N152" s="244">
        <v>0</v>
      </c>
      <c r="O152" s="245">
        <v>0</v>
      </c>
      <c r="P152" s="244">
        <v>0</v>
      </c>
      <c r="Q152" s="244">
        <v>0</v>
      </c>
      <c r="R152" s="246">
        <f t="shared" si="32"/>
        <v>0</v>
      </c>
      <c r="U152" s="506"/>
      <c r="V152" s="242" t="s">
        <v>29</v>
      </c>
      <c r="W152" s="243">
        <v>0</v>
      </c>
      <c r="X152" s="244">
        <v>0</v>
      </c>
      <c r="Y152" s="244">
        <v>0</v>
      </c>
      <c r="Z152" s="243">
        <v>0</v>
      </c>
      <c r="AA152" s="244">
        <v>0</v>
      </c>
      <c r="AB152" s="244">
        <v>0</v>
      </c>
      <c r="AC152" s="244">
        <v>0</v>
      </c>
      <c r="AD152" s="244">
        <v>0</v>
      </c>
      <c r="AE152" s="244">
        <v>0</v>
      </c>
      <c r="AF152" s="244">
        <v>0</v>
      </c>
      <c r="AG152" s="244">
        <v>0</v>
      </c>
      <c r="AH152" s="244">
        <v>0</v>
      </c>
      <c r="AI152" s="245">
        <v>0</v>
      </c>
      <c r="AJ152" s="244">
        <v>0</v>
      </c>
      <c r="AK152" s="244">
        <v>0</v>
      </c>
      <c r="AL152" s="246">
        <f t="shared" si="33"/>
        <v>0</v>
      </c>
    </row>
    <row r="153" spans="1:38" ht="14.4" customHeight="1">
      <c r="A153" s="506"/>
      <c r="B153" s="242" t="s">
        <v>30</v>
      </c>
      <c r="C153" s="243">
        <v>0</v>
      </c>
      <c r="D153" s="244">
        <v>0</v>
      </c>
      <c r="E153" s="244">
        <f>-Transports!$F$125</f>
        <v>-391.67013284546778</v>
      </c>
      <c r="F153" s="243">
        <v>0</v>
      </c>
      <c r="G153" s="244">
        <v>0</v>
      </c>
      <c r="H153" s="244">
        <v>0</v>
      </c>
      <c r="I153" s="244">
        <v>0</v>
      </c>
      <c r="J153" s="244">
        <v>0</v>
      </c>
      <c r="K153" s="244">
        <v>0</v>
      </c>
      <c r="L153" s="244">
        <v>0</v>
      </c>
      <c r="M153" s="244">
        <v>0</v>
      </c>
      <c r="N153" s="244">
        <v>0</v>
      </c>
      <c r="O153" s="245">
        <v>0</v>
      </c>
      <c r="P153" s="244">
        <v>0</v>
      </c>
      <c r="Q153" s="244">
        <v>0</v>
      </c>
      <c r="R153" s="246">
        <f t="shared" si="32"/>
        <v>-391.67013284546778</v>
      </c>
      <c r="U153" s="506"/>
      <c r="V153" s="242" t="s">
        <v>30</v>
      </c>
      <c r="W153" s="243">
        <v>0</v>
      </c>
      <c r="X153" s="244">
        <v>0</v>
      </c>
      <c r="Y153" s="244">
        <f>-Transports!$F$172-Transports!$F$171</f>
        <v>-311.67322128378737</v>
      </c>
      <c r="Z153" s="243">
        <v>0</v>
      </c>
      <c r="AA153" s="244">
        <v>0</v>
      </c>
      <c r="AB153" s="244">
        <v>0</v>
      </c>
      <c r="AC153" s="244">
        <v>0</v>
      </c>
      <c r="AD153" s="244">
        <v>0</v>
      </c>
      <c r="AE153" s="244">
        <f>-Transports!$F$170</f>
        <v>-45.750197619638513</v>
      </c>
      <c r="AF153" s="244">
        <v>0</v>
      </c>
      <c r="AG153" s="244">
        <v>0</v>
      </c>
      <c r="AH153" s="244">
        <v>0</v>
      </c>
      <c r="AI153" s="245">
        <v>0</v>
      </c>
      <c r="AJ153" s="244">
        <v>0</v>
      </c>
      <c r="AK153" s="244">
        <v>0</v>
      </c>
      <c r="AL153" s="246">
        <f t="shared" si="33"/>
        <v>-357.4234189034259</v>
      </c>
    </row>
    <row r="154" spans="1:38" ht="14.4" customHeight="1">
      <c r="A154" s="506"/>
      <c r="B154" s="242" t="s">
        <v>31</v>
      </c>
      <c r="C154" s="243">
        <v>0</v>
      </c>
      <c r="D154" s="244">
        <v>0</v>
      </c>
      <c r="E154" s="244">
        <f>-Transports!$F$202</f>
        <v>-417.98335132185463</v>
      </c>
      <c r="F154" s="243">
        <v>0</v>
      </c>
      <c r="G154" s="244">
        <v>0</v>
      </c>
      <c r="H154" s="244">
        <v>0</v>
      </c>
      <c r="I154" s="244">
        <v>0</v>
      </c>
      <c r="J154" s="244">
        <v>0</v>
      </c>
      <c r="K154" s="244">
        <v>0</v>
      </c>
      <c r="L154" s="244">
        <v>0</v>
      </c>
      <c r="M154" s="244">
        <v>0</v>
      </c>
      <c r="N154" s="244">
        <v>0</v>
      </c>
      <c r="O154" s="245">
        <v>0</v>
      </c>
      <c r="P154" s="244">
        <v>0</v>
      </c>
      <c r="Q154" s="244">
        <v>0</v>
      </c>
      <c r="R154" s="246">
        <f t="shared" si="32"/>
        <v>-417.98335132185463</v>
      </c>
      <c r="U154" s="506"/>
      <c r="V154" s="242" t="s">
        <v>31</v>
      </c>
      <c r="W154" s="243">
        <v>0</v>
      </c>
      <c r="X154" s="244">
        <v>0</v>
      </c>
      <c r="Y154" s="244">
        <f>-Transports!$F$234</f>
        <v>-303.98324047765311</v>
      </c>
      <c r="Z154" s="243">
        <v>0</v>
      </c>
      <c r="AA154" s="244">
        <v>0</v>
      </c>
      <c r="AB154" s="244">
        <v>0</v>
      </c>
      <c r="AC154" s="244">
        <v>0</v>
      </c>
      <c r="AD154" s="244">
        <v>0</v>
      </c>
      <c r="AE154" s="244">
        <f>-Transports!$F$233-Transports!$F$232</f>
        <v>-76.18935502158071</v>
      </c>
      <c r="AF154" s="244">
        <v>0</v>
      </c>
      <c r="AG154" s="244">
        <v>0</v>
      </c>
      <c r="AH154" s="244">
        <v>0</v>
      </c>
      <c r="AI154" s="245">
        <v>0</v>
      </c>
      <c r="AJ154" s="244">
        <v>0</v>
      </c>
      <c r="AK154" s="244">
        <v>0</v>
      </c>
      <c r="AL154" s="246">
        <f t="shared" si="33"/>
        <v>-380.17259549923381</v>
      </c>
    </row>
    <row r="155" spans="1:38" ht="14.4" customHeight="1">
      <c r="A155" s="506"/>
      <c r="B155" s="242" t="s">
        <v>32</v>
      </c>
      <c r="C155" s="243">
        <v>0</v>
      </c>
      <c r="D155" s="244">
        <v>0</v>
      </c>
      <c r="E155" s="244">
        <v>0</v>
      </c>
      <c r="F155" s="243">
        <v>0</v>
      </c>
      <c r="G155" s="244">
        <v>0</v>
      </c>
      <c r="H155" s="244">
        <v>0</v>
      </c>
      <c r="I155" s="244">
        <v>0</v>
      </c>
      <c r="J155" s="244">
        <v>0</v>
      </c>
      <c r="K155" s="244">
        <v>0</v>
      </c>
      <c r="L155" s="244">
        <v>0</v>
      </c>
      <c r="M155" s="244">
        <v>0</v>
      </c>
      <c r="N155" s="244">
        <v>0</v>
      </c>
      <c r="O155" s="245">
        <v>0</v>
      </c>
      <c r="P155" s="244">
        <v>0</v>
      </c>
      <c r="Q155" s="244">
        <v>0</v>
      </c>
      <c r="R155" s="246">
        <f t="shared" si="32"/>
        <v>0</v>
      </c>
      <c r="U155" s="506"/>
      <c r="V155" s="242" t="s">
        <v>32</v>
      </c>
      <c r="W155" s="243">
        <v>0</v>
      </c>
      <c r="X155" s="244">
        <v>0</v>
      </c>
      <c r="Y155" s="244">
        <v>0</v>
      </c>
      <c r="Z155" s="243">
        <v>0</v>
      </c>
      <c r="AA155" s="244">
        <v>0</v>
      </c>
      <c r="AB155" s="244">
        <v>0</v>
      </c>
      <c r="AC155" s="244">
        <v>0</v>
      </c>
      <c r="AD155" s="244">
        <v>0</v>
      </c>
      <c r="AE155" s="244">
        <v>0</v>
      </c>
      <c r="AF155" s="244">
        <v>0</v>
      </c>
      <c r="AG155" s="244">
        <v>0</v>
      </c>
      <c r="AH155" s="244">
        <v>0</v>
      </c>
      <c r="AI155" s="245">
        <v>0</v>
      </c>
      <c r="AJ155" s="244">
        <v>0</v>
      </c>
      <c r="AK155" s="244">
        <v>0</v>
      </c>
      <c r="AL155" s="246">
        <f t="shared" si="33"/>
        <v>0</v>
      </c>
    </row>
    <row r="156" spans="1:38" ht="14.4" customHeight="1">
      <c r="A156" s="506"/>
      <c r="B156" s="247" t="s">
        <v>373</v>
      </c>
      <c r="C156" s="248">
        <f>C180+C178</f>
        <v>0</v>
      </c>
      <c r="D156" s="248">
        <f>D170+D180</f>
        <v>0</v>
      </c>
      <c r="E156" s="248">
        <f>E170+E180</f>
        <v>3041.227364043606</v>
      </c>
      <c r="F156" s="248">
        <f>SUM(F150:F155)</f>
        <v>0</v>
      </c>
      <c r="G156" s="248">
        <f>SUM(G150:G155)</f>
        <v>0</v>
      </c>
      <c r="H156" s="248">
        <f>H170</f>
        <v>279.95622063119981</v>
      </c>
      <c r="I156" s="248">
        <f>I170+I178</f>
        <v>0</v>
      </c>
      <c r="J156" s="248">
        <f>J170+J180</f>
        <v>0</v>
      </c>
      <c r="K156" s="248">
        <f>K170+K180</f>
        <v>0</v>
      </c>
      <c r="L156" s="248">
        <f>L170+L180</f>
        <v>0</v>
      </c>
      <c r="M156" s="248">
        <f>SUM(M150:M155)</f>
        <v>0</v>
      </c>
      <c r="N156" s="248">
        <f>N170+N180</f>
        <v>21.477819614711034</v>
      </c>
      <c r="O156" s="248">
        <f>SUM(O150:O155)</f>
        <v>0</v>
      </c>
      <c r="P156" s="248">
        <f>SUM(P150:P155)</f>
        <v>0</v>
      </c>
      <c r="Q156" s="248">
        <f>SUM(Q150:Q155)</f>
        <v>0</v>
      </c>
      <c r="R156" s="248">
        <f t="shared" si="32"/>
        <v>3342.6614042895167</v>
      </c>
      <c r="U156" s="506"/>
      <c r="V156" s="247" t="s">
        <v>373</v>
      </c>
      <c r="W156" s="248">
        <f>W180+W178</f>
        <v>0</v>
      </c>
      <c r="X156" s="248">
        <f>X170+X180</f>
        <v>0</v>
      </c>
      <c r="Y156" s="248">
        <f>Y170+Y180</f>
        <v>2263.7769054857308</v>
      </c>
      <c r="Z156" s="248">
        <f>SUM(Z150:Z155)</f>
        <v>0</v>
      </c>
      <c r="AA156" s="248">
        <f>SUM(AA150:AA155)</f>
        <v>0</v>
      </c>
      <c r="AB156" s="248">
        <f>AB170</f>
        <v>264.62777834811607</v>
      </c>
      <c r="AC156" s="248">
        <f>AC170+AC178</f>
        <v>118.03082451345408</v>
      </c>
      <c r="AD156" s="248">
        <f>AD170+AD180</f>
        <v>0</v>
      </c>
      <c r="AE156" s="248">
        <f>AE170+AE180</f>
        <v>99.326839720778011</v>
      </c>
      <c r="AF156" s="248">
        <f>AF170+AF180</f>
        <v>0</v>
      </c>
      <c r="AG156" s="248">
        <f>SUM(AG150:AG155)</f>
        <v>0</v>
      </c>
      <c r="AH156" s="248">
        <f>AH170+AH180</f>
        <v>39.617594999999994</v>
      </c>
      <c r="AI156" s="248">
        <f>SUM(AI150:AI155)</f>
        <v>0</v>
      </c>
      <c r="AJ156" s="248">
        <f>SUM(AJ150:AJ155)</f>
        <v>0</v>
      </c>
      <c r="AK156" s="248">
        <f>SUM(AK150:AK155)</f>
        <v>0</v>
      </c>
      <c r="AL156" s="248">
        <f t="shared" si="33"/>
        <v>2785.3799430680792</v>
      </c>
    </row>
    <row r="157" spans="1:38" ht="14.4" customHeight="1">
      <c r="A157" s="506"/>
      <c r="B157" s="249"/>
      <c r="C157" s="250"/>
      <c r="D157" s="219"/>
      <c r="E157" s="251"/>
      <c r="F157" s="250"/>
      <c r="G157" s="250"/>
      <c r="H157" s="250"/>
      <c r="I157" s="250"/>
      <c r="J157" s="250"/>
      <c r="K157" s="250"/>
      <c r="L157" s="250"/>
      <c r="M157" s="250"/>
      <c r="N157" s="250"/>
      <c r="O157" s="259"/>
      <c r="P157" s="250"/>
      <c r="Q157" s="250"/>
      <c r="R157" s="250"/>
      <c r="U157" s="506"/>
      <c r="V157" s="249"/>
      <c r="W157" s="250"/>
      <c r="X157" s="219"/>
      <c r="Y157" s="251"/>
      <c r="Z157" s="250"/>
      <c r="AA157" s="250"/>
      <c r="AB157" s="250"/>
      <c r="AC157" s="250"/>
      <c r="AD157" s="250"/>
      <c r="AE157" s="250"/>
      <c r="AF157" s="250"/>
      <c r="AG157" s="250"/>
      <c r="AH157" s="250"/>
      <c r="AI157" s="259"/>
      <c r="AJ157" s="250"/>
      <c r="AK157" s="250"/>
      <c r="AL157" s="250"/>
    </row>
    <row r="158" spans="1:38" ht="14.4" customHeight="1">
      <c r="A158" s="506"/>
      <c r="B158" s="252" t="s">
        <v>374</v>
      </c>
      <c r="C158" s="243">
        <v>0</v>
      </c>
      <c r="D158" s="253">
        <v>0</v>
      </c>
      <c r="E158" s="253">
        <v>0</v>
      </c>
      <c r="F158" s="243">
        <v>0</v>
      </c>
      <c r="G158" s="243">
        <v>0</v>
      </c>
      <c r="H158" s="243">
        <v>0</v>
      </c>
      <c r="I158" s="243">
        <v>0</v>
      </c>
      <c r="J158" s="243">
        <v>0</v>
      </c>
      <c r="K158" s="243">
        <v>0</v>
      </c>
      <c r="L158" s="243">
        <v>0</v>
      </c>
      <c r="M158" s="243">
        <v>0</v>
      </c>
      <c r="N158" s="243">
        <v>0</v>
      </c>
      <c r="O158" s="243">
        <v>0</v>
      </c>
      <c r="P158" s="243">
        <v>0</v>
      </c>
      <c r="Q158" s="243">
        <v>0</v>
      </c>
      <c r="R158" s="254">
        <f>SUM(C158:Q158)</f>
        <v>0</v>
      </c>
      <c r="U158" s="506"/>
      <c r="V158" s="252" t="s">
        <v>374</v>
      </c>
      <c r="W158" s="243">
        <v>0</v>
      </c>
      <c r="X158" s="253">
        <v>0</v>
      </c>
      <c r="Y158" s="253">
        <v>0</v>
      </c>
      <c r="Z158" s="243">
        <v>0</v>
      </c>
      <c r="AA158" s="243">
        <v>0</v>
      </c>
      <c r="AB158" s="243">
        <v>0</v>
      </c>
      <c r="AC158" s="243">
        <v>0</v>
      </c>
      <c r="AD158" s="243">
        <v>0</v>
      </c>
      <c r="AE158" s="243">
        <v>0</v>
      </c>
      <c r="AF158" s="243">
        <v>0</v>
      </c>
      <c r="AG158" s="243">
        <v>0</v>
      </c>
      <c r="AH158" s="243">
        <v>0</v>
      </c>
      <c r="AI158" s="243">
        <v>0</v>
      </c>
      <c r="AJ158" s="243">
        <v>0</v>
      </c>
      <c r="AK158" s="243">
        <v>0</v>
      </c>
      <c r="AL158" s="254">
        <f>SUM(W158:AK158)</f>
        <v>0</v>
      </c>
    </row>
    <row r="159" spans="1:38" ht="14.4" customHeight="1">
      <c r="A159" s="506"/>
      <c r="B159" s="252" t="s">
        <v>375</v>
      </c>
      <c r="C159" s="243">
        <f>$O$159*'Prod Energie'!$F$32/(-$J$13)</f>
        <v>0</v>
      </c>
      <c r="D159" s="243">
        <v>0</v>
      </c>
      <c r="E159" s="243">
        <f>O159*'Prod Energie'!$F$33/(-$K$13)</f>
        <v>1079.8326912462953</v>
      </c>
      <c r="F159" s="243">
        <v>0</v>
      </c>
      <c r="G159" s="243">
        <v>0</v>
      </c>
      <c r="H159" s="243">
        <f>(O159)*('Prod Energie'!$F$34+'Prod Energie'!$F$39+'Prod Energie'!$F$40)/(-$L$13)</f>
        <v>279.95622063119981</v>
      </c>
      <c r="I159" s="255">
        <f>(O159)*('Prod Energie'!$F$38)/(-$M$13)</f>
        <v>0</v>
      </c>
      <c r="J159" s="255">
        <f>(O159)*('Prod Energie'!$F$36)/(-$N$13)</f>
        <v>0</v>
      </c>
      <c r="K159" s="255">
        <f>(O159)*('Prod Energie'!$F$37)/(-$O$13)</f>
        <v>0</v>
      </c>
      <c r="L159" s="255">
        <f>(O159)*('Prod Energie'!$F$41)/(-P13)</f>
        <v>0</v>
      </c>
      <c r="M159" s="255">
        <v>0</v>
      </c>
      <c r="N159" s="255">
        <f>(O159)*'Prod Energie'!F35/(-$Q$13)</f>
        <v>0</v>
      </c>
      <c r="O159" s="243">
        <f>O170/(1+$F$17+$F$18)</f>
        <v>-755.08260477956981</v>
      </c>
      <c r="P159" s="243">
        <v>0</v>
      </c>
      <c r="Q159" s="243">
        <v>0</v>
      </c>
      <c r="R159" s="254">
        <f t="shared" ref="R159:R170" si="34">SUM(C159:Q159)</f>
        <v>604.70630709792533</v>
      </c>
      <c r="U159" s="506"/>
      <c r="V159" s="252" t="s">
        <v>375</v>
      </c>
      <c r="W159" s="243">
        <f>AI159*'Prod Energie'!$F$53/(-$J$13)</f>
        <v>0</v>
      </c>
      <c r="X159" s="243">
        <v>0</v>
      </c>
      <c r="Y159" s="243">
        <f>AI159*'Prod Energie'!$F$54/(-$K$13)</f>
        <v>1015.0634458800209</v>
      </c>
      <c r="Z159" s="243">
        <v>0</v>
      </c>
      <c r="AA159" s="243">
        <v>0</v>
      </c>
      <c r="AB159" s="243">
        <f>(AI159)*('Prod Energie'!$F$55+'Prod Energie'!$F$60+'Prod Energie'!$F$61)/(-$L$13)</f>
        <v>264.62777834811607</v>
      </c>
      <c r="AC159" s="255">
        <f>(AI159)*'Prod Energie'!$F$59/(-$M$13)</f>
        <v>118.03082451345408</v>
      </c>
      <c r="AD159" s="255">
        <f>(AI159)*('Prod Energie'!$F$57)/(-$N$13)</f>
        <v>0</v>
      </c>
      <c r="AE159" s="255">
        <f>(AI159)*('Prod Energie'!$F$58)/(-$O$13)</f>
        <v>0</v>
      </c>
      <c r="AF159" s="255">
        <f>(AI159)*('Prod Energie'!$F$62)/(-$P$13)</f>
        <v>0</v>
      </c>
      <c r="AG159" s="255">
        <v>0</v>
      </c>
      <c r="AH159" s="255">
        <f>(AI159)*'Prod Energie'!$F$56/(-$Q$13)</f>
        <v>0</v>
      </c>
      <c r="AI159" s="243">
        <f>AI170/(1+$F$17+$F$18)</f>
        <v>-758.46802434070685</v>
      </c>
      <c r="AJ159" s="243">
        <v>0</v>
      </c>
      <c r="AK159" s="243">
        <v>0</v>
      </c>
      <c r="AL159" s="254">
        <f t="shared" ref="AL159:AL170" si="35">SUM(W159:AK159)</f>
        <v>639.25402440088408</v>
      </c>
    </row>
    <row r="160" spans="1:38" ht="14.4" customHeight="1">
      <c r="A160" s="506"/>
      <c r="B160" s="252" t="s">
        <v>376</v>
      </c>
      <c r="C160" s="243">
        <v>0</v>
      </c>
      <c r="D160" s="243">
        <v>0</v>
      </c>
      <c r="E160" s="243">
        <v>0</v>
      </c>
      <c r="F160" s="243">
        <v>0</v>
      </c>
      <c r="G160" s="243">
        <v>0</v>
      </c>
      <c r="H160" s="243">
        <v>0</v>
      </c>
      <c r="I160" s="255">
        <f t="shared" ref="I160:N160" si="36">$P$160*$L$18*V$17</f>
        <v>0</v>
      </c>
      <c r="J160" s="255">
        <f t="shared" si="36"/>
        <v>0</v>
      </c>
      <c r="K160" s="255">
        <f t="shared" si="36"/>
        <v>0</v>
      </c>
      <c r="L160" s="255">
        <f t="shared" si="36"/>
        <v>0</v>
      </c>
      <c r="M160" s="255">
        <f t="shared" si="36"/>
        <v>0</v>
      </c>
      <c r="N160" s="255">
        <f t="shared" si="36"/>
        <v>0</v>
      </c>
      <c r="O160" s="243">
        <v>0</v>
      </c>
      <c r="P160" s="243">
        <f>P170/(1+$R$18)</f>
        <v>0</v>
      </c>
      <c r="Q160" s="243">
        <v>0</v>
      </c>
      <c r="R160" s="254">
        <f t="shared" si="34"/>
        <v>0</v>
      </c>
      <c r="U160" s="506"/>
      <c r="V160" s="252" t="s">
        <v>376</v>
      </c>
      <c r="W160" s="243">
        <v>0</v>
      </c>
      <c r="X160" s="243">
        <v>0</v>
      </c>
      <c r="Y160" s="243">
        <v>0</v>
      </c>
      <c r="Z160" s="243">
        <v>0</v>
      </c>
      <c r="AA160" s="243">
        <v>0</v>
      </c>
      <c r="AB160" s="243">
        <v>0</v>
      </c>
      <c r="AC160" s="255">
        <f t="shared" ref="AC160:AH160" si="37">$AJ$160*$L$18*V$17</f>
        <v>0</v>
      </c>
      <c r="AD160" s="255">
        <f t="shared" si="37"/>
        <v>0</v>
      </c>
      <c r="AE160" s="255">
        <f t="shared" si="37"/>
        <v>0</v>
      </c>
      <c r="AF160" s="255">
        <f t="shared" si="37"/>
        <v>0</v>
      </c>
      <c r="AG160" s="255">
        <f t="shared" si="37"/>
        <v>0</v>
      </c>
      <c r="AH160" s="255">
        <f t="shared" si="37"/>
        <v>0</v>
      </c>
      <c r="AI160" s="243">
        <v>0</v>
      </c>
      <c r="AJ160" s="243">
        <f>AJ170/(1+$R$18)</f>
        <v>0</v>
      </c>
      <c r="AK160" s="243">
        <v>0</v>
      </c>
      <c r="AL160" s="254">
        <f t="shared" si="35"/>
        <v>0</v>
      </c>
    </row>
    <row r="161" spans="1:38" ht="14.4" customHeight="1">
      <c r="A161" s="506"/>
      <c r="B161" s="252" t="s">
        <v>377</v>
      </c>
      <c r="C161" s="243">
        <v>0</v>
      </c>
      <c r="D161" s="243">
        <v>0</v>
      </c>
      <c r="E161" s="243">
        <v>0</v>
      </c>
      <c r="F161" s="243">
        <v>0</v>
      </c>
      <c r="G161" s="243">
        <v>0</v>
      </c>
      <c r="H161" s="243">
        <v>0</v>
      </c>
      <c r="I161" s="256">
        <v>0</v>
      </c>
      <c r="J161" s="256">
        <v>0</v>
      </c>
      <c r="K161" s="256">
        <v>0</v>
      </c>
      <c r="L161" s="256">
        <v>0</v>
      </c>
      <c r="M161" s="256">
        <v>0</v>
      </c>
      <c r="N161" s="256">
        <v>0</v>
      </c>
      <c r="O161" s="243">
        <v>0</v>
      </c>
      <c r="P161" s="243">
        <v>0</v>
      </c>
      <c r="Q161" s="243">
        <v>0</v>
      </c>
      <c r="R161" s="254">
        <f t="shared" si="34"/>
        <v>0</v>
      </c>
      <c r="U161" s="506"/>
      <c r="V161" s="252" t="s">
        <v>377</v>
      </c>
      <c r="W161" s="243">
        <v>0</v>
      </c>
      <c r="X161" s="243">
        <v>0</v>
      </c>
      <c r="Y161" s="243">
        <v>0</v>
      </c>
      <c r="Z161" s="243">
        <v>0</v>
      </c>
      <c r="AA161" s="243">
        <v>0</v>
      </c>
      <c r="AB161" s="243">
        <v>0</v>
      </c>
      <c r="AC161" s="256">
        <v>0</v>
      </c>
      <c r="AD161" s="256">
        <v>0</v>
      </c>
      <c r="AE161" s="256">
        <v>0</v>
      </c>
      <c r="AF161" s="256">
        <v>0</v>
      </c>
      <c r="AG161" s="256">
        <v>0</v>
      </c>
      <c r="AH161" s="256">
        <v>0</v>
      </c>
      <c r="AI161" s="243">
        <v>0</v>
      </c>
      <c r="AJ161" s="243">
        <v>0</v>
      </c>
      <c r="AK161" s="243">
        <v>0</v>
      </c>
      <c r="AL161" s="254">
        <f t="shared" si="35"/>
        <v>0</v>
      </c>
    </row>
    <row r="162" spans="1:38" ht="14.4" customHeight="1">
      <c r="A162" s="506"/>
      <c r="B162" s="252" t="s">
        <v>378</v>
      </c>
      <c r="C162" s="243">
        <v>0</v>
      </c>
      <c r="D162" s="243">
        <v>0</v>
      </c>
      <c r="E162" s="243">
        <v>0</v>
      </c>
      <c r="F162" s="243">
        <v>0</v>
      </c>
      <c r="G162" s="243">
        <v>0</v>
      </c>
      <c r="H162" s="243">
        <v>0</v>
      </c>
      <c r="I162" s="243">
        <v>0</v>
      </c>
      <c r="J162" s="243">
        <v>0</v>
      </c>
      <c r="K162" s="243">
        <v>0</v>
      </c>
      <c r="L162" s="243">
        <v>0</v>
      </c>
      <c r="M162" s="243">
        <v>0</v>
      </c>
      <c r="N162" s="243">
        <v>0</v>
      </c>
      <c r="O162" s="243">
        <v>0</v>
      </c>
      <c r="P162" s="243">
        <v>0</v>
      </c>
      <c r="Q162" s="243">
        <v>0</v>
      </c>
      <c r="R162" s="254">
        <f t="shared" si="34"/>
        <v>0</v>
      </c>
      <c r="U162" s="506"/>
      <c r="V162" s="252" t="s">
        <v>378</v>
      </c>
      <c r="W162" s="243">
        <v>0</v>
      </c>
      <c r="X162" s="243">
        <v>0</v>
      </c>
      <c r="Y162" s="243">
        <v>0</v>
      </c>
      <c r="Z162" s="243">
        <v>0</v>
      </c>
      <c r="AA162" s="243">
        <v>0</v>
      </c>
      <c r="AB162" s="243">
        <v>0</v>
      </c>
      <c r="AC162" s="243">
        <v>0</v>
      </c>
      <c r="AD162" s="243">
        <v>0</v>
      </c>
      <c r="AE162" s="243">
        <v>0</v>
      </c>
      <c r="AF162" s="243">
        <v>0</v>
      </c>
      <c r="AG162" s="243">
        <v>0</v>
      </c>
      <c r="AH162" s="243">
        <v>0</v>
      </c>
      <c r="AI162" s="243">
        <v>0</v>
      </c>
      <c r="AJ162" s="243">
        <v>0</v>
      </c>
      <c r="AK162" s="243">
        <v>0</v>
      </c>
      <c r="AL162" s="254">
        <f t="shared" si="35"/>
        <v>0</v>
      </c>
    </row>
    <row r="163" spans="1:38" ht="14.4" customHeight="1">
      <c r="A163" s="506"/>
      <c r="B163" s="252" t="s">
        <v>36</v>
      </c>
      <c r="C163" s="243">
        <v>0</v>
      </c>
      <c r="D163" s="243">
        <v>0</v>
      </c>
      <c r="E163" s="243">
        <v>0</v>
      </c>
      <c r="F163" s="243">
        <v>0</v>
      </c>
      <c r="G163" s="243">
        <v>0</v>
      </c>
      <c r="H163" s="243">
        <v>0</v>
      </c>
      <c r="I163" s="243">
        <v>0</v>
      </c>
      <c r="J163" s="243">
        <v>0</v>
      </c>
      <c r="K163" s="243">
        <v>0</v>
      </c>
      <c r="L163" s="243">
        <v>0</v>
      </c>
      <c r="M163" s="243">
        <v>0</v>
      </c>
      <c r="N163" s="243">
        <v>0</v>
      </c>
      <c r="O163" s="243">
        <v>0</v>
      </c>
      <c r="P163" s="243">
        <v>0</v>
      </c>
      <c r="Q163" s="243">
        <v>0</v>
      </c>
      <c r="R163" s="254">
        <f t="shared" si="34"/>
        <v>0</v>
      </c>
      <c r="U163" s="506"/>
      <c r="V163" s="252" t="s">
        <v>36</v>
      </c>
      <c r="W163" s="243">
        <v>0</v>
      </c>
      <c r="X163" s="243">
        <v>0</v>
      </c>
      <c r="Y163" s="243">
        <v>0</v>
      </c>
      <c r="Z163" s="243">
        <v>0</v>
      </c>
      <c r="AA163" s="243">
        <v>0</v>
      </c>
      <c r="AB163" s="243">
        <v>0</v>
      </c>
      <c r="AC163" s="243">
        <v>0</v>
      </c>
      <c r="AD163" s="243">
        <v>0</v>
      </c>
      <c r="AE163" s="243">
        <v>0</v>
      </c>
      <c r="AF163" s="243">
        <v>0</v>
      </c>
      <c r="AG163" s="243">
        <v>0</v>
      </c>
      <c r="AH163" s="243">
        <v>0</v>
      </c>
      <c r="AI163" s="243">
        <v>0</v>
      </c>
      <c r="AJ163" s="243">
        <v>0</v>
      </c>
      <c r="AK163" s="243">
        <v>0</v>
      </c>
      <c r="AL163" s="254">
        <f t="shared" si="35"/>
        <v>0</v>
      </c>
    </row>
    <row r="164" spans="1:38" ht="14.4" customHeight="1">
      <c r="A164" s="506"/>
      <c r="B164" s="252" t="s">
        <v>379</v>
      </c>
      <c r="C164" s="243">
        <v>0</v>
      </c>
      <c r="D164" s="243">
        <v>0</v>
      </c>
      <c r="E164" s="243">
        <v>0</v>
      </c>
      <c r="F164" s="243">
        <v>0</v>
      </c>
      <c r="G164" s="243">
        <v>0</v>
      </c>
      <c r="H164" s="243">
        <v>0</v>
      </c>
      <c r="I164" s="243">
        <v>0</v>
      </c>
      <c r="J164" s="243">
        <v>0</v>
      </c>
      <c r="K164" s="243">
        <v>0</v>
      </c>
      <c r="L164" s="243">
        <v>0</v>
      </c>
      <c r="M164" s="243">
        <v>0</v>
      </c>
      <c r="N164" s="243">
        <v>0</v>
      </c>
      <c r="O164" s="243">
        <v>0</v>
      </c>
      <c r="P164" s="243">
        <v>0</v>
      </c>
      <c r="Q164" s="243">
        <v>0</v>
      </c>
      <c r="R164" s="254">
        <f t="shared" si="34"/>
        <v>0</v>
      </c>
      <c r="U164" s="506"/>
      <c r="V164" s="252" t="s">
        <v>379</v>
      </c>
      <c r="W164" s="243">
        <v>0</v>
      </c>
      <c r="X164" s="243">
        <v>0</v>
      </c>
      <c r="Y164" s="243">
        <v>0</v>
      </c>
      <c r="Z164" s="243">
        <v>0</v>
      </c>
      <c r="AA164" s="243">
        <v>0</v>
      </c>
      <c r="AB164" s="243">
        <v>0</v>
      </c>
      <c r="AC164" s="243">
        <v>0</v>
      </c>
      <c r="AD164" s="243">
        <v>0</v>
      </c>
      <c r="AE164" s="243">
        <v>0</v>
      </c>
      <c r="AF164" s="243">
        <v>0</v>
      </c>
      <c r="AG164" s="243">
        <v>0</v>
      </c>
      <c r="AH164" s="243">
        <v>0</v>
      </c>
      <c r="AI164" s="243">
        <v>0</v>
      </c>
      <c r="AJ164" s="243">
        <v>0</v>
      </c>
      <c r="AK164" s="243">
        <v>0</v>
      </c>
      <c r="AL164" s="254">
        <f t="shared" si="35"/>
        <v>0</v>
      </c>
    </row>
    <row r="165" spans="1:38" ht="14.4" customHeight="1">
      <c r="A165" s="506"/>
      <c r="B165" s="252" t="s">
        <v>380</v>
      </c>
      <c r="C165" s="243">
        <v>0</v>
      </c>
      <c r="D165" s="243">
        <v>0</v>
      </c>
      <c r="E165" s="243">
        <v>0</v>
      </c>
      <c r="F165" s="243">
        <v>0</v>
      </c>
      <c r="G165" s="243">
        <v>0</v>
      </c>
      <c r="H165" s="243">
        <v>0</v>
      </c>
      <c r="I165" s="243">
        <v>0</v>
      </c>
      <c r="J165" s="243">
        <v>0</v>
      </c>
      <c r="K165" s="243">
        <v>0</v>
      </c>
      <c r="L165" s="243">
        <v>0</v>
      </c>
      <c r="M165" s="243">
        <v>0</v>
      </c>
      <c r="N165" s="243">
        <v>0</v>
      </c>
      <c r="O165" s="243">
        <v>0</v>
      </c>
      <c r="P165" s="243">
        <v>0</v>
      </c>
      <c r="Q165" s="243">
        <v>0</v>
      </c>
      <c r="R165" s="254">
        <f t="shared" si="34"/>
        <v>0</v>
      </c>
      <c r="S165" s="259">
        <f>R180+R170</f>
        <v>3342.6614042895171</v>
      </c>
      <c r="U165" s="506"/>
      <c r="V165" s="252" t="s">
        <v>380</v>
      </c>
      <c r="W165" s="243">
        <v>0</v>
      </c>
      <c r="X165" s="243">
        <v>0</v>
      </c>
      <c r="Y165" s="243">
        <v>0</v>
      </c>
      <c r="Z165" s="243">
        <v>0</v>
      </c>
      <c r="AA165" s="243">
        <v>0</v>
      </c>
      <c r="AB165" s="243">
        <v>0</v>
      </c>
      <c r="AC165" s="243">
        <v>0</v>
      </c>
      <c r="AD165" s="243">
        <v>0</v>
      </c>
      <c r="AE165" s="243">
        <v>0</v>
      </c>
      <c r="AF165" s="243">
        <v>0</v>
      </c>
      <c r="AG165" s="243">
        <v>0</v>
      </c>
      <c r="AH165" s="243">
        <v>0</v>
      </c>
      <c r="AI165" s="243">
        <v>0</v>
      </c>
      <c r="AJ165" s="243">
        <v>0</v>
      </c>
      <c r="AK165" s="243">
        <v>0</v>
      </c>
      <c r="AL165" s="254">
        <f t="shared" si="35"/>
        <v>0</v>
      </c>
    </row>
    <row r="166" spans="1:38" ht="14.4" customHeight="1">
      <c r="A166" s="506"/>
      <c r="B166" s="252" t="s">
        <v>381</v>
      </c>
      <c r="C166" s="243">
        <v>0</v>
      </c>
      <c r="D166" s="243">
        <v>0</v>
      </c>
      <c r="E166" s="243">
        <v>0</v>
      </c>
      <c r="F166" s="243">
        <v>0</v>
      </c>
      <c r="G166" s="243">
        <v>0</v>
      </c>
      <c r="H166" s="243">
        <v>0</v>
      </c>
      <c r="I166" s="243">
        <v>0</v>
      </c>
      <c r="J166" s="243">
        <v>0</v>
      </c>
      <c r="K166" s="243">
        <v>0</v>
      </c>
      <c r="L166" s="243">
        <v>0</v>
      </c>
      <c r="M166" s="243">
        <v>0</v>
      </c>
      <c r="N166" s="243">
        <v>0</v>
      </c>
      <c r="O166" s="243">
        <v>0</v>
      </c>
      <c r="P166" s="243">
        <v>0</v>
      </c>
      <c r="Q166" s="243">
        <v>0</v>
      </c>
      <c r="R166" s="254">
        <f t="shared" si="34"/>
        <v>0</v>
      </c>
      <c r="U166" s="506"/>
      <c r="V166" s="252" t="s">
        <v>381</v>
      </c>
      <c r="W166" s="243">
        <v>0</v>
      </c>
      <c r="X166" s="243">
        <v>0</v>
      </c>
      <c r="Y166" s="243">
        <v>0</v>
      </c>
      <c r="Z166" s="243">
        <v>0</v>
      </c>
      <c r="AA166" s="243">
        <v>0</v>
      </c>
      <c r="AB166" s="243">
        <v>0</v>
      </c>
      <c r="AC166" s="243">
        <v>0</v>
      </c>
      <c r="AD166" s="243">
        <v>0</v>
      </c>
      <c r="AE166" s="243">
        <v>0</v>
      </c>
      <c r="AF166" s="243">
        <v>0</v>
      </c>
      <c r="AG166" s="243">
        <v>0</v>
      </c>
      <c r="AH166" s="243">
        <v>0</v>
      </c>
      <c r="AI166" s="243">
        <v>0</v>
      </c>
      <c r="AJ166" s="243">
        <v>0</v>
      </c>
      <c r="AK166" s="243">
        <v>0</v>
      </c>
      <c r="AL166" s="254">
        <f t="shared" si="35"/>
        <v>0</v>
      </c>
    </row>
    <row r="167" spans="1:38" ht="14.4" customHeight="1">
      <c r="A167" s="506"/>
      <c r="B167" s="252" t="s">
        <v>37</v>
      </c>
      <c r="C167" s="243">
        <v>0</v>
      </c>
      <c r="D167" s="243">
        <v>0</v>
      </c>
      <c r="E167" s="243">
        <v>0</v>
      </c>
      <c r="F167" s="243">
        <v>0</v>
      </c>
      <c r="G167" s="243">
        <v>0</v>
      </c>
      <c r="H167" s="243">
        <v>0</v>
      </c>
      <c r="I167" s="243">
        <v>0</v>
      </c>
      <c r="J167" s="243">
        <v>0</v>
      </c>
      <c r="K167" s="243">
        <v>0</v>
      </c>
      <c r="L167" s="243">
        <v>0</v>
      </c>
      <c r="M167" s="243">
        <v>0</v>
      </c>
      <c r="N167" s="243">
        <v>0</v>
      </c>
      <c r="O167" s="243">
        <v>0</v>
      </c>
      <c r="P167" s="243">
        <v>0</v>
      </c>
      <c r="Q167" s="243">
        <v>0</v>
      </c>
      <c r="R167" s="254">
        <f t="shared" si="34"/>
        <v>0</v>
      </c>
      <c r="U167" s="506"/>
      <c r="V167" s="252" t="s">
        <v>37</v>
      </c>
      <c r="W167" s="243">
        <v>0</v>
      </c>
      <c r="X167" s="243">
        <v>0</v>
      </c>
      <c r="Y167" s="243">
        <v>0</v>
      </c>
      <c r="Z167" s="243">
        <v>0</v>
      </c>
      <c r="AA167" s="243">
        <v>0</v>
      </c>
      <c r="AB167" s="243">
        <v>0</v>
      </c>
      <c r="AC167" s="243">
        <v>0</v>
      </c>
      <c r="AD167" s="243">
        <v>0</v>
      </c>
      <c r="AE167" s="243">
        <v>0</v>
      </c>
      <c r="AF167" s="243">
        <v>0</v>
      </c>
      <c r="AG167" s="243">
        <v>0</v>
      </c>
      <c r="AH167" s="243">
        <v>0</v>
      </c>
      <c r="AI167" s="243">
        <v>0</v>
      </c>
      <c r="AJ167" s="243">
        <v>0</v>
      </c>
      <c r="AK167" s="243">
        <v>0</v>
      </c>
      <c r="AL167" s="254">
        <f t="shared" si="35"/>
        <v>0</v>
      </c>
    </row>
    <row r="168" spans="1:38" ht="14.4" customHeight="1">
      <c r="A168" s="506"/>
      <c r="B168" s="252" t="s">
        <v>38</v>
      </c>
      <c r="C168" s="243">
        <v>0</v>
      </c>
      <c r="D168" s="243">
        <v>0</v>
      </c>
      <c r="E168" s="243">
        <v>0</v>
      </c>
      <c r="F168" s="243">
        <v>0</v>
      </c>
      <c r="G168" s="243">
        <v>0</v>
      </c>
      <c r="H168" s="243">
        <v>0</v>
      </c>
      <c r="I168" s="243">
        <v>0</v>
      </c>
      <c r="J168" s="243">
        <v>0</v>
      </c>
      <c r="K168" s="243">
        <v>0</v>
      </c>
      <c r="L168" s="243">
        <v>0</v>
      </c>
      <c r="M168" s="243">
        <v>0</v>
      </c>
      <c r="N168" s="243">
        <v>0</v>
      </c>
      <c r="O168" s="243">
        <f>O159*$F$17</f>
        <v>4.8600293243269013</v>
      </c>
      <c r="P168" s="243">
        <v>0</v>
      </c>
      <c r="Q168" s="243">
        <v>0</v>
      </c>
      <c r="R168" s="254">
        <f t="shared" si="34"/>
        <v>4.8600293243269013</v>
      </c>
      <c r="U168" s="506"/>
      <c r="V168" s="252" t="s">
        <v>38</v>
      </c>
      <c r="W168" s="243">
        <v>0</v>
      </c>
      <c r="X168" s="243">
        <v>0</v>
      </c>
      <c r="Y168" s="243">
        <v>0</v>
      </c>
      <c r="Z168" s="243">
        <v>0</v>
      </c>
      <c r="AA168" s="243">
        <v>0</v>
      </c>
      <c r="AB168" s="243">
        <v>0</v>
      </c>
      <c r="AC168" s="243">
        <v>0</v>
      </c>
      <c r="AD168" s="243">
        <v>0</v>
      </c>
      <c r="AE168" s="243">
        <v>0</v>
      </c>
      <c r="AF168" s="243">
        <v>0</v>
      </c>
      <c r="AG168" s="243">
        <v>0</v>
      </c>
      <c r="AH168" s="243">
        <v>0</v>
      </c>
      <c r="AI168" s="243">
        <f>AI159*$F$17</f>
        <v>4.8818193089433253</v>
      </c>
      <c r="AJ168" s="243">
        <v>0</v>
      </c>
      <c r="AK168" s="243">
        <v>0</v>
      </c>
      <c r="AL168" s="254">
        <f t="shared" si="35"/>
        <v>4.8818193089433253</v>
      </c>
    </row>
    <row r="169" spans="1:38" ht="14.4" customHeight="1">
      <c r="A169" s="506"/>
      <c r="B169" s="252" t="s">
        <v>39</v>
      </c>
      <c r="C169" s="243">
        <v>0</v>
      </c>
      <c r="D169" s="243">
        <v>0</v>
      </c>
      <c r="E169" s="243">
        <v>0</v>
      </c>
      <c r="F169" s="243">
        <v>0</v>
      </c>
      <c r="G169" s="243">
        <v>0</v>
      </c>
      <c r="H169" s="243">
        <v>0</v>
      </c>
      <c r="I169" s="243">
        <v>0</v>
      </c>
      <c r="J169" s="243">
        <v>0</v>
      </c>
      <c r="K169" s="243">
        <v>0</v>
      </c>
      <c r="L169" s="243">
        <v>0</v>
      </c>
      <c r="M169" s="243">
        <v>0</v>
      </c>
      <c r="N169" s="243">
        <v>0</v>
      </c>
      <c r="O169" s="243">
        <f>O159*$F$18</f>
        <v>46.267652063537177</v>
      </c>
      <c r="P169" s="243">
        <f>P160*$R$18</f>
        <v>0</v>
      </c>
      <c r="Q169" s="243">
        <v>0</v>
      </c>
      <c r="R169" s="254">
        <f t="shared" si="34"/>
        <v>46.267652063537177</v>
      </c>
      <c r="U169" s="506"/>
      <c r="V169" s="252" t="s">
        <v>39</v>
      </c>
      <c r="W169" s="243">
        <v>0</v>
      </c>
      <c r="X169" s="243">
        <v>0</v>
      </c>
      <c r="Y169" s="243">
        <v>0</v>
      </c>
      <c r="Z169" s="243">
        <v>0</v>
      </c>
      <c r="AA169" s="243">
        <v>0</v>
      </c>
      <c r="AB169" s="243">
        <v>0</v>
      </c>
      <c r="AC169" s="243">
        <v>0</v>
      </c>
      <c r="AD169" s="243">
        <v>0</v>
      </c>
      <c r="AE169" s="243">
        <v>0</v>
      </c>
      <c r="AF169" s="243">
        <v>0</v>
      </c>
      <c r="AG169" s="243">
        <v>0</v>
      </c>
      <c r="AH169" s="243">
        <v>0</v>
      </c>
      <c r="AI169" s="243">
        <f>AI159*$F$18</f>
        <v>46.475093492266033</v>
      </c>
      <c r="AJ169" s="243">
        <f>AJ160*$R$18</f>
        <v>0</v>
      </c>
      <c r="AK169" s="243">
        <v>0</v>
      </c>
      <c r="AL169" s="254">
        <f t="shared" si="35"/>
        <v>46.475093492266033</v>
      </c>
    </row>
    <row r="170" spans="1:38" ht="14.4" customHeight="1">
      <c r="A170" s="506"/>
      <c r="B170" s="247" t="s">
        <v>40</v>
      </c>
      <c r="C170" s="248">
        <f>SUM(C158:C169)</f>
        <v>0</v>
      </c>
      <c r="D170" s="248">
        <f t="shared" ref="D170:N170" si="38">SUM(D158:D169)</f>
        <v>0</v>
      </c>
      <c r="E170" s="248">
        <f t="shared" si="38"/>
        <v>1079.8326912462953</v>
      </c>
      <c r="F170" s="248">
        <f t="shared" si="38"/>
        <v>0</v>
      </c>
      <c r="G170" s="248">
        <f t="shared" si="38"/>
        <v>0</v>
      </c>
      <c r="H170" s="248">
        <f t="shared" si="38"/>
        <v>279.95622063119981</v>
      </c>
      <c r="I170" s="248">
        <f t="shared" si="38"/>
        <v>0</v>
      </c>
      <c r="J170" s="248">
        <f t="shared" si="38"/>
        <v>0</v>
      </c>
      <c r="K170" s="248">
        <f t="shared" si="38"/>
        <v>0</v>
      </c>
      <c r="L170" s="248">
        <f t="shared" si="38"/>
        <v>0</v>
      </c>
      <c r="M170" s="248">
        <f t="shared" si="38"/>
        <v>0</v>
      </c>
      <c r="N170" s="248">
        <f t="shared" si="38"/>
        <v>0</v>
      </c>
      <c r="O170" s="248">
        <f>-O180</f>
        <v>-703.95492339170573</v>
      </c>
      <c r="P170" s="248">
        <f>-P172</f>
        <v>0</v>
      </c>
      <c r="Q170" s="248">
        <f>SUM(Q158:Q169)</f>
        <v>0</v>
      </c>
      <c r="R170" s="248">
        <f t="shared" si="34"/>
        <v>655.8339884857894</v>
      </c>
      <c r="U170" s="506"/>
      <c r="V170" s="247" t="s">
        <v>40</v>
      </c>
      <c r="W170" s="248">
        <f>SUM(W158:W169)</f>
        <v>0</v>
      </c>
      <c r="X170" s="248">
        <f t="shared" ref="X170:AH170" si="39">SUM(X158:X169)</f>
        <v>0</v>
      </c>
      <c r="Y170" s="248">
        <f t="shared" si="39"/>
        <v>1015.0634458800209</v>
      </c>
      <c r="Z170" s="248">
        <f t="shared" si="39"/>
        <v>0</v>
      </c>
      <c r="AA170" s="248">
        <f t="shared" si="39"/>
        <v>0</v>
      </c>
      <c r="AB170" s="248">
        <f t="shared" si="39"/>
        <v>264.62777834811607</v>
      </c>
      <c r="AC170" s="248">
        <f t="shared" si="39"/>
        <v>118.03082451345408</v>
      </c>
      <c r="AD170" s="248">
        <f t="shared" si="39"/>
        <v>0</v>
      </c>
      <c r="AE170" s="248">
        <f t="shared" si="39"/>
        <v>0</v>
      </c>
      <c r="AF170" s="248">
        <f t="shared" si="39"/>
        <v>0</v>
      </c>
      <c r="AG170" s="248">
        <f t="shared" si="39"/>
        <v>0</v>
      </c>
      <c r="AH170" s="248">
        <f t="shared" si="39"/>
        <v>0</v>
      </c>
      <c r="AI170" s="248">
        <f>-AI180</f>
        <v>-707.11111153949753</v>
      </c>
      <c r="AJ170" s="248">
        <f>-AJ172</f>
        <v>0</v>
      </c>
      <c r="AK170" s="248">
        <f>SUM(AK158:AK169)</f>
        <v>0</v>
      </c>
      <c r="AL170" s="248">
        <f t="shared" si="35"/>
        <v>690.6109372020934</v>
      </c>
    </row>
    <row r="171" spans="1:38" ht="14.4" customHeight="1">
      <c r="A171" s="506"/>
      <c r="B171" s="249"/>
      <c r="C171" s="250"/>
      <c r="D171" s="250"/>
      <c r="E171" s="257"/>
      <c r="F171" s="250"/>
      <c r="G171" s="250"/>
      <c r="H171" s="250"/>
      <c r="I171" s="257"/>
      <c r="J171" s="250"/>
      <c r="K171" s="250"/>
      <c r="L171" s="250"/>
      <c r="M171" s="258"/>
      <c r="N171" s="250"/>
      <c r="O171" s="250"/>
      <c r="P171" s="250"/>
      <c r="Q171" s="250"/>
      <c r="R171" s="250"/>
      <c r="U171" s="506"/>
      <c r="V171" s="249"/>
      <c r="W171" s="250"/>
      <c r="X171" s="250"/>
      <c r="Y171" s="257"/>
      <c r="Z171" s="250"/>
      <c r="AA171" s="250"/>
      <c r="AB171" s="250"/>
      <c r="AC171" s="257"/>
      <c r="AD171" s="250"/>
      <c r="AE171" s="250"/>
      <c r="AF171" s="250"/>
      <c r="AG171" s="258"/>
      <c r="AH171" s="250"/>
      <c r="AI171" s="250"/>
      <c r="AJ171" s="250"/>
      <c r="AK171" s="250"/>
      <c r="AL171" s="250"/>
    </row>
    <row r="172" spans="1:38" ht="14.4" customHeight="1">
      <c r="A172" s="506"/>
      <c r="B172" s="252" t="s">
        <v>41</v>
      </c>
      <c r="C172" s="243">
        <v>0</v>
      </c>
      <c r="D172" s="243">
        <v>0</v>
      </c>
      <c r="E172" s="243">
        <f>Industrie!$F$35</f>
        <v>0</v>
      </c>
      <c r="F172" s="243">
        <v>0</v>
      </c>
      <c r="G172" s="243">
        <v>0</v>
      </c>
      <c r="H172" s="243">
        <v>0</v>
      </c>
      <c r="I172" s="243">
        <v>0</v>
      </c>
      <c r="J172" s="243">
        <v>0</v>
      </c>
      <c r="K172" s="243">
        <v>0</v>
      </c>
      <c r="L172" s="243">
        <v>0</v>
      </c>
      <c r="M172" s="243">
        <v>0</v>
      </c>
      <c r="N172" s="243">
        <v>0</v>
      </c>
      <c r="O172" s="243">
        <f>Industrie!$F$36</f>
        <v>329.86410609963207</v>
      </c>
      <c r="P172" s="243">
        <f>Industrie!$F$39</f>
        <v>0</v>
      </c>
      <c r="Q172" s="243">
        <v>0</v>
      </c>
      <c r="R172" s="254">
        <f>SUM(C172:Q172)</f>
        <v>329.86410609963207</v>
      </c>
      <c r="U172" s="506"/>
      <c r="V172" s="252" t="s">
        <v>41</v>
      </c>
      <c r="W172" s="243">
        <v>0</v>
      </c>
      <c r="X172" s="243">
        <v>0</v>
      </c>
      <c r="Y172" s="243">
        <f>Industrie!$F$56</f>
        <v>0</v>
      </c>
      <c r="Z172" s="243">
        <v>0</v>
      </c>
      <c r="AA172" s="243">
        <v>0</v>
      </c>
      <c r="AB172" s="243">
        <v>0</v>
      </c>
      <c r="AC172" s="243">
        <f>Industrie!$F$62*$V$13/SUM($V$13:$AA$13)</f>
        <v>0</v>
      </c>
      <c r="AD172" s="243">
        <f>Industrie!$F$62*$W$13/SUM($V$13:$AA$13)</f>
        <v>0</v>
      </c>
      <c r="AE172" s="243">
        <f>Industrie!$F$62*$X$13/SUM($V$13:$AA$13)</f>
        <v>0</v>
      </c>
      <c r="AF172" s="243">
        <f>Industrie!$F$62*$Y$13/SUM($V$13:$AA$13)</f>
        <v>0</v>
      </c>
      <c r="AG172" s="243">
        <f>Industrie!$F$62*$Z$13/SUM($V$13:$AA$13)</f>
        <v>0</v>
      </c>
      <c r="AH172" s="243">
        <f>Industrie!$F$62*$AA$13/SUM($V$13:$AA$13)</f>
        <v>0</v>
      </c>
      <c r="AI172" s="243">
        <f>Industrie!$F$57</f>
        <v>281.56775088738721</v>
      </c>
      <c r="AJ172" s="243">
        <f>Industrie!$F$63</f>
        <v>0</v>
      </c>
      <c r="AK172" s="243">
        <v>0</v>
      </c>
      <c r="AL172" s="254">
        <f>SUM(W172:AK172)</f>
        <v>281.56775088738721</v>
      </c>
    </row>
    <row r="173" spans="1:38" ht="14.4" customHeight="1">
      <c r="A173" s="506"/>
      <c r="B173" s="252" t="s">
        <v>42</v>
      </c>
      <c r="C173" s="243">
        <v>0</v>
      </c>
      <c r="D173" s="243">
        <v>0</v>
      </c>
      <c r="E173" s="243">
        <f>Transports!$H$49+Transports!$F$106+Transports!$F$203</f>
        <v>1731.457832749549</v>
      </c>
      <c r="F173" s="243">
        <v>0</v>
      </c>
      <c r="G173" s="243">
        <v>0</v>
      </c>
      <c r="H173" s="243">
        <v>0</v>
      </c>
      <c r="I173" s="243">
        <v>0</v>
      </c>
      <c r="J173" s="243">
        <v>0</v>
      </c>
      <c r="K173" s="243">
        <v>0</v>
      </c>
      <c r="L173" s="243">
        <v>0</v>
      </c>
      <c r="M173" s="243">
        <v>0</v>
      </c>
      <c r="N173" s="243">
        <v>0</v>
      </c>
      <c r="O173" s="243">
        <f>Transports!$H$50+Transports!$F$107</f>
        <v>25.085239358623539</v>
      </c>
      <c r="P173" s="243">
        <v>0</v>
      </c>
      <c r="Q173" s="243">
        <v>0</v>
      </c>
      <c r="R173" s="254">
        <f t="shared" ref="R173:R180" si="40">SUM(C173:Q173)</f>
        <v>1756.5430721081725</v>
      </c>
      <c r="U173" s="506"/>
      <c r="V173" s="252" t="s">
        <v>42</v>
      </c>
      <c r="W173" s="243">
        <v>0</v>
      </c>
      <c r="X173" s="243">
        <v>0</v>
      </c>
      <c r="Y173" s="243">
        <f>Transports!$H$76+Transports!$F$150+Transports!$F$238</f>
        <v>1122.2465886379678</v>
      </c>
      <c r="Z173" s="243">
        <v>0</v>
      </c>
      <c r="AA173" s="243">
        <v>0</v>
      </c>
      <c r="AB173" s="243">
        <v>0</v>
      </c>
      <c r="AC173" s="243">
        <v>0</v>
      </c>
      <c r="AD173" s="243">
        <v>0</v>
      </c>
      <c r="AE173" s="243">
        <f>Transports!$F$236+Transports!$F$237</f>
        <v>9.2323060433586495</v>
      </c>
      <c r="AF173" s="243">
        <v>0</v>
      </c>
      <c r="AG173" s="243">
        <v>0</v>
      </c>
      <c r="AH173" s="243">
        <v>0</v>
      </c>
      <c r="AI173" s="243">
        <f>Transports!$H$77+Transports!$F$151</f>
        <v>140.50284265211036</v>
      </c>
      <c r="AJ173" s="243">
        <v>0</v>
      </c>
      <c r="AK173" s="243">
        <v>0</v>
      </c>
      <c r="AL173" s="254">
        <f t="shared" ref="AL173:AL180" si="41">SUM(W173:AK173)</f>
        <v>1271.9817373334367</v>
      </c>
    </row>
    <row r="174" spans="1:38" ht="14.4" customHeight="1">
      <c r="A174" s="506"/>
      <c r="B174" s="252" t="s">
        <v>43</v>
      </c>
      <c r="C174" s="243">
        <v>0</v>
      </c>
      <c r="D174" s="243">
        <v>0</v>
      </c>
      <c r="E174" s="243">
        <f>'Résidentiel-tertiaire'!$F$172</f>
        <v>88.172101576182143</v>
      </c>
      <c r="F174" s="243">
        <v>0</v>
      </c>
      <c r="G174" s="243">
        <v>0</v>
      </c>
      <c r="H174" s="243">
        <v>0</v>
      </c>
      <c r="I174" s="243">
        <f>'Résidentiel-tertiaire'!$F$173*$I$51/SUM($I$51:$N$51)</f>
        <v>0</v>
      </c>
      <c r="J174" s="243">
        <f>'Résidentiel-tertiaire'!$F$173*$J$51/SUM($I$51:$N$51)</f>
        <v>0</v>
      </c>
      <c r="K174" s="243">
        <f>'Résidentiel-tertiaire'!$F$173*$K$51/SUM($I$51:$N$51)</f>
        <v>0</v>
      </c>
      <c r="L174" s="243">
        <f>'Résidentiel-tertiaire'!$F$173*$L$51/SUM($I$51:$N$51)</f>
        <v>0</v>
      </c>
      <c r="M174" s="243">
        <f>'Résidentiel-tertiaire'!$F$173*$M$51/SUM($I$51:$N$51)</f>
        <v>0</v>
      </c>
      <c r="N174" s="243">
        <f>'Résidentiel-tertiaire'!$F$173*$N$51/SUM($I$51:$N$51)</f>
        <v>21.477819614711034</v>
      </c>
      <c r="O174" s="243">
        <f>'Résidentiel-tertiaire'!$F$174</f>
        <v>236.25601576182135</v>
      </c>
      <c r="P174" s="243">
        <v>0</v>
      </c>
      <c r="Q174" s="243">
        <v>0</v>
      </c>
      <c r="R174" s="254">
        <f t="shared" si="40"/>
        <v>345.90593695271451</v>
      </c>
      <c r="U174" s="506"/>
      <c r="V174" s="252" t="s">
        <v>43</v>
      </c>
      <c r="W174" s="243">
        <v>0</v>
      </c>
      <c r="X174" s="243">
        <v>0</v>
      </c>
      <c r="Y174" s="243">
        <f>'Résidentiel-tertiaire'!$F$187</f>
        <v>45.356999999999999</v>
      </c>
      <c r="Z174" s="243">
        <v>0</v>
      </c>
      <c r="AA174" s="243">
        <v>0</v>
      </c>
      <c r="AB174" s="243">
        <v>0</v>
      </c>
      <c r="AC174" s="243">
        <f>'Résidentiel-tertiaire'!$F$188*$V$14/SUM($V$14:$AA$14)</f>
        <v>0</v>
      </c>
      <c r="AD174" s="243">
        <f>'Résidentiel-tertiaire'!$F$188*$W$14/SUM($V$14:$AA$14)</f>
        <v>0</v>
      </c>
      <c r="AE174" s="243">
        <f>'Résidentiel-tertiaire'!$F$188*$X$14/SUM($V$14:$AA$14)</f>
        <v>0</v>
      </c>
      <c r="AF174" s="243">
        <f>'Résidentiel-tertiaire'!$F$188*$Y$14/SUM($V$14:$AA$14)</f>
        <v>0</v>
      </c>
      <c r="AG174" s="243">
        <f>'Résidentiel-tertiaire'!$F$188*$Z$14/SUM($V$14:$AA$14)</f>
        <v>0</v>
      </c>
      <c r="AH174" s="243">
        <f>'Résidentiel-tertiaire'!$F$188*$AA$14/SUM($V$14:$AA$14)</f>
        <v>39.617594999999994</v>
      </c>
      <c r="AI174" s="243">
        <f>'Résidentiel-tertiaire'!$F$189</f>
        <v>184.42505100000002</v>
      </c>
      <c r="AJ174" s="243">
        <v>0</v>
      </c>
      <c r="AK174" s="243">
        <v>0</v>
      </c>
      <c r="AL174" s="254">
        <f t="shared" si="41"/>
        <v>269.39964600000002</v>
      </c>
    </row>
    <row r="175" spans="1:38" ht="14.4" customHeight="1">
      <c r="A175" s="506"/>
      <c r="B175" s="252" t="s">
        <v>44</v>
      </c>
      <c r="C175" s="243">
        <v>0</v>
      </c>
      <c r="D175" s="243">
        <v>0</v>
      </c>
      <c r="E175" s="243">
        <f>'Résidentiel-tertiaire'!$F$177</f>
        <v>38.433992994746056</v>
      </c>
      <c r="F175" s="243">
        <v>0</v>
      </c>
      <c r="G175" s="243">
        <v>0</v>
      </c>
      <c r="H175" s="243">
        <v>0</v>
      </c>
      <c r="I175" s="243">
        <v>0</v>
      </c>
      <c r="J175" s="243">
        <v>0</v>
      </c>
      <c r="K175" s="243">
        <v>0</v>
      </c>
      <c r="L175" s="243">
        <v>0</v>
      </c>
      <c r="M175" s="243">
        <v>0</v>
      </c>
      <c r="N175" s="243">
        <v>0</v>
      </c>
      <c r="O175" s="243">
        <f>'Résidentiel-tertiaire'!$F$180</f>
        <v>112.74956217162872</v>
      </c>
      <c r="P175" s="243">
        <v>0</v>
      </c>
      <c r="Q175" s="243">
        <v>0</v>
      </c>
      <c r="R175" s="254">
        <f t="shared" si="40"/>
        <v>151.18355516637479</v>
      </c>
      <c r="U175" s="506"/>
      <c r="V175" s="252" t="s">
        <v>44</v>
      </c>
      <c r="W175" s="243">
        <v>0</v>
      </c>
      <c r="X175" s="243">
        <v>0</v>
      </c>
      <c r="Y175" s="243">
        <f>'Résidentiel-tertiaire'!$F$192</f>
        <v>19.771000000000001</v>
      </c>
      <c r="Z175" s="243">
        <v>0</v>
      </c>
      <c r="AA175" s="243">
        <v>0</v>
      </c>
      <c r="AB175" s="243">
        <v>0</v>
      </c>
      <c r="AC175" s="243">
        <f>'Résidentiel-tertiaire'!$F$193*$V$15/SUM($V$15:$AA$15)</f>
        <v>0</v>
      </c>
      <c r="AD175" s="243">
        <f>'Résidentiel-tertiaire'!$F$193*$W$15/SUM($V$15:$AA$15)</f>
        <v>0</v>
      </c>
      <c r="AE175" s="243">
        <f>'Résidentiel-tertiaire'!$F$193*$X$15/SUM($V$15:$AA$15)</f>
        <v>0</v>
      </c>
      <c r="AF175" s="243">
        <f>'Résidentiel-tertiaire'!$F$193*$Y$15/SUM($V$15:$AA$15)</f>
        <v>0</v>
      </c>
      <c r="AG175" s="243">
        <f>'Résidentiel-tertiaire'!$F$193*$Z$15/SUM($V$15:$AA$15)</f>
        <v>0</v>
      </c>
      <c r="AH175" s="243">
        <f>'Résidentiel-tertiaire'!$F$193*$AA$15/SUM($V$15:$AA$15)</f>
        <v>0</v>
      </c>
      <c r="AI175" s="243">
        <f>'Résidentiel-tertiaire'!$F$194</f>
        <v>100.615467</v>
      </c>
      <c r="AJ175" s="243">
        <v>0</v>
      </c>
      <c r="AK175" s="243">
        <v>0</v>
      </c>
      <c r="AL175" s="254">
        <f t="shared" si="41"/>
        <v>120.386467</v>
      </c>
    </row>
    <row r="176" spans="1:38" ht="14.4" customHeight="1">
      <c r="A176" s="506"/>
      <c r="B176" s="252" t="s">
        <v>4</v>
      </c>
      <c r="C176" s="243">
        <v>0</v>
      </c>
      <c r="D176" s="243">
        <v>0</v>
      </c>
      <c r="E176" s="243">
        <f>Agriculture!$P$27</f>
        <v>103.33074547683367</v>
      </c>
      <c r="F176" s="243">
        <v>0</v>
      </c>
      <c r="G176" s="243">
        <v>0</v>
      </c>
      <c r="H176" s="243">
        <v>0</v>
      </c>
      <c r="I176" s="243">
        <v>0</v>
      </c>
      <c r="J176" s="243">
        <v>0</v>
      </c>
      <c r="K176" s="243">
        <v>0</v>
      </c>
      <c r="L176" s="243">
        <v>0</v>
      </c>
      <c r="M176" s="243">
        <v>0</v>
      </c>
      <c r="N176" s="243">
        <v>0</v>
      </c>
      <c r="O176" s="243">
        <f>Agriculture!$P$28</f>
        <v>0</v>
      </c>
      <c r="P176" s="243">
        <v>0</v>
      </c>
      <c r="Q176" s="243">
        <v>0</v>
      </c>
      <c r="R176" s="254">
        <f t="shared" si="40"/>
        <v>103.33074547683367</v>
      </c>
      <c r="U176" s="506"/>
      <c r="V176" s="252" t="s">
        <v>4</v>
      </c>
      <c r="W176" s="243">
        <v>0</v>
      </c>
      <c r="X176" s="243">
        <v>0</v>
      </c>
      <c r="Y176" s="243">
        <f>Agriculture!$U$43</f>
        <v>61.33887096774194</v>
      </c>
      <c r="Z176" s="243">
        <v>0</v>
      </c>
      <c r="AA176" s="243">
        <v>0</v>
      </c>
      <c r="AB176" s="243">
        <v>0</v>
      </c>
      <c r="AC176" s="243">
        <v>0</v>
      </c>
      <c r="AD176" s="243">
        <v>0</v>
      </c>
      <c r="AE176" s="243">
        <f>Agriculture!$U$45</f>
        <v>90.094533677419363</v>
      </c>
      <c r="AF176" s="243">
        <v>0</v>
      </c>
      <c r="AG176" s="243">
        <v>0</v>
      </c>
      <c r="AH176" s="243">
        <v>0</v>
      </c>
      <c r="AI176" s="243">
        <f>Agriculture!$U$44</f>
        <v>0</v>
      </c>
      <c r="AJ176" s="243">
        <v>0</v>
      </c>
      <c r="AK176" s="243">
        <v>0</v>
      </c>
      <c r="AL176" s="254">
        <f t="shared" si="41"/>
        <v>151.43340464516132</v>
      </c>
    </row>
    <row r="177" spans="1:38" ht="14.4" customHeight="1">
      <c r="A177" s="506"/>
      <c r="B177" s="252" t="s">
        <v>382</v>
      </c>
      <c r="C177" s="243">
        <v>0</v>
      </c>
      <c r="D177" s="243">
        <v>0</v>
      </c>
      <c r="E177" s="243">
        <v>0</v>
      </c>
      <c r="F177" s="243">
        <v>0</v>
      </c>
      <c r="G177" s="243">
        <v>0</v>
      </c>
      <c r="H177" s="243">
        <v>0</v>
      </c>
      <c r="I177" s="243">
        <v>0</v>
      </c>
      <c r="J177" s="243">
        <v>0</v>
      </c>
      <c r="K177" s="243">
        <v>0</v>
      </c>
      <c r="L177" s="243">
        <v>0</v>
      </c>
      <c r="M177" s="243">
        <v>0</v>
      </c>
      <c r="N177" s="243">
        <v>0</v>
      </c>
      <c r="O177" s="243">
        <v>0</v>
      </c>
      <c r="P177" s="243">
        <v>0</v>
      </c>
      <c r="Q177" s="243">
        <v>0</v>
      </c>
      <c r="R177" s="254">
        <f t="shared" si="40"/>
        <v>0</v>
      </c>
      <c r="U177" s="506"/>
      <c r="V177" s="252" t="s">
        <v>382</v>
      </c>
      <c r="W177" s="243">
        <v>0</v>
      </c>
      <c r="X177" s="243">
        <v>0</v>
      </c>
      <c r="Y177" s="243">
        <v>0</v>
      </c>
      <c r="Z177" s="243">
        <v>0</v>
      </c>
      <c r="AA177" s="243">
        <v>0</v>
      </c>
      <c r="AB177" s="243">
        <v>0</v>
      </c>
      <c r="AC177" s="243">
        <v>0</v>
      </c>
      <c r="AD177" s="243">
        <v>0</v>
      </c>
      <c r="AE177" s="243">
        <v>0</v>
      </c>
      <c r="AF177" s="243">
        <v>0</v>
      </c>
      <c r="AG177" s="243">
        <v>0</v>
      </c>
      <c r="AH177" s="243">
        <v>0</v>
      </c>
      <c r="AI177" s="243">
        <v>0</v>
      </c>
      <c r="AJ177" s="243">
        <v>0</v>
      </c>
      <c r="AK177" s="243">
        <v>0</v>
      </c>
      <c r="AL177" s="254">
        <f t="shared" si="41"/>
        <v>0</v>
      </c>
    </row>
    <row r="178" spans="1:38" ht="14.4" customHeight="1">
      <c r="A178" s="506"/>
      <c r="B178" s="247" t="s">
        <v>45</v>
      </c>
      <c r="C178" s="248">
        <f>SUM(C172:C177)</f>
        <v>0</v>
      </c>
      <c r="D178" s="248">
        <f t="shared" ref="D178:Q178" si="42">SUM(D172:D177)</f>
        <v>0</v>
      </c>
      <c r="E178" s="248">
        <f t="shared" si="42"/>
        <v>1961.3946727973107</v>
      </c>
      <c r="F178" s="248">
        <f t="shared" si="42"/>
        <v>0</v>
      </c>
      <c r="G178" s="248">
        <f t="shared" si="42"/>
        <v>0</v>
      </c>
      <c r="H178" s="248">
        <f t="shared" si="42"/>
        <v>0</v>
      </c>
      <c r="I178" s="248">
        <f t="shared" si="42"/>
        <v>0</v>
      </c>
      <c r="J178" s="248">
        <f t="shared" si="42"/>
        <v>0</v>
      </c>
      <c r="K178" s="248">
        <f t="shared" si="42"/>
        <v>0</v>
      </c>
      <c r="L178" s="248">
        <f t="shared" si="42"/>
        <v>0</v>
      </c>
      <c r="M178" s="248">
        <f t="shared" si="42"/>
        <v>0</v>
      </c>
      <c r="N178" s="248">
        <f t="shared" si="42"/>
        <v>21.477819614711034</v>
      </c>
      <c r="O178" s="248">
        <f t="shared" si="42"/>
        <v>703.95492339170573</v>
      </c>
      <c r="P178" s="248">
        <f t="shared" si="42"/>
        <v>0</v>
      </c>
      <c r="Q178" s="248">
        <f t="shared" si="42"/>
        <v>0</v>
      </c>
      <c r="R178" s="248">
        <f t="shared" si="40"/>
        <v>2686.8274158037275</v>
      </c>
      <c r="U178" s="506"/>
      <c r="V178" s="247" t="s">
        <v>45</v>
      </c>
      <c r="W178" s="248">
        <f>SUM(W172:W177)</f>
        <v>0</v>
      </c>
      <c r="X178" s="248">
        <f t="shared" ref="X178:AK178" si="43">SUM(X172:X177)</f>
        <v>0</v>
      </c>
      <c r="Y178" s="248">
        <f t="shared" si="43"/>
        <v>1248.7134596057097</v>
      </c>
      <c r="Z178" s="248">
        <f t="shared" si="43"/>
        <v>0</v>
      </c>
      <c r="AA178" s="248">
        <f t="shared" si="43"/>
        <v>0</v>
      </c>
      <c r="AB178" s="248">
        <f t="shared" si="43"/>
        <v>0</v>
      </c>
      <c r="AC178" s="248">
        <f t="shared" si="43"/>
        <v>0</v>
      </c>
      <c r="AD178" s="248">
        <f t="shared" si="43"/>
        <v>0</v>
      </c>
      <c r="AE178" s="248">
        <f t="shared" si="43"/>
        <v>99.326839720778011</v>
      </c>
      <c r="AF178" s="248">
        <f t="shared" si="43"/>
        <v>0</v>
      </c>
      <c r="AG178" s="248">
        <f t="shared" si="43"/>
        <v>0</v>
      </c>
      <c r="AH178" s="248">
        <f t="shared" si="43"/>
        <v>39.617594999999994</v>
      </c>
      <c r="AI178" s="248">
        <f t="shared" si="43"/>
        <v>707.11111153949753</v>
      </c>
      <c r="AJ178" s="248">
        <f t="shared" si="43"/>
        <v>0</v>
      </c>
      <c r="AK178" s="248">
        <f t="shared" si="43"/>
        <v>0</v>
      </c>
      <c r="AL178" s="248">
        <f t="shared" si="41"/>
        <v>2094.769005865985</v>
      </c>
    </row>
    <row r="179" spans="1:38" ht="14.4" customHeight="1">
      <c r="A179" s="506"/>
      <c r="B179" s="242" t="s">
        <v>46</v>
      </c>
      <c r="C179" s="243">
        <v>0</v>
      </c>
      <c r="D179" s="243">
        <v>0</v>
      </c>
      <c r="E179" s="243">
        <f>Industrie!$F$37</f>
        <v>0</v>
      </c>
      <c r="F179" s="243">
        <v>0</v>
      </c>
      <c r="G179" s="243">
        <v>0</v>
      </c>
      <c r="H179" s="243">
        <v>0</v>
      </c>
      <c r="I179" s="243">
        <v>0</v>
      </c>
      <c r="J179" s="243">
        <v>0</v>
      </c>
      <c r="K179" s="243">
        <v>0</v>
      </c>
      <c r="L179" s="243">
        <v>0</v>
      </c>
      <c r="M179" s="243">
        <v>0</v>
      </c>
      <c r="N179" s="243">
        <v>0</v>
      </c>
      <c r="O179" s="243">
        <v>0</v>
      </c>
      <c r="P179" s="243">
        <v>0</v>
      </c>
      <c r="Q179" s="243">
        <v>0</v>
      </c>
      <c r="R179" s="254">
        <f t="shared" si="40"/>
        <v>0</v>
      </c>
      <c r="U179" s="506"/>
      <c r="V179" s="242" t="s">
        <v>46</v>
      </c>
      <c r="W179" s="243">
        <v>0</v>
      </c>
      <c r="X179" s="243">
        <v>0</v>
      </c>
      <c r="Y179" s="243">
        <f>Industrie!$F$59</f>
        <v>0</v>
      </c>
      <c r="Z179" s="243">
        <v>0</v>
      </c>
      <c r="AA179" s="243">
        <v>0</v>
      </c>
      <c r="AB179" s="243">
        <v>0</v>
      </c>
      <c r="AC179" s="243">
        <v>0</v>
      </c>
      <c r="AD179" s="243">
        <v>0</v>
      </c>
      <c r="AE179" s="243">
        <v>0</v>
      </c>
      <c r="AF179" s="243">
        <v>0</v>
      </c>
      <c r="AG179" s="243">
        <v>0</v>
      </c>
      <c r="AH179" s="243">
        <v>0</v>
      </c>
      <c r="AI179" s="243">
        <v>0</v>
      </c>
      <c r="AJ179" s="243">
        <v>0</v>
      </c>
      <c r="AK179" s="243">
        <v>0</v>
      </c>
      <c r="AL179" s="254">
        <f t="shared" si="41"/>
        <v>0</v>
      </c>
    </row>
    <row r="180" spans="1:38" ht="14.4" customHeight="1">
      <c r="A180" s="506"/>
      <c r="B180" s="247" t="s">
        <v>47</v>
      </c>
      <c r="C180" s="248">
        <f>C179+C178</f>
        <v>0</v>
      </c>
      <c r="D180" s="248">
        <f t="shared" ref="D180:Q180" si="44">D179+D178</f>
        <v>0</v>
      </c>
      <c r="E180" s="248">
        <f t="shared" si="44"/>
        <v>1961.3946727973107</v>
      </c>
      <c r="F180" s="248">
        <f t="shared" si="44"/>
        <v>0</v>
      </c>
      <c r="G180" s="248">
        <f t="shared" si="44"/>
        <v>0</v>
      </c>
      <c r="H180" s="248">
        <f t="shared" si="44"/>
        <v>0</v>
      </c>
      <c r="I180" s="248">
        <f t="shared" si="44"/>
        <v>0</v>
      </c>
      <c r="J180" s="248">
        <f t="shared" si="44"/>
        <v>0</v>
      </c>
      <c r="K180" s="248">
        <f t="shared" si="44"/>
        <v>0</v>
      </c>
      <c r="L180" s="248">
        <f t="shared" si="44"/>
        <v>0</v>
      </c>
      <c r="M180" s="248">
        <f t="shared" si="44"/>
        <v>0</v>
      </c>
      <c r="N180" s="248">
        <f t="shared" si="44"/>
        <v>21.477819614711034</v>
      </c>
      <c r="O180" s="248">
        <f t="shared" si="44"/>
        <v>703.95492339170573</v>
      </c>
      <c r="P180" s="248">
        <f t="shared" si="44"/>
        <v>0</v>
      </c>
      <c r="Q180" s="248">
        <f t="shared" si="44"/>
        <v>0</v>
      </c>
      <c r="R180" s="248">
        <f t="shared" si="40"/>
        <v>2686.8274158037275</v>
      </c>
      <c r="U180" s="506"/>
      <c r="V180" s="247" t="s">
        <v>47</v>
      </c>
      <c r="W180" s="248">
        <f>W179+W178</f>
        <v>0</v>
      </c>
      <c r="X180" s="248">
        <f t="shared" ref="X180:AK180" si="45">X179+X178</f>
        <v>0</v>
      </c>
      <c r="Y180" s="248">
        <f t="shared" si="45"/>
        <v>1248.7134596057097</v>
      </c>
      <c r="Z180" s="248">
        <f t="shared" si="45"/>
        <v>0</v>
      </c>
      <c r="AA180" s="248">
        <f t="shared" si="45"/>
        <v>0</v>
      </c>
      <c r="AB180" s="248">
        <f t="shared" si="45"/>
        <v>0</v>
      </c>
      <c r="AC180" s="248">
        <f t="shared" si="45"/>
        <v>0</v>
      </c>
      <c r="AD180" s="248">
        <f t="shared" si="45"/>
        <v>0</v>
      </c>
      <c r="AE180" s="248">
        <f t="shared" si="45"/>
        <v>99.326839720778011</v>
      </c>
      <c r="AF180" s="248">
        <f t="shared" si="45"/>
        <v>0</v>
      </c>
      <c r="AG180" s="248">
        <f t="shared" si="45"/>
        <v>0</v>
      </c>
      <c r="AH180" s="248">
        <f t="shared" si="45"/>
        <v>39.617594999999994</v>
      </c>
      <c r="AI180" s="248">
        <f t="shared" si="45"/>
        <v>707.11111153949753</v>
      </c>
      <c r="AJ180" s="248">
        <f t="shared" si="45"/>
        <v>0</v>
      </c>
      <c r="AK180" s="248">
        <f t="shared" si="45"/>
        <v>0</v>
      </c>
      <c r="AL180" s="248">
        <f t="shared" si="41"/>
        <v>2094.769005865985</v>
      </c>
    </row>
    <row r="189" spans="1:38" ht="14.4" customHeight="1">
      <c r="A189" s="506">
        <v>2040</v>
      </c>
      <c r="B189" s="507" t="s">
        <v>12</v>
      </c>
      <c r="C189" s="508" t="s">
        <v>14</v>
      </c>
      <c r="D189" s="508" t="s">
        <v>15</v>
      </c>
      <c r="E189" s="508" t="s">
        <v>16</v>
      </c>
      <c r="F189" s="508" t="s">
        <v>17</v>
      </c>
      <c r="G189" s="508" t="s">
        <v>367</v>
      </c>
      <c r="H189" s="508" t="s">
        <v>18</v>
      </c>
      <c r="I189" s="508" t="s">
        <v>19</v>
      </c>
      <c r="J189" s="508"/>
      <c r="K189" s="508"/>
      <c r="L189" s="508"/>
      <c r="M189" s="508"/>
      <c r="N189" s="508"/>
      <c r="O189" s="509" t="s">
        <v>368</v>
      </c>
      <c r="P189" s="509" t="s">
        <v>21</v>
      </c>
      <c r="Q189" s="509" t="s">
        <v>369</v>
      </c>
      <c r="R189" s="509" t="s">
        <v>23</v>
      </c>
      <c r="U189" s="506">
        <v>2040</v>
      </c>
      <c r="V189" s="515" t="s">
        <v>12</v>
      </c>
      <c r="W189" s="509" t="s">
        <v>14</v>
      </c>
      <c r="X189" s="509" t="s">
        <v>15</v>
      </c>
      <c r="Y189" s="509" t="s">
        <v>16</v>
      </c>
      <c r="Z189" s="509" t="s">
        <v>17</v>
      </c>
      <c r="AA189" s="509" t="s">
        <v>367</v>
      </c>
      <c r="AB189" s="509" t="s">
        <v>18</v>
      </c>
      <c r="AC189" s="512" t="s">
        <v>19</v>
      </c>
      <c r="AD189" s="513"/>
      <c r="AE189" s="513"/>
      <c r="AF189" s="513"/>
      <c r="AG189" s="513"/>
      <c r="AH189" s="514"/>
      <c r="AI189" s="509" t="s">
        <v>368</v>
      </c>
      <c r="AJ189" s="509" t="s">
        <v>21</v>
      </c>
      <c r="AK189" s="509" t="s">
        <v>369</v>
      </c>
      <c r="AL189" s="509" t="s">
        <v>23</v>
      </c>
    </row>
    <row r="190" spans="1:38" ht="45.6">
      <c r="A190" s="506"/>
      <c r="B190" s="507"/>
      <c r="C190" s="508"/>
      <c r="D190" s="508"/>
      <c r="E190" s="508"/>
      <c r="F190" s="508"/>
      <c r="G190" s="508"/>
      <c r="H190" s="508"/>
      <c r="I190" s="240" t="s">
        <v>356</v>
      </c>
      <c r="J190" s="240" t="s">
        <v>7</v>
      </c>
      <c r="K190" s="240" t="s">
        <v>357</v>
      </c>
      <c r="L190" s="240" t="s">
        <v>370</v>
      </c>
      <c r="M190" s="241" t="s">
        <v>371</v>
      </c>
      <c r="N190" s="240" t="s">
        <v>372</v>
      </c>
      <c r="O190" s="509"/>
      <c r="P190" s="509"/>
      <c r="Q190" s="509"/>
      <c r="R190" s="509"/>
      <c r="U190" s="506"/>
      <c r="V190" s="516"/>
      <c r="W190" s="511"/>
      <c r="X190" s="511"/>
      <c r="Y190" s="511"/>
      <c r="Z190" s="511"/>
      <c r="AA190" s="511"/>
      <c r="AB190" s="511"/>
      <c r="AC190" s="240" t="s">
        <v>356</v>
      </c>
      <c r="AD190" s="240" t="s">
        <v>7</v>
      </c>
      <c r="AE190" s="240" t="s">
        <v>357</v>
      </c>
      <c r="AF190" s="240" t="s">
        <v>370</v>
      </c>
      <c r="AG190" s="241" t="s">
        <v>371</v>
      </c>
      <c r="AH190" s="240" t="s">
        <v>372</v>
      </c>
      <c r="AI190" s="511"/>
      <c r="AJ190" s="511"/>
      <c r="AK190" s="511"/>
      <c r="AL190" s="509"/>
    </row>
    <row r="191" spans="1:38" ht="14.4" customHeight="1">
      <c r="A191" s="506"/>
      <c r="B191" s="242" t="s">
        <v>24</v>
      </c>
      <c r="C191" s="243">
        <v>0</v>
      </c>
      <c r="D191" s="244">
        <v>0</v>
      </c>
      <c r="E191" s="244">
        <v>0</v>
      </c>
      <c r="F191" s="243">
        <v>0</v>
      </c>
      <c r="G191" s="244">
        <v>0</v>
      </c>
      <c r="H191" s="244">
        <f>H197</f>
        <v>285.31936662030324</v>
      </c>
      <c r="I191" s="244">
        <f>$I$27</f>
        <v>0</v>
      </c>
      <c r="J191" s="244">
        <f>J197</f>
        <v>0</v>
      </c>
      <c r="K191" s="244">
        <v>0</v>
      </c>
      <c r="L191" s="244">
        <f>L197</f>
        <v>0</v>
      </c>
      <c r="M191" s="244">
        <v>0</v>
      </c>
      <c r="N191" s="244">
        <f>N197</f>
        <v>21.28432574430823</v>
      </c>
      <c r="O191" s="245">
        <v>0</v>
      </c>
      <c r="P191" s="244">
        <v>0</v>
      </c>
      <c r="Q191" s="244">
        <v>0</v>
      </c>
      <c r="R191" s="246">
        <f>SUM(C191:Q191)</f>
        <v>306.60369236461145</v>
      </c>
      <c r="U191" s="506"/>
      <c r="V191" s="242" t="s">
        <v>24</v>
      </c>
      <c r="W191" s="243">
        <v>0</v>
      </c>
      <c r="X191" s="244">
        <v>0</v>
      </c>
      <c r="Y191" s="244">
        <v>0</v>
      </c>
      <c r="Z191" s="243">
        <v>0</v>
      </c>
      <c r="AA191" s="244">
        <v>0</v>
      </c>
      <c r="AB191" s="244">
        <f>AB197</f>
        <v>274.02642903556705</v>
      </c>
      <c r="AC191" s="244">
        <f>IF((AC197-$AC$27)&gt;0,$AC$27+(AC197-$AC$27)*0.5,AC197)</f>
        <v>81.593631774910406</v>
      </c>
      <c r="AD191" s="244">
        <f>AD197</f>
        <v>0</v>
      </c>
      <c r="AE191" s="244">
        <f>IF((AE197-$AE$27)&gt;0,$AE$27+(AE197-AE194-AE195-$AE$27)*0.5,AE197-AE194-AE$72)</f>
        <v>180.486615986625</v>
      </c>
      <c r="AF191" s="244">
        <f>AF197</f>
        <v>0</v>
      </c>
      <c r="AG191" s="244">
        <v>0</v>
      </c>
      <c r="AH191" s="244">
        <f>AH197</f>
        <v>38.623230000000007</v>
      </c>
      <c r="AI191" s="245">
        <v>0</v>
      </c>
      <c r="AJ191" s="244">
        <v>0</v>
      </c>
      <c r="AK191" s="244">
        <v>0</v>
      </c>
      <c r="AL191" s="246">
        <f>SUM(W191:AK191)</f>
        <v>574.72990679710244</v>
      </c>
    </row>
    <row r="192" spans="1:38" ht="14.4" customHeight="1">
      <c r="A192" s="506"/>
      <c r="B192" s="242" t="s">
        <v>28</v>
      </c>
      <c r="C192" s="243">
        <f>C197</f>
        <v>0</v>
      </c>
      <c r="D192" s="244">
        <f>D197</f>
        <v>0</v>
      </c>
      <c r="E192" s="244">
        <f>E197-E194-E195</f>
        <v>3854.8479866414837</v>
      </c>
      <c r="F192" s="243">
        <v>0</v>
      </c>
      <c r="G192" s="244">
        <v>0</v>
      </c>
      <c r="H192" s="244">
        <v>0</v>
      </c>
      <c r="I192" s="244">
        <f>I197-$I$27</f>
        <v>0</v>
      </c>
      <c r="J192" s="244">
        <v>0</v>
      </c>
      <c r="K192" s="244">
        <f>K197</f>
        <v>0</v>
      </c>
      <c r="L192" s="244">
        <v>0</v>
      </c>
      <c r="M192" s="244">
        <v>0</v>
      </c>
      <c r="N192" s="244">
        <v>0</v>
      </c>
      <c r="O192" s="245">
        <v>0</v>
      </c>
      <c r="P192" s="244">
        <v>0</v>
      </c>
      <c r="Q192" s="244">
        <v>0</v>
      </c>
      <c r="R192" s="246">
        <f t="shared" ref="R192:R197" si="46">SUM(C192:Q192)</f>
        <v>3854.8479866414837</v>
      </c>
      <c r="U192" s="506"/>
      <c r="V192" s="242" t="s">
        <v>28</v>
      </c>
      <c r="W192" s="243">
        <f>W197</f>
        <v>0</v>
      </c>
      <c r="X192" s="244">
        <f>X197</f>
        <v>0</v>
      </c>
      <c r="Y192" s="244">
        <f>Y197-Y194-Y195</f>
        <v>2460.534546437194</v>
      </c>
      <c r="Z192" s="243">
        <v>0</v>
      </c>
      <c r="AA192" s="244">
        <v>0</v>
      </c>
      <c r="AB192" s="244">
        <v>0</v>
      </c>
      <c r="AC192" s="244">
        <f>IF((AC197-$AC$27)&gt;0,(AC197-$AC$27)*0.5,0)</f>
        <v>81.593631774910406</v>
      </c>
      <c r="AD192" s="244">
        <v>0</v>
      </c>
      <c r="AE192" s="244">
        <f>IF((AE197-AE194-AE195-$AE$27)&gt;0,(AE197-AE194-AE195-$AE$27)*0.5,0)</f>
        <v>180.486615986625</v>
      </c>
      <c r="AF192" s="244">
        <v>0</v>
      </c>
      <c r="AG192" s="244">
        <v>0</v>
      </c>
      <c r="AH192" s="244">
        <v>0</v>
      </c>
      <c r="AI192" s="245">
        <v>0</v>
      </c>
      <c r="AJ192" s="244">
        <v>0</v>
      </c>
      <c r="AK192" s="244">
        <v>0</v>
      </c>
      <c r="AL192" s="246">
        <f t="shared" ref="AL192:AL197" si="47">SUM(W192:AK192)</f>
        <v>2722.6147941987297</v>
      </c>
    </row>
    <row r="193" spans="1:38" ht="14.4" customHeight="1">
      <c r="A193" s="506"/>
      <c r="B193" s="242" t="s">
        <v>29</v>
      </c>
      <c r="C193" s="243">
        <v>0</v>
      </c>
      <c r="D193" s="244">
        <v>0</v>
      </c>
      <c r="E193" s="244">
        <v>0</v>
      </c>
      <c r="F193" s="243">
        <v>0</v>
      </c>
      <c r="G193" s="244">
        <v>0</v>
      </c>
      <c r="H193" s="244">
        <v>0</v>
      </c>
      <c r="I193" s="244">
        <v>0</v>
      </c>
      <c r="J193" s="244">
        <v>0</v>
      </c>
      <c r="K193" s="244">
        <v>0</v>
      </c>
      <c r="L193" s="244">
        <v>0</v>
      </c>
      <c r="M193" s="244">
        <v>0</v>
      </c>
      <c r="N193" s="244">
        <v>0</v>
      </c>
      <c r="O193" s="245">
        <v>0</v>
      </c>
      <c r="P193" s="244">
        <v>0</v>
      </c>
      <c r="Q193" s="244">
        <v>0</v>
      </c>
      <c r="R193" s="246">
        <f t="shared" si="46"/>
        <v>0</v>
      </c>
      <c r="U193" s="506"/>
      <c r="V193" s="242" t="s">
        <v>29</v>
      </c>
      <c r="W193" s="243">
        <v>0</v>
      </c>
      <c r="X193" s="244">
        <v>0</v>
      </c>
      <c r="Y193" s="244">
        <v>0</v>
      </c>
      <c r="Z193" s="243">
        <v>0</v>
      </c>
      <c r="AA193" s="244">
        <v>0</v>
      </c>
      <c r="AB193" s="244">
        <v>0</v>
      </c>
      <c r="AC193" s="244">
        <v>0</v>
      </c>
      <c r="AD193" s="244">
        <v>0</v>
      </c>
      <c r="AE193" s="244">
        <v>0</v>
      </c>
      <c r="AF193" s="244">
        <v>0</v>
      </c>
      <c r="AG193" s="244">
        <v>0</v>
      </c>
      <c r="AH193" s="244">
        <v>0</v>
      </c>
      <c r="AI193" s="245">
        <v>0</v>
      </c>
      <c r="AJ193" s="244">
        <v>0</v>
      </c>
      <c r="AK193" s="244">
        <v>0</v>
      </c>
      <c r="AL193" s="246">
        <f t="shared" si="47"/>
        <v>0</v>
      </c>
    </row>
    <row r="194" spans="1:38" ht="14.4" customHeight="1">
      <c r="A194" s="506"/>
      <c r="B194" s="242" t="s">
        <v>30</v>
      </c>
      <c r="C194" s="243">
        <v>0</v>
      </c>
      <c r="D194" s="244">
        <v>0</v>
      </c>
      <c r="E194" s="244">
        <f>-Transports!$G$125</f>
        <v>-381.96873315593513</v>
      </c>
      <c r="F194" s="243">
        <v>0</v>
      </c>
      <c r="G194" s="244">
        <v>0</v>
      </c>
      <c r="H194" s="244">
        <v>0</v>
      </c>
      <c r="I194" s="244">
        <v>0</v>
      </c>
      <c r="J194" s="244">
        <v>0</v>
      </c>
      <c r="K194" s="244">
        <v>0</v>
      </c>
      <c r="L194" s="244">
        <v>0</v>
      </c>
      <c r="M194" s="244">
        <v>0</v>
      </c>
      <c r="N194" s="244">
        <v>0</v>
      </c>
      <c r="O194" s="245">
        <v>0</v>
      </c>
      <c r="P194" s="244">
        <v>0</v>
      </c>
      <c r="Q194" s="244">
        <v>0</v>
      </c>
      <c r="R194" s="246">
        <f t="shared" si="46"/>
        <v>-381.96873315593513</v>
      </c>
      <c r="U194" s="506"/>
      <c r="V194" s="242" t="s">
        <v>30</v>
      </c>
      <c r="W194" s="243">
        <v>0</v>
      </c>
      <c r="X194" s="244">
        <v>0</v>
      </c>
      <c r="Y194" s="244">
        <f>-Transports!$G$172-Transports!$G$171</f>
        <v>-242.5529635884613</v>
      </c>
      <c r="Z194" s="243">
        <v>0</v>
      </c>
      <c r="AA194" s="244">
        <v>0</v>
      </c>
      <c r="AB194" s="244">
        <v>0</v>
      </c>
      <c r="AC194" s="244">
        <v>0</v>
      </c>
      <c r="AD194" s="244">
        <v>0</v>
      </c>
      <c r="AE194" s="244">
        <f>-Transports!$G$170</f>
        <v>-81.715704310551132</v>
      </c>
      <c r="AF194" s="244">
        <v>0</v>
      </c>
      <c r="AG194" s="244">
        <v>0</v>
      </c>
      <c r="AH194" s="244">
        <v>0</v>
      </c>
      <c r="AI194" s="245">
        <v>0</v>
      </c>
      <c r="AJ194" s="244">
        <v>0</v>
      </c>
      <c r="AK194" s="244">
        <v>0</v>
      </c>
      <c r="AL194" s="246">
        <f t="shared" si="47"/>
        <v>-324.26866789901243</v>
      </c>
    </row>
    <row r="195" spans="1:38" ht="14.4" customHeight="1">
      <c r="A195" s="506"/>
      <c r="B195" s="242" t="s">
        <v>31</v>
      </c>
      <c r="C195" s="243">
        <v>0</v>
      </c>
      <c r="D195" s="244">
        <v>0</v>
      </c>
      <c r="E195" s="244">
        <f>-Transports!$G$202</f>
        <v>-435.0485705665933</v>
      </c>
      <c r="F195" s="243">
        <v>0</v>
      </c>
      <c r="G195" s="244">
        <v>0</v>
      </c>
      <c r="H195" s="244">
        <v>0</v>
      </c>
      <c r="I195" s="244">
        <v>0</v>
      </c>
      <c r="J195" s="244">
        <v>0</v>
      </c>
      <c r="K195" s="244">
        <v>0</v>
      </c>
      <c r="L195" s="244">
        <v>0</v>
      </c>
      <c r="M195" s="244">
        <v>0</v>
      </c>
      <c r="N195" s="244">
        <v>0</v>
      </c>
      <c r="O195" s="245">
        <v>0</v>
      </c>
      <c r="P195" s="244">
        <v>0</v>
      </c>
      <c r="Q195" s="244">
        <v>0</v>
      </c>
      <c r="R195" s="246">
        <f t="shared" si="46"/>
        <v>-435.0485705665933</v>
      </c>
      <c r="U195" s="506"/>
      <c r="V195" s="242" t="s">
        <v>31</v>
      </c>
      <c r="W195" s="243">
        <v>0</v>
      </c>
      <c r="X195" s="244">
        <v>0</v>
      </c>
      <c r="Y195" s="244">
        <f>-Transports!$G$234</f>
        <v>-257.91056699855176</v>
      </c>
      <c r="Z195" s="243">
        <v>0</v>
      </c>
      <c r="AA195" s="244">
        <v>0</v>
      </c>
      <c r="AB195" s="244">
        <v>0</v>
      </c>
      <c r="AC195" s="244">
        <v>0</v>
      </c>
      <c r="AD195" s="244">
        <v>0</v>
      </c>
      <c r="AE195" s="244">
        <f>-Transports!$G$233-Transports!$G$232</f>
        <v>-123.16945903161002</v>
      </c>
      <c r="AF195" s="244">
        <v>0</v>
      </c>
      <c r="AG195" s="244">
        <v>0</v>
      </c>
      <c r="AH195" s="244">
        <v>0</v>
      </c>
      <c r="AI195" s="245">
        <v>0</v>
      </c>
      <c r="AJ195" s="244">
        <v>0</v>
      </c>
      <c r="AK195" s="244">
        <v>0</v>
      </c>
      <c r="AL195" s="246">
        <f t="shared" si="47"/>
        <v>-381.08002603016178</v>
      </c>
    </row>
    <row r="196" spans="1:38" ht="14.4" customHeight="1">
      <c r="A196" s="506"/>
      <c r="B196" s="242" t="s">
        <v>32</v>
      </c>
      <c r="C196" s="243">
        <v>0</v>
      </c>
      <c r="D196" s="244">
        <v>0</v>
      </c>
      <c r="E196" s="244">
        <v>0</v>
      </c>
      <c r="F196" s="243">
        <v>0</v>
      </c>
      <c r="G196" s="244">
        <v>0</v>
      </c>
      <c r="H196" s="244">
        <v>0</v>
      </c>
      <c r="I196" s="244">
        <v>0</v>
      </c>
      <c r="J196" s="244">
        <v>0</v>
      </c>
      <c r="K196" s="244">
        <v>0</v>
      </c>
      <c r="L196" s="244">
        <v>0</v>
      </c>
      <c r="M196" s="244">
        <v>0</v>
      </c>
      <c r="N196" s="244">
        <v>0</v>
      </c>
      <c r="O196" s="245">
        <v>0</v>
      </c>
      <c r="P196" s="244">
        <v>0</v>
      </c>
      <c r="Q196" s="244">
        <v>0</v>
      </c>
      <c r="R196" s="246">
        <f t="shared" si="46"/>
        <v>0</v>
      </c>
      <c r="U196" s="506"/>
      <c r="V196" s="242" t="s">
        <v>32</v>
      </c>
      <c r="W196" s="243">
        <v>0</v>
      </c>
      <c r="X196" s="244">
        <v>0</v>
      </c>
      <c r="Y196" s="244">
        <v>0</v>
      </c>
      <c r="Z196" s="243">
        <v>0</v>
      </c>
      <c r="AA196" s="244">
        <v>0</v>
      </c>
      <c r="AB196" s="244">
        <v>0</v>
      </c>
      <c r="AC196" s="244">
        <v>0</v>
      </c>
      <c r="AD196" s="244">
        <v>0</v>
      </c>
      <c r="AE196" s="244">
        <v>0</v>
      </c>
      <c r="AF196" s="244">
        <v>0</v>
      </c>
      <c r="AG196" s="244">
        <v>0</v>
      </c>
      <c r="AH196" s="244">
        <v>0</v>
      </c>
      <c r="AI196" s="245">
        <v>0</v>
      </c>
      <c r="AJ196" s="244">
        <v>0</v>
      </c>
      <c r="AK196" s="244">
        <v>0</v>
      </c>
      <c r="AL196" s="246">
        <f t="shared" si="47"/>
        <v>0</v>
      </c>
    </row>
    <row r="197" spans="1:38" ht="14.4" customHeight="1">
      <c r="A197" s="506"/>
      <c r="B197" s="247" t="s">
        <v>373</v>
      </c>
      <c r="C197" s="248">
        <f>C221+C219</f>
        <v>0</v>
      </c>
      <c r="D197" s="248">
        <f>D211+D221</f>
        <v>0</v>
      </c>
      <c r="E197" s="248">
        <f>E211+E221</f>
        <v>3037.8306829189551</v>
      </c>
      <c r="F197" s="248">
        <f>SUM(F191:F196)</f>
        <v>0</v>
      </c>
      <c r="G197" s="248">
        <f>SUM(G191:G196)</f>
        <v>0</v>
      </c>
      <c r="H197" s="248">
        <f>H211</f>
        <v>285.31936662030324</v>
      </c>
      <c r="I197" s="248">
        <f>I211+I219</f>
        <v>0</v>
      </c>
      <c r="J197" s="248">
        <f>J211+J221</f>
        <v>0</v>
      </c>
      <c r="K197" s="248">
        <f>K211+K221</f>
        <v>0</v>
      </c>
      <c r="L197" s="248">
        <f>L211+L221</f>
        <v>0</v>
      </c>
      <c r="M197" s="248">
        <f>SUM(M191:M196)</f>
        <v>0</v>
      </c>
      <c r="N197" s="248">
        <f>N211+N221</f>
        <v>21.28432574430823</v>
      </c>
      <c r="O197" s="248">
        <f>SUM(O191:O196)</f>
        <v>0</v>
      </c>
      <c r="P197" s="248">
        <f>SUM(P191:P196)</f>
        <v>0</v>
      </c>
      <c r="Q197" s="248">
        <f>SUM(Q191:Q196)</f>
        <v>0</v>
      </c>
      <c r="R197" s="248">
        <f t="shared" si="46"/>
        <v>3344.4343752835666</v>
      </c>
      <c r="U197" s="506"/>
      <c r="V197" s="247" t="s">
        <v>373</v>
      </c>
      <c r="W197" s="248">
        <f>W221+W219</f>
        <v>0</v>
      </c>
      <c r="X197" s="248">
        <f>X211+X221</f>
        <v>0</v>
      </c>
      <c r="Y197" s="248">
        <f>Y211+Y221</f>
        <v>1960.0710158501806</v>
      </c>
      <c r="Z197" s="248">
        <f>SUM(Z191:Z196)</f>
        <v>0</v>
      </c>
      <c r="AA197" s="248">
        <f>SUM(AA191:AA196)</f>
        <v>0</v>
      </c>
      <c r="AB197" s="248">
        <f>AB211</f>
        <v>274.02642903556705</v>
      </c>
      <c r="AC197" s="248">
        <f>AC211+AC219</f>
        <v>163.18726354982081</v>
      </c>
      <c r="AD197" s="248">
        <f>AD211+AD221</f>
        <v>0</v>
      </c>
      <c r="AE197" s="248">
        <f>AE211+AE221</f>
        <v>156.08806863108884</v>
      </c>
      <c r="AF197" s="248">
        <f>AF211+AF221</f>
        <v>0</v>
      </c>
      <c r="AG197" s="248">
        <f>SUM(AG191:AG196)</f>
        <v>0</v>
      </c>
      <c r="AH197" s="248">
        <f>AH211+AH221</f>
        <v>38.623230000000007</v>
      </c>
      <c r="AI197" s="248">
        <f>SUM(AI191:AI196)</f>
        <v>0</v>
      </c>
      <c r="AJ197" s="248">
        <f>SUM(AJ191:AJ196)</f>
        <v>0</v>
      </c>
      <c r="AK197" s="248">
        <f>SUM(AK191:AK196)</f>
        <v>0</v>
      </c>
      <c r="AL197" s="248">
        <f t="shared" si="47"/>
        <v>2591.9960070666575</v>
      </c>
    </row>
    <row r="198" spans="1:38" ht="14.4" customHeight="1">
      <c r="A198" s="506"/>
      <c r="B198" s="249"/>
      <c r="C198" s="250"/>
      <c r="D198" s="219"/>
      <c r="E198" s="251"/>
      <c r="F198" s="250"/>
      <c r="G198" s="250"/>
      <c r="H198" s="250"/>
      <c r="I198" s="250"/>
      <c r="J198" s="250"/>
      <c r="K198" s="250"/>
      <c r="L198" s="250"/>
      <c r="M198" s="250"/>
      <c r="N198" s="250"/>
      <c r="O198" s="259"/>
      <c r="P198" s="250"/>
      <c r="Q198" s="250"/>
      <c r="R198" s="250"/>
      <c r="U198" s="506"/>
      <c r="V198" s="249"/>
      <c r="W198" s="250"/>
      <c r="X198" s="219"/>
      <c r="Y198" s="251"/>
      <c r="Z198" s="250"/>
      <c r="AA198" s="250"/>
      <c r="AB198" s="250"/>
      <c r="AC198" s="250"/>
      <c r="AD198" s="250"/>
      <c r="AE198" s="250"/>
      <c r="AF198" s="250"/>
      <c r="AG198" s="250"/>
      <c r="AH198" s="250"/>
      <c r="AI198" s="259"/>
      <c r="AJ198" s="250"/>
      <c r="AK198" s="250"/>
      <c r="AL198" s="250"/>
    </row>
    <row r="199" spans="1:38" ht="14.4" customHeight="1">
      <c r="A199" s="506"/>
      <c r="B199" s="252" t="s">
        <v>374</v>
      </c>
      <c r="C199" s="243">
        <v>0</v>
      </c>
      <c r="D199" s="253">
        <v>0</v>
      </c>
      <c r="E199" s="253">
        <v>0</v>
      </c>
      <c r="F199" s="243">
        <v>0</v>
      </c>
      <c r="G199" s="243">
        <v>0</v>
      </c>
      <c r="H199" s="243">
        <v>0</v>
      </c>
      <c r="I199" s="243">
        <v>0</v>
      </c>
      <c r="J199" s="243">
        <v>0</v>
      </c>
      <c r="K199" s="243">
        <v>0</v>
      </c>
      <c r="L199" s="243">
        <v>0</v>
      </c>
      <c r="M199" s="243">
        <v>0</v>
      </c>
      <c r="N199" s="243">
        <v>0</v>
      </c>
      <c r="O199" s="243">
        <v>0</v>
      </c>
      <c r="P199" s="243">
        <v>0</v>
      </c>
      <c r="Q199" s="243">
        <v>0</v>
      </c>
      <c r="R199" s="254">
        <f>SUM(C199:Q199)</f>
        <v>0</v>
      </c>
      <c r="U199" s="506"/>
      <c r="V199" s="252" t="s">
        <v>374</v>
      </c>
      <c r="W199" s="243">
        <v>0</v>
      </c>
      <c r="X199" s="253">
        <v>0</v>
      </c>
      <c r="Y199" s="253">
        <v>0</v>
      </c>
      <c r="Z199" s="243">
        <v>0</v>
      </c>
      <c r="AA199" s="243">
        <v>0</v>
      </c>
      <c r="AB199" s="243">
        <v>0</v>
      </c>
      <c r="AC199" s="243">
        <v>0</v>
      </c>
      <c r="AD199" s="243">
        <v>0</v>
      </c>
      <c r="AE199" s="243">
        <v>0</v>
      </c>
      <c r="AF199" s="243">
        <v>0</v>
      </c>
      <c r="AG199" s="243">
        <v>0</v>
      </c>
      <c r="AH199" s="243">
        <v>0</v>
      </c>
      <c r="AI199" s="243">
        <v>0</v>
      </c>
      <c r="AJ199" s="243">
        <v>0</v>
      </c>
      <c r="AK199" s="243">
        <v>0</v>
      </c>
      <c r="AL199" s="254">
        <f>SUM(W199:AK199)</f>
        <v>0</v>
      </c>
    </row>
    <row r="200" spans="1:38" ht="14.4" customHeight="1">
      <c r="A200" s="506"/>
      <c r="B200" s="252" t="s">
        <v>375</v>
      </c>
      <c r="C200" s="243">
        <f>$O$200*'Prod Energie'!$G$32/(-$J$13)</f>
        <v>0</v>
      </c>
      <c r="D200" s="243">
        <v>0</v>
      </c>
      <c r="E200" s="243">
        <f>O200*'Prod Energie'!$G$33/(-$K$13)</f>
        <v>1103.7746722629813</v>
      </c>
      <c r="F200" s="243">
        <v>0</v>
      </c>
      <c r="G200" s="243">
        <v>0</v>
      </c>
      <c r="H200" s="243">
        <f>(O200)*('Prod Energie'!$G$34+'Prod Energie'!$G$39+'Prod Energie'!$G$40)/(-$L$13)</f>
        <v>285.31936662030324</v>
      </c>
      <c r="I200" s="255">
        <f>(O200)*('Prod Energie'!$G$38)/(-$M$13)</f>
        <v>0</v>
      </c>
      <c r="J200" s="255">
        <f>(O200)*('Prod Energie'!$G$36)/(-$N$13)</f>
        <v>0</v>
      </c>
      <c r="K200" s="255">
        <f>(O200)*('Prod Energie'!$G$37)/(-$O$13)</f>
        <v>0</v>
      </c>
      <c r="L200" s="255">
        <f>(O200)*('Prod Energie'!$G$41)/(-P13)</f>
        <v>0</v>
      </c>
      <c r="M200" s="255">
        <v>0</v>
      </c>
      <c r="N200" s="255">
        <f>(O200)*'Prod Energie'!G35/(-$Q$13)</f>
        <v>0</v>
      </c>
      <c r="O200" s="243">
        <f>O211/(1+$F$17+$F$18)</f>
        <v>-770.98022241601507</v>
      </c>
      <c r="P200" s="243">
        <v>0</v>
      </c>
      <c r="Q200" s="243">
        <v>0</v>
      </c>
      <c r="R200" s="254">
        <f t="shared" ref="R200:R211" si="48">SUM(C200:Q200)</f>
        <v>618.11381646726954</v>
      </c>
      <c r="U200" s="506"/>
      <c r="V200" s="252" t="s">
        <v>375</v>
      </c>
      <c r="W200" s="243">
        <f>AI200*'Prod Energie'!$G$53/(-$J$13)</f>
        <v>0</v>
      </c>
      <c r="X200" s="243">
        <v>0</v>
      </c>
      <c r="Y200" s="243">
        <f>AI200*'Prod Energie'!$G$54/(-$K$13)</f>
        <v>1103.6412650051452</v>
      </c>
      <c r="Z200" s="243">
        <v>0</v>
      </c>
      <c r="AA200" s="243">
        <v>0</v>
      </c>
      <c r="AB200" s="243">
        <f>(AI200)*('Prod Energie'!$G$55+'Prod Energie'!$G$60+'Prod Energie'!$G$61)/(-$L$13)</f>
        <v>274.02642903556705</v>
      </c>
      <c r="AC200" s="255">
        <f>(AI200)*'Prod Energie'!$G$59/(-$M$13)</f>
        <v>163.18726354982081</v>
      </c>
      <c r="AD200" s="255">
        <f>(AI200)*('Prod Energie'!$G$57)/(-$N$13)</f>
        <v>0</v>
      </c>
      <c r="AE200" s="255">
        <f>(AI200)*('Prod Energie'!$G$58)/(-$O$13)</f>
        <v>0</v>
      </c>
      <c r="AF200" s="255">
        <f>(AI200)*('Prod Energie'!$G$62)/(-$P$13)</f>
        <v>0</v>
      </c>
      <c r="AG200" s="255">
        <v>0</v>
      </c>
      <c r="AH200" s="255">
        <f>(AI200)*'Prod Energie'!$G$56/(-$Q$13)</f>
        <v>0</v>
      </c>
      <c r="AI200" s="243">
        <f>AI211/(1+$F$17+$F$18)</f>
        <v>-824.90349105775931</v>
      </c>
      <c r="AJ200" s="243">
        <v>0</v>
      </c>
      <c r="AK200" s="243">
        <v>0</v>
      </c>
      <c r="AL200" s="254">
        <f t="shared" ref="AL200:AL211" si="49">SUM(W200:AK200)</f>
        <v>715.95146653277379</v>
      </c>
    </row>
    <row r="201" spans="1:38" ht="14.4" customHeight="1">
      <c r="A201" s="506"/>
      <c r="B201" s="252" t="s">
        <v>376</v>
      </c>
      <c r="C201" s="243">
        <v>0</v>
      </c>
      <c r="D201" s="243">
        <v>0</v>
      </c>
      <c r="E201" s="243">
        <v>0</v>
      </c>
      <c r="F201" s="243">
        <v>0</v>
      </c>
      <c r="G201" s="243">
        <v>0</v>
      </c>
      <c r="H201" s="243">
        <v>0</v>
      </c>
      <c r="I201" s="255">
        <f t="shared" ref="I201:N201" si="50">$P$201*$L$18*V$17</f>
        <v>0</v>
      </c>
      <c r="J201" s="255">
        <f t="shared" si="50"/>
        <v>0</v>
      </c>
      <c r="K201" s="255">
        <f t="shared" si="50"/>
        <v>0</v>
      </c>
      <c r="L201" s="255">
        <f t="shared" si="50"/>
        <v>0</v>
      </c>
      <c r="M201" s="255">
        <f t="shared" si="50"/>
        <v>0</v>
      </c>
      <c r="N201" s="255">
        <f t="shared" si="50"/>
        <v>0</v>
      </c>
      <c r="O201" s="243">
        <v>0</v>
      </c>
      <c r="P201" s="243">
        <f>P211/(1+$R$18)</f>
        <v>0</v>
      </c>
      <c r="Q201" s="243">
        <v>0</v>
      </c>
      <c r="R201" s="254">
        <f t="shared" si="48"/>
        <v>0</v>
      </c>
      <c r="U201" s="506"/>
      <c r="V201" s="252" t="s">
        <v>376</v>
      </c>
      <c r="W201" s="243">
        <v>0</v>
      </c>
      <c r="X201" s="243">
        <v>0</v>
      </c>
      <c r="Y201" s="243">
        <v>0</v>
      </c>
      <c r="Z201" s="243">
        <v>0</v>
      </c>
      <c r="AA201" s="243">
        <v>0</v>
      </c>
      <c r="AB201" s="243">
        <v>0</v>
      </c>
      <c r="AC201" s="255">
        <f t="shared" ref="AC201:AH201" si="51">$AJ$201*$L$18*V$17</f>
        <v>0</v>
      </c>
      <c r="AD201" s="255">
        <f t="shared" si="51"/>
        <v>0</v>
      </c>
      <c r="AE201" s="255">
        <f t="shared" si="51"/>
        <v>0</v>
      </c>
      <c r="AF201" s="255">
        <f t="shared" si="51"/>
        <v>0</v>
      </c>
      <c r="AG201" s="255">
        <f t="shared" si="51"/>
        <v>0</v>
      </c>
      <c r="AH201" s="255">
        <f t="shared" si="51"/>
        <v>0</v>
      </c>
      <c r="AI201" s="243">
        <v>0</v>
      </c>
      <c r="AJ201" s="243">
        <f>AJ211/(1+$R$18)</f>
        <v>0</v>
      </c>
      <c r="AK201" s="243">
        <v>0</v>
      </c>
      <c r="AL201" s="254">
        <f t="shared" si="49"/>
        <v>0</v>
      </c>
    </row>
    <row r="202" spans="1:38" ht="14.4" customHeight="1">
      <c r="A202" s="506"/>
      <c r="B202" s="252" t="s">
        <v>377</v>
      </c>
      <c r="C202" s="243">
        <v>0</v>
      </c>
      <c r="D202" s="243">
        <v>0</v>
      </c>
      <c r="E202" s="243">
        <v>0</v>
      </c>
      <c r="F202" s="243">
        <v>0</v>
      </c>
      <c r="G202" s="243">
        <v>0</v>
      </c>
      <c r="H202" s="243">
        <v>0</v>
      </c>
      <c r="I202" s="256">
        <v>0</v>
      </c>
      <c r="J202" s="256">
        <v>0</v>
      </c>
      <c r="K202" s="256">
        <v>0</v>
      </c>
      <c r="L202" s="256">
        <v>0</v>
      </c>
      <c r="M202" s="256">
        <v>0</v>
      </c>
      <c r="N202" s="256">
        <v>0</v>
      </c>
      <c r="O202" s="243">
        <v>0</v>
      </c>
      <c r="P202" s="243">
        <v>0</v>
      </c>
      <c r="Q202" s="243">
        <v>0</v>
      </c>
      <c r="R202" s="254">
        <f t="shared" si="48"/>
        <v>0</v>
      </c>
      <c r="U202" s="506"/>
      <c r="V202" s="252" t="s">
        <v>377</v>
      </c>
      <c r="W202" s="243">
        <v>0</v>
      </c>
      <c r="X202" s="243">
        <v>0</v>
      </c>
      <c r="Y202" s="243">
        <v>0</v>
      </c>
      <c r="Z202" s="243">
        <v>0</v>
      </c>
      <c r="AA202" s="243">
        <v>0</v>
      </c>
      <c r="AB202" s="243">
        <v>0</v>
      </c>
      <c r="AC202" s="256">
        <v>0</v>
      </c>
      <c r="AD202" s="256">
        <v>0</v>
      </c>
      <c r="AE202" s="256">
        <v>0</v>
      </c>
      <c r="AF202" s="256">
        <v>0</v>
      </c>
      <c r="AG202" s="256">
        <v>0</v>
      </c>
      <c r="AH202" s="256">
        <v>0</v>
      </c>
      <c r="AI202" s="243">
        <v>0</v>
      </c>
      <c r="AJ202" s="243">
        <v>0</v>
      </c>
      <c r="AK202" s="243">
        <v>0</v>
      </c>
      <c r="AL202" s="254">
        <f t="shared" si="49"/>
        <v>0</v>
      </c>
    </row>
    <row r="203" spans="1:38" ht="14.4" customHeight="1">
      <c r="A203" s="506"/>
      <c r="B203" s="252" t="s">
        <v>378</v>
      </c>
      <c r="C203" s="243">
        <v>0</v>
      </c>
      <c r="D203" s="243">
        <v>0</v>
      </c>
      <c r="E203" s="243">
        <v>0</v>
      </c>
      <c r="F203" s="243">
        <v>0</v>
      </c>
      <c r="G203" s="243">
        <v>0</v>
      </c>
      <c r="H203" s="243">
        <v>0</v>
      </c>
      <c r="I203" s="243">
        <v>0</v>
      </c>
      <c r="J203" s="243">
        <v>0</v>
      </c>
      <c r="K203" s="243">
        <v>0</v>
      </c>
      <c r="L203" s="243">
        <v>0</v>
      </c>
      <c r="M203" s="243">
        <v>0</v>
      </c>
      <c r="N203" s="243">
        <v>0</v>
      </c>
      <c r="O203" s="243">
        <v>0</v>
      </c>
      <c r="P203" s="243">
        <v>0</v>
      </c>
      <c r="Q203" s="243">
        <v>0</v>
      </c>
      <c r="R203" s="254">
        <f t="shared" si="48"/>
        <v>0</v>
      </c>
      <c r="U203" s="506"/>
      <c r="V203" s="252" t="s">
        <v>378</v>
      </c>
      <c r="W203" s="243">
        <v>0</v>
      </c>
      <c r="X203" s="243">
        <v>0</v>
      </c>
      <c r="Y203" s="243">
        <v>0</v>
      </c>
      <c r="Z203" s="243">
        <v>0</v>
      </c>
      <c r="AA203" s="243">
        <v>0</v>
      </c>
      <c r="AB203" s="243">
        <v>0</v>
      </c>
      <c r="AC203" s="243">
        <v>0</v>
      </c>
      <c r="AD203" s="243">
        <v>0</v>
      </c>
      <c r="AE203" s="243">
        <v>0</v>
      </c>
      <c r="AF203" s="243">
        <v>0</v>
      </c>
      <c r="AG203" s="243">
        <v>0</v>
      </c>
      <c r="AH203" s="243">
        <v>0</v>
      </c>
      <c r="AI203" s="243">
        <v>0</v>
      </c>
      <c r="AJ203" s="243">
        <v>0</v>
      </c>
      <c r="AK203" s="243">
        <v>0</v>
      </c>
      <c r="AL203" s="254">
        <f t="shared" si="49"/>
        <v>0</v>
      </c>
    </row>
    <row r="204" spans="1:38" ht="14.4" customHeight="1">
      <c r="A204" s="506"/>
      <c r="B204" s="252" t="s">
        <v>36</v>
      </c>
      <c r="C204" s="243">
        <v>0</v>
      </c>
      <c r="D204" s="243">
        <v>0</v>
      </c>
      <c r="E204" s="243">
        <v>0</v>
      </c>
      <c r="F204" s="243">
        <v>0</v>
      </c>
      <c r="G204" s="243">
        <v>0</v>
      </c>
      <c r="H204" s="243">
        <v>0</v>
      </c>
      <c r="I204" s="243">
        <v>0</v>
      </c>
      <c r="J204" s="243">
        <v>0</v>
      </c>
      <c r="K204" s="243">
        <v>0</v>
      </c>
      <c r="L204" s="243">
        <v>0</v>
      </c>
      <c r="M204" s="243">
        <v>0</v>
      </c>
      <c r="N204" s="243">
        <v>0</v>
      </c>
      <c r="O204" s="243">
        <v>0</v>
      </c>
      <c r="P204" s="243">
        <v>0</v>
      </c>
      <c r="Q204" s="243">
        <v>0</v>
      </c>
      <c r="R204" s="254">
        <f t="shared" si="48"/>
        <v>0</v>
      </c>
      <c r="S204" s="259">
        <f>R221+R211</f>
        <v>3344.4343752835666</v>
      </c>
      <c r="U204" s="506"/>
      <c r="V204" s="252" t="s">
        <v>36</v>
      </c>
      <c r="W204" s="243">
        <v>0</v>
      </c>
      <c r="X204" s="243">
        <v>0</v>
      </c>
      <c r="Y204" s="243">
        <v>0</v>
      </c>
      <c r="Z204" s="243">
        <v>0</v>
      </c>
      <c r="AA204" s="243">
        <v>0</v>
      </c>
      <c r="AB204" s="243">
        <v>0</v>
      </c>
      <c r="AC204" s="243">
        <v>0</v>
      </c>
      <c r="AD204" s="243">
        <v>0</v>
      </c>
      <c r="AE204" s="243">
        <v>0</v>
      </c>
      <c r="AF204" s="243">
        <v>0</v>
      </c>
      <c r="AG204" s="243">
        <v>0</v>
      </c>
      <c r="AH204" s="243">
        <v>0</v>
      </c>
      <c r="AI204" s="243">
        <v>0</v>
      </c>
      <c r="AJ204" s="243">
        <v>0</v>
      </c>
      <c r="AK204" s="243">
        <v>0</v>
      </c>
      <c r="AL204" s="254">
        <f t="shared" si="49"/>
        <v>0</v>
      </c>
    </row>
    <row r="205" spans="1:38" ht="14.4" customHeight="1">
      <c r="A205" s="506"/>
      <c r="B205" s="252" t="s">
        <v>379</v>
      </c>
      <c r="C205" s="243">
        <v>0</v>
      </c>
      <c r="D205" s="243">
        <v>0</v>
      </c>
      <c r="E205" s="243">
        <v>0</v>
      </c>
      <c r="F205" s="243">
        <v>0</v>
      </c>
      <c r="G205" s="243">
        <v>0</v>
      </c>
      <c r="H205" s="243">
        <v>0</v>
      </c>
      <c r="I205" s="243">
        <v>0</v>
      </c>
      <c r="J205" s="243">
        <v>0</v>
      </c>
      <c r="K205" s="243">
        <v>0</v>
      </c>
      <c r="L205" s="243">
        <v>0</v>
      </c>
      <c r="M205" s="243">
        <v>0</v>
      </c>
      <c r="N205" s="243">
        <v>0</v>
      </c>
      <c r="O205" s="243">
        <v>0</v>
      </c>
      <c r="P205" s="243">
        <v>0</v>
      </c>
      <c r="Q205" s="243">
        <v>0</v>
      </c>
      <c r="R205" s="254">
        <f t="shared" si="48"/>
        <v>0</v>
      </c>
      <c r="U205" s="506"/>
      <c r="V205" s="252" t="s">
        <v>379</v>
      </c>
      <c r="W205" s="243">
        <v>0</v>
      </c>
      <c r="X205" s="243">
        <v>0</v>
      </c>
      <c r="Y205" s="243">
        <v>0</v>
      </c>
      <c r="Z205" s="243">
        <v>0</v>
      </c>
      <c r="AA205" s="243">
        <v>0</v>
      </c>
      <c r="AB205" s="243">
        <v>0</v>
      </c>
      <c r="AC205" s="243">
        <v>0</v>
      </c>
      <c r="AD205" s="243">
        <v>0</v>
      </c>
      <c r="AE205" s="243">
        <v>0</v>
      </c>
      <c r="AF205" s="243">
        <v>0</v>
      </c>
      <c r="AG205" s="243">
        <v>0</v>
      </c>
      <c r="AH205" s="243">
        <v>0</v>
      </c>
      <c r="AI205" s="243">
        <v>0</v>
      </c>
      <c r="AJ205" s="243">
        <v>0</v>
      </c>
      <c r="AK205" s="243">
        <v>0</v>
      </c>
      <c r="AL205" s="254">
        <f t="shared" si="49"/>
        <v>0</v>
      </c>
    </row>
    <row r="206" spans="1:38" ht="14.4" customHeight="1">
      <c r="A206" s="506"/>
      <c r="B206" s="252" t="s">
        <v>380</v>
      </c>
      <c r="C206" s="243">
        <v>0</v>
      </c>
      <c r="D206" s="243">
        <v>0</v>
      </c>
      <c r="E206" s="243">
        <v>0</v>
      </c>
      <c r="F206" s="243">
        <v>0</v>
      </c>
      <c r="G206" s="243">
        <v>0</v>
      </c>
      <c r="H206" s="243">
        <v>0</v>
      </c>
      <c r="I206" s="243">
        <v>0</v>
      </c>
      <c r="J206" s="243">
        <v>0</v>
      </c>
      <c r="K206" s="243">
        <v>0</v>
      </c>
      <c r="L206" s="243">
        <v>0</v>
      </c>
      <c r="M206" s="243">
        <v>0</v>
      </c>
      <c r="N206" s="243">
        <v>0</v>
      </c>
      <c r="O206" s="243">
        <v>0</v>
      </c>
      <c r="P206" s="243">
        <v>0</v>
      </c>
      <c r="Q206" s="243">
        <v>0</v>
      </c>
      <c r="R206" s="254">
        <f t="shared" si="48"/>
        <v>0</v>
      </c>
      <c r="U206" s="506"/>
      <c r="V206" s="252" t="s">
        <v>380</v>
      </c>
      <c r="W206" s="243">
        <v>0</v>
      </c>
      <c r="X206" s="243">
        <v>0</v>
      </c>
      <c r="Y206" s="243">
        <v>0</v>
      </c>
      <c r="Z206" s="243">
        <v>0</v>
      </c>
      <c r="AA206" s="243">
        <v>0</v>
      </c>
      <c r="AB206" s="243">
        <v>0</v>
      </c>
      <c r="AC206" s="243">
        <v>0</v>
      </c>
      <c r="AD206" s="243">
        <v>0</v>
      </c>
      <c r="AE206" s="243">
        <v>0</v>
      </c>
      <c r="AF206" s="243">
        <v>0</v>
      </c>
      <c r="AG206" s="243">
        <v>0</v>
      </c>
      <c r="AH206" s="243">
        <v>0</v>
      </c>
      <c r="AI206" s="243">
        <v>0</v>
      </c>
      <c r="AJ206" s="243">
        <v>0</v>
      </c>
      <c r="AK206" s="243">
        <v>0</v>
      </c>
      <c r="AL206" s="254">
        <f t="shared" si="49"/>
        <v>0</v>
      </c>
    </row>
    <row r="207" spans="1:38" ht="14.4" customHeight="1">
      <c r="A207" s="506"/>
      <c r="B207" s="252" t="s">
        <v>381</v>
      </c>
      <c r="C207" s="243">
        <v>0</v>
      </c>
      <c r="D207" s="243">
        <v>0</v>
      </c>
      <c r="E207" s="243">
        <v>0</v>
      </c>
      <c r="F207" s="243">
        <v>0</v>
      </c>
      <c r="G207" s="243">
        <v>0</v>
      </c>
      <c r="H207" s="243">
        <v>0</v>
      </c>
      <c r="I207" s="243">
        <v>0</v>
      </c>
      <c r="J207" s="243">
        <v>0</v>
      </c>
      <c r="K207" s="243">
        <v>0</v>
      </c>
      <c r="L207" s="243">
        <v>0</v>
      </c>
      <c r="M207" s="243">
        <v>0</v>
      </c>
      <c r="N207" s="243">
        <v>0</v>
      </c>
      <c r="O207" s="243">
        <v>0</v>
      </c>
      <c r="P207" s="243">
        <v>0</v>
      </c>
      <c r="Q207" s="243">
        <v>0</v>
      </c>
      <c r="R207" s="254">
        <f t="shared" si="48"/>
        <v>0</v>
      </c>
      <c r="U207" s="506"/>
      <c r="V207" s="252" t="s">
        <v>381</v>
      </c>
      <c r="W207" s="243">
        <v>0</v>
      </c>
      <c r="X207" s="243">
        <v>0</v>
      </c>
      <c r="Y207" s="243">
        <v>0</v>
      </c>
      <c r="Z207" s="243">
        <v>0</v>
      </c>
      <c r="AA207" s="243">
        <v>0</v>
      </c>
      <c r="AB207" s="243">
        <v>0</v>
      </c>
      <c r="AC207" s="243">
        <v>0</v>
      </c>
      <c r="AD207" s="243">
        <v>0</v>
      </c>
      <c r="AE207" s="243">
        <v>0</v>
      </c>
      <c r="AF207" s="243">
        <v>0</v>
      </c>
      <c r="AG207" s="243">
        <v>0</v>
      </c>
      <c r="AH207" s="243">
        <v>0</v>
      </c>
      <c r="AI207" s="243">
        <v>0</v>
      </c>
      <c r="AJ207" s="243">
        <v>0</v>
      </c>
      <c r="AK207" s="243">
        <v>0</v>
      </c>
      <c r="AL207" s="254">
        <f t="shared" si="49"/>
        <v>0</v>
      </c>
    </row>
    <row r="208" spans="1:38" ht="14.4" customHeight="1">
      <c r="A208" s="506"/>
      <c r="B208" s="252" t="s">
        <v>37</v>
      </c>
      <c r="C208" s="243">
        <v>0</v>
      </c>
      <c r="D208" s="243">
        <v>0</v>
      </c>
      <c r="E208" s="243">
        <v>0</v>
      </c>
      <c r="F208" s="243">
        <v>0</v>
      </c>
      <c r="G208" s="243">
        <v>0</v>
      </c>
      <c r="H208" s="243">
        <v>0</v>
      </c>
      <c r="I208" s="243">
        <v>0</v>
      </c>
      <c r="J208" s="243">
        <v>0</v>
      </c>
      <c r="K208" s="243">
        <v>0</v>
      </c>
      <c r="L208" s="243">
        <v>0</v>
      </c>
      <c r="M208" s="243">
        <v>0</v>
      </c>
      <c r="N208" s="243">
        <v>0</v>
      </c>
      <c r="O208" s="243">
        <v>0</v>
      </c>
      <c r="P208" s="243">
        <v>0</v>
      </c>
      <c r="Q208" s="243">
        <v>0</v>
      </c>
      <c r="R208" s="254">
        <f t="shared" si="48"/>
        <v>0</v>
      </c>
      <c r="U208" s="506"/>
      <c r="V208" s="252" t="s">
        <v>37</v>
      </c>
      <c r="W208" s="243">
        <v>0</v>
      </c>
      <c r="X208" s="243">
        <v>0</v>
      </c>
      <c r="Y208" s="243">
        <v>0</v>
      </c>
      <c r="Z208" s="243">
        <v>0</v>
      </c>
      <c r="AA208" s="243">
        <v>0</v>
      </c>
      <c r="AB208" s="243">
        <v>0</v>
      </c>
      <c r="AC208" s="243">
        <v>0</v>
      </c>
      <c r="AD208" s="243">
        <v>0</v>
      </c>
      <c r="AE208" s="243">
        <v>0</v>
      </c>
      <c r="AF208" s="243">
        <v>0</v>
      </c>
      <c r="AG208" s="243">
        <v>0</v>
      </c>
      <c r="AH208" s="243">
        <v>0</v>
      </c>
      <c r="AI208" s="243">
        <v>0</v>
      </c>
      <c r="AJ208" s="243">
        <v>0</v>
      </c>
      <c r="AK208" s="243">
        <v>0</v>
      </c>
      <c r="AL208" s="254">
        <f t="shared" si="49"/>
        <v>0</v>
      </c>
    </row>
    <row r="209" spans="1:38" ht="14.4" customHeight="1">
      <c r="A209" s="506"/>
      <c r="B209" s="252" t="s">
        <v>38</v>
      </c>
      <c r="C209" s="243">
        <v>0</v>
      </c>
      <c r="D209" s="243">
        <v>0</v>
      </c>
      <c r="E209" s="243">
        <v>0</v>
      </c>
      <c r="F209" s="243">
        <v>0</v>
      </c>
      <c r="G209" s="243">
        <v>0</v>
      </c>
      <c r="H209" s="243">
        <v>0</v>
      </c>
      <c r="I209" s="243">
        <v>0</v>
      </c>
      <c r="J209" s="243">
        <v>0</v>
      </c>
      <c r="K209" s="243">
        <v>0</v>
      </c>
      <c r="L209" s="243">
        <v>0</v>
      </c>
      <c r="M209" s="243">
        <v>0</v>
      </c>
      <c r="N209" s="243">
        <v>0</v>
      </c>
      <c r="O209" s="243">
        <f>O200*$F$17</f>
        <v>4.9623530799146964</v>
      </c>
      <c r="P209" s="243">
        <v>0</v>
      </c>
      <c r="Q209" s="243">
        <v>0</v>
      </c>
      <c r="R209" s="254">
        <f t="shared" si="48"/>
        <v>4.9623530799146964</v>
      </c>
      <c r="U209" s="506"/>
      <c r="V209" s="252" t="s">
        <v>38</v>
      </c>
      <c r="W209" s="243">
        <v>0</v>
      </c>
      <c r="X209" s="243">
        <v>0</v>
      </c>
      <c r="Y209" s="243">
        <v>0</v>
      </c>
      <c r="Z209" s="243">
        <v>0</v>
      </c>
      <c r="AA209" s="243">
        <v>0</v>
      </c>
      <c r="AB209" s="243">
        <v>0</v>
      </c>
      <c r="AC209" s="243">
        <v>0</v>
      </c>
      <c r="AD209" s="243">
        <v>0</v>
      </c>
      <c r="AE209" s="243">
        <v>0</v>
      </c>
      <c r="AF209" s="243">
        <v>0</v>
      </c>
      <c r="AG209" s="243">
        <v>0</v>
      </c>
      <c r="AH209" s="243">
        <v>0</v>
      </c>
      <c r="AI209" s="243">
        <f>AI200*$F$17</f>
        <v>5.309425923605672</v>
      </c>
      <c r="AJ209" s="243">
        <v>0</v>
      </c>
      <c r="AK209" s="243">
        <v>0</v>
      </c>
      <c r="AL209" s="254">
        <f t="shared" si="49"/>
        <v>5.309425923605672</v>
      </c>
    </row>
    <row r="210" spans="1:38" ht="14.4" customHeight="1">
      <c r="A210" s="506"/>
      <c r="B210" s="252" t="s">
        <v>39</v>
      </c>
      <c r="C210" s="243">
        <v>0</v>
      </c>
      <c r="D210" s="243">
        <v>0</v>
      </c>
      <c r="E210" s="243">
        <v>0</v>
      </c>
      <c r="F210" s="243">
        <v>0</v>
      </c>
      <c r="G210" s="243">
        <v>0</v>
      </c>
      <c r="H210" s="243">
        <v>0</v>
      </c>
      <c r="I210" s="243">
        <v>0</v>
      </c>
      <c r="J210" s="243">
        <v>0</v>
      </c>
      <c r="K210" s="243">
        <v>0</v>
      </c>
      <c r="L210" s="243">
        <v>0</v>
      </c>
      <c r="M210" s="243">
        <v>0</v>
      </c>
      <c r="N210" s="243">
        <v>0</v>
      </c>
      <c r="O210" s="243">
        <f>O200*$F$18</f>
        <v>47.241777856909053</v>
      </c>
      <c r="P210" s="243">
        <f>P201*$R$18</f>
        <v>0</v>
      </c>
      <c r="Q210" s="243">
        <v>0</v>
      </c>
      <c r="R210" s="254">
        <f t="shared" si="48"/>
        <v>47.241777856909053</v>
      </c>
      <c r="U210" s="506"/>
      <c r="V210" s="252" t="s">
        <v>39</v>
      </c>
      <c r="W210" s="243">
        <v>0</v>
      </c>
      <c r="X210" s="243">
        <v>0</v>
      </c>
      <c r="Y210" s="243">
        <v>0</v>
      </c>
      <c r="Z210" s="243">
        <v>0</v>
      </c>
      <c r="AA210" s="243">
        <v>0</v>
      </c>
      <c r="AB210" s="243">
        <v>0</v>
      </c>
      <c r="AC210" s="243">
        <v>0</v>
      </c>
      <c r="AD210" s="243">
        <v>0</v>
      </c>
      <c r="AE210" s="243">
        <v>0</v>
      </c>
      <c r="AF210" s="243">
        <v>0</v>
      </c>
      <c r="AG210" s="243">
        <v>0</v>
      </c>
      <c r="AH210" s="243">
        <v>0</v>
      </c>
      <c r="AI210" s="243">
        <f>AI200*$F$18</f>
        <v>50.545923675992256</v>
      </c>
      <c r="AJ210" s="243">
        <f>AJ201*$R$18</f>
        <v>0</v>
      </c>
      <c r="AK210" s="243">
        <v>0</v>
      </c>
      <c r="AL210" s="254">
        <f t="shared" si="49"/>
        <v>50.545923675992256</v>
      </c>
    </row>
    <row r="211" spans="1:38" ht="14.4" customHeight="1">
      <c r="A211" s="506"/>
      <c r="B211" s="247" t="s">
        <v>40</v>
      </c>
      <c r="C211" s="248">
        <f>SUM(C199:C210)</f>
        <v>0</v>
      </c>
      <c r="D211" s="248">
        <f t="shared" ref="D211:N211" si="52">SUM(D199:D210)</f>
        <v>0</v>
      </c>
      <c r="E211" s="248">
        <f t="shared" si="52"/>
        <v>1103.7746722629813</v>
      </c>
      <c r="F211" s="248">
        <f t="shared" si="52"/>
        <v>0</v>
      </c>
      <c r="G211" s="248">
        <f t="shared" si="52"/>
        <v>0</v>
      </c>
      <c r="H211" s="248">
        <f t="shared" si="52"/>
        <v>285.31936662030324</v>
      </c>
      <c r="I211" s="248">
        <f t="shared" si="52"/>
        <v>0</v>
      </c>
      <c r="J211" s="248">
        <f t="shared" si="52"/>
        <v>0</v>
      </c>
      <c r="K211" s="248">
        <f t="shared" si="52"/>
        <v>0</v>
      </c>
      <c r="L211" s="248">
        <f t="shared" si="52"/>
        <v>0</v>
      </c>
      <c r="M211" s="248">
        <f t="shared" si="52"/>
        <v>0</v>
      </c>
      <c r="N211" s="248">
        <f t="shared" si="52"/>
        <v>0</v>
      </c>
      <c r="O211" s="248">
        <f>-O221</f>
        <v>-718.77609147919134</v>
      </c>
      <c r="P211" s="248">
        <f>-P213</f>
        <v>0</v>
      </c>
      <c r="Q211" s="248">
        <f>SUM(Q199:Q210)</f>
        <v>0</v>
      </c>
      <c r="R211" s="248">
        <f t="shared" si="48"/>
        <v>670.31794740409327</v>
      </c>
      <c r="U211" s="506"/>
      <c r="V211" s="247" t="s">
        <v>40</v>
      </c>
      <c r="W211" s="248">
        <f>SUM(W199:W210)</f>
        <v>0</v>
      </c>
      <c r="X211" s="248">
        <f t="shared" ref="X211:AH211" si="53">SUM(X199:X210)</f>
        <v>0</v>
      </c>
      <c r="Y211" s="248">
        <f t="shared" si="53"/>
        <v>1103.6412650051452</v>
      </c>
      <c r="Z211" s="248">
        <f t="shared" si="53"/>
        <v>0</v>
      </c>
      <c r="AA211" s="248">
        <f t="shared" si="53"/>
        <v>0</v>
      </c>
      <c r="AB211" s="248">
        <f t="shared" si="53"/>
        <v>274.02642903556705</v>
      </c>
      <c r="AC211" s="248">
        <f t="shared" si="53"/>
        <v>163.18726354982081</v>
      </c>
      <c r="AD211" s="248">
        <f t="shared" si="53"/>
        <v>0</v>
      </c>
      <c r="AE211" s="248">
        <f t="shared" si="53"/>
        <v>0</v>
      </c>
      <c r="AF211" s="248">
        <f t="shared" si="53"/>
        <v>0</v>
      </c>
      <c r="AG211" s="248">
        <f t="shared" si="53"/>
        <v>0</v>
      </c>
      <c r="AH211" s="248">
        <f t="shared" si="53"/>
        <v>0</v>
      </c>
      <c r="AI211" s="248">
        <f>-AI221</f>
        <v>-769.04814145816135</v>
      </c>
      <c r="AJ211" s="248">
        <f>-AJ213</f>
        <v>0</v>
      </c>
      <c r="AK211" s="248">
        <f>SUM(AK199:AK210)</f>
        <v>0</v>
      </c>
      <c r="AL211" s="248">
        <f t="shared" si="49"/>
        <v>771.80681613237175</v>
      </c>
    </row>
    <row r="212" spans="1:38" ht="14.4" customHeight="1">
      <c r="A212" s="506"/>
      <c r="B212" s="249"/>
      <c r="C212" s="250"/>
      <c r="D212" s="250"/>
      <c r="E212" s="257"/>
      <c r="F212" s="250"/>
      <c r="G212" s="250"/>
      <c r="H212" s="250"/>
      <c r="I212" s="257"/>
      <c r="J212" s="250"/>
      <c r="K212" s="250"/>
      <c r="L212" s="250"/>
      <c r="M212" s="258"/>
      <c r="N212" s="250"/>
      <c r="O212" s="250"/>
      <c r="P212" s="250"/>
      <c r="Q212" s="250"/>
      <c r="R212" s="250"/>
      <c r="U212" s="506"/>
      <c r="V212" s="249"/>
      <c r="W212" s="250"/>
      <c r="X212" s="250"/>
      <c r="Y212" s="257"/>
      <c r="Z212" s="250"/>
      <c r="AA212" s="250"/>
      <c r="AB212" s="250"/>
      <c r="AC212" s="257"/>
      <c r="AD212" s="250"/>
      <c r="AE212" s="250"/>
      <c r="AF212" s="250"/>
      <c r="AG212" s="258"/>
      <c r="AH212" s="250"/>
      <c r="AI212" s="250"/>
      <c r="AJ212" s="250"/>
      <c r="AK212" s="250"/>
      <c r="AL212" s="250"/>
    </row>
    <row r="213" spans="1:38" ht="14.4" customHeight="1">
      <c r="A213" s="506"/>
      <c r="B213" s="252" t="s">
        <v>41</v>
      </c>
      <c r="C213" s="243">
        <v>0</v>
      </c>
      <c r="D213" s="243">
        <v>0</v>
      </c>
      <c r="E213" s="243">
        <f>Industrie!$G$35</f>
        <v>0</v>
      </c>
      <c r="F213" s="243">
        <v>0</v>
      </c>
      <c r="G213" s="243">
        <v>0</v>
      </c>
      <c r="H213" s="243">
        <v>0</v>
      </c>
      <c r="I213" s="243">
        <v>0</v>
      </c>
      <c r="J213" s="243">
        <v>0</v>
      </c>
      <c r="K213" s="243">
        <v>0</v>
      </c>
      <c r="L213" s="243">
        <v>0</v>
      </c>
      <c r="M213" s="243">
        <v>0</v>
      </c>
      <c r="N213" s="243">
        <v>0</v>
      </c>
      <c r="O213" s="243">
        <f>Industrie!$G$36</f>
        <v>338.36129251017519</v>
      </c>
      <c r="P213" s="243">
        <f>Industrie!$G$39</f>
        <v>0</v>
      </c>
      <c r="Q213" s="243">
        <v>0</v>
      </c>
      <c r="R213" s="254">
        <f>SUM(C213:Q213)</f>
        <v>338.36129251017519</v>
      </c>
      <c r="U213" s="506"/>
      <c r="V213" s="252" t="s">
        <v>41</v>
      </c>
      <c r="W213" s="243">
        <v>0</v>
      </c>
      <c r="X213" s="243">
        <v>0</v>
      </c>
      <c r="Y213" s="243">
        <f>Industrie!$G$56</f>
        <v>0</v>
      </c>
      <c r="Z213" s="243">
        <v>0</v>
      </c>
      <c r="AA213" s="243">
        <v>0</v>
      </c>
      <c r="AB213" s="243">
        <v>0</v>
      </c>
      <c r="AC213" s="243">
        <f>Industrie!$G$62*$V$13/SUM($V$13:$AA$13)</f>
        <v>0</v>
      </c>
      <c r="AD213" s="243">
        <f>Industrie!$G$62*$W$13/SUM($V$13:$AA$13)</f>
        <v>0</v>
      </c>
      <c r="AE213" s="243">
        <f>Industrie!$G$62*$X$13/SUM($V$13:$AA$13)</f>
        <v>0</v>
      </c>
      <c r="AF213" s="243">
        <f>Industrie!$G$62*$Y$13/SUM($V$13:$AA$13)</f>
        <v>0</v>
      </c>
      <c r="AG213" s="243">
        <f>Industrie!$G$62*$Z$13/SUM($V$13:$AA$13)</f>
        <v>0</v>
      </c>
      <c r="AH213" s="243">
        <f>Industrie!$G$62*$AA$13/SUM($V$13:$AA$13)</f>
        <v>0</v>
      </c>
      <c r="AI213" s="243">
        <f>Industrie!$G$57</f>
        <v>270.48216428402236</v>
      </c>
      <c r="AJ213" s="243">
        <f>Industrie!$G$63</f>
        <v>0</v>
      </c>
      <c r="AK213" s="243">
        <v>0</v>
      </c>
      <c r="AL213" s="254">
        <f>SUM(W213:AK213)</f>
        <v>270.48216428402236</v>
      </c>
    </row>
    <row r="214" spans="1:38" ht="14.4" customHeight="1">
      <c r="A214" s="506"/>
      <c r="B214" s="252" t="s">
        <v>42</v>
      </c>
      <c r="C214" s="243">
        <v>0</v>
      </c>
      <c r="D214" s="243">
        <v>0</v>
      </c>
      <c r="E214" s="243">
        <f>Transports!$I$49+Transports!$G$106+Transports!$G$203</f>
        <v>1712.5835955932862</v>
      </c>
      <c r="F214" s="243">
        <v>0</v>
      </c>
      <c r="G214" s="243">
        <v>0</v>
      </c>
      <c r="H214" s="243">
        <v>0</v>
      </c>
      <c r="I214" s="243">
        <v>0</v>
      </c>
      <c r="J214" s="243">
        <v>0</v>
      </c>
      <c r="K214" s="243">
        <v>0</v>
      </c>
      <c r="L214" s="243">
        <v>0</v>
      </c>
      <c r="M214" s="243">
        <v>0</v>
      </c>
      <c r="N214" s="243">
        <v>0</v>
      </c>
      <c r="O214" s="243">
        <f>Transports!$I$50+Transports!$G$107</f>
        <v>34.553415431362978</v>
      </c>
      <c r="P214" s="243">
        <v>0</v>
      </c>
      <c r="Q214" s="243">
        <v>0</v>
      </c>
      <c r="R214" s="254">
        <f t="shared" ref="R214:R221" si="54">SUM(C214:Q214)</f>
        <v>1747.1370110246492</v>
      </c>
      <c r="U214" s="506"/>
      <c r="V214" s="252" t="s">
        <v>42</v>
      </c>
      <c r="W214" s="243">
        <v>0</v>
      </c>
      <c r="X214" s="243">
        <v>0</v>
      </c>
      <c r="Y214" s="243">
        <f>Transports!$I76+Transports!$G$150+Transports!$G$238</f>
        <v>772.11850353320756</v>
      </c>
      <c r="Z214" s="243">
        <v>0</v>
      </c>
      <c r="AA214" s="243">
        <v>0</v>
      </c>
      <c r="AB214" s="243">
        <v>0</v>
      </c>
      <c r="AC214" s="243">
        <v>0</v>
      </c>
      <c r="AD214" s="243">
        <v>0</v>
      </c>
      <c r="AE214" s="243">
        <f>Transports!$G$236+Transports!$G$237</f>
        <v>37.838993179475921</v>
      </c>
      <c r="AF214" s="243">
        <v>0</v>
      </c>
      <c r="AG214" s="243">
        <v>0</v>
      </c>
      <c r="AH214" s="243">
        <v>0</v>
      </c>
      <c r="AI214" s="243">
        <f>Transports!$I$77+Transports!$G$151</f>
        <v>200.60503184080565</v>
      </c>
      <c r="AJ214" s="243">
        <v>0</v>
      </c>
      <c r="AK214" s="243">
        <v>0</v>
      </c>
      <c r="AL214" s="254">
        <f t="shared" ref="AL214:AL221" si="55">SUM(W214:AK214)</f>
        <v>1010.5625285534891</v>
      </c>
    </row>
    <row r="215" spans="1:38" ht="14.4" customHeight="1">
      <c r="A215" s="506"/>
      <c r="B215" s="252" t="s">
        <v>43</v>
      </c>
      <c r="C215" s="243">
        <v>0</v>
      </c>
      <c r="D215" s="243">
        <v>0</v>
      </c>
      <c r="E215" s="243">
        <f>'Résidentiel-tertiaire'!$G$172</f>
        <v>87.377758318739055</v>
      </c>
      <c r="F215" s="243">
        <v>0</v>
      </c>
      <c r="G215" s="243">
        <v>0</v>
      </c>
      <c r="H215" s="243">
        <v>0</v>
      </c>
      <c r="I215" s="243">
        <f>'Résidentiel-tertiaire'!$G$173*$I$51/SUM($I$51:$N$51)</f>
        <v>0</v>
      </c>
      <c r="J215" s="243">
        <f>'Résidentiel-tertiaire'!$G$173*$J$51/SUM($I$51:$N$51)</f>
        <v>0</v>
      </c>
      <c r="K215" s="243">
        <f>'Résidentiel-tertiaire'!$G$173*$K$51/SUM($I$51:$N$51)</f>
        <v>0</v>
      </c>
      <c r="L215" s="243">
        <f>'Résidentiel-tertiaire'!$G$173*$L$51/SUM($I$51:$N$51)</f>
        <v>0</v>
      </c>
      <c r="M215" s="243">
        <f>'Résidentiel-tertiaire'!$G$173*$M$51/SUM($I$51:$N$51)</f>
        <v>0</v>
      </c>
      <c r="N215" s="243">
        <f>'Résidentiel-tertiaire'!$G$173*$N$51/SUM($I$51:$N$51)</f>
        <v>21.28432574430823</v>
      </c>
      <c r="O215" s="243">
        <f>'Résidentiel-tertiaire'!$G$174</f>
        <v>234.12758318739051</v>
      </c>
      <c r="P215" s="243">
        <v>0</v>
      </c>
      <c r="Q215" s="243">
        <v>0</v>
      </c>
      <c r="R215" s="254">
        <f t="shared" si="54"/>
        <v>342.78966725043779</v>
      </c>
      <c r="U215" s="506"/>
      <c r="V215" s="252" t="s">
        <v>43</v>
      </c>
      <c r="W215" s="243">
        <v>0</v>
      </c>
      <c r="X215" s="243">
        <v>0</v>
      </c>
      <c r="Y215" s="243">
        <f>'Résidentiel-tertiaire'!$G$187</f>
        <v>30.238</v>
      </c>
      <c r="Z215" s="243">
        <v>0</v>
      </c>
      <c r="AA215" s="243">
        <v>0</v>
      </c>
      <c r="AB215" s="243">
        <v>0</v>
      </c>
      <c r="AC215" s="243">
        <f>'Résidentiel-tertiaire'!$G$188*$V$14/SUM($V$14:$AA$14)</f>
        <v>0</v>
      </c>
      <c r="AD215" s="243">
        <f>'Résidentiel-tertiaire'!$G$188*$W$14/SUM($V$14:$AA$14)</f>
        <v>0</v>
      </c>
      <c r="AE215" s="243">
        <f>'Résidentiel-tertiaire'!$G$188*$X$14/SUM($V$14:$AA$14)</f>
        <v>0</v>
      </c>
      <c r="AF215" s="243">
        <f>'Résidentiel-tertiaire'!$G$188*$Y$14/SUM($V$14:$AA$14)</f>
        <v>0</v>
      </c>
      <c r="AG215" s="243">
        <f>'Résidentiel-tertiaire'!$G$188*$Z$14/SUM($V$14:$AA$14)</f>
        <v>0</v>
      </c>
      <c r="AH215" s="243">
        <f>'Résidentiel-tertiaire'!$G$188*$AA$14/SUM($V$14:$AA$14)</f>
        <v>38.623230000000007</v>
      </c>
      <c r="AI215" s="243">
        <f>'Résidentiel-tertiaire'!$G$189</f>
        <v>193.776734</v>
      </c>
      <c r="AJ215" s="243">
        <v>0</v>
      </c>
      <c r="AK215" s="243">
        <v>0</v>
      </c>
      <c r="AL215" s="254">
        <f t="shared" si="55"/>
        <v>262.63796400000001</v>
      </c>
    </row>
    <row r="216" spans="1:38" ht="14.4" customHeight="1">
      <c r="A216" s="506"/>
      <c r="B216" s="252" t="s">
        <v>44</v>
      </c>
      <c r="C216" s="243">
        <v>0</v>
      </c>
      <c r="D216" s="243">
        <v>0</v>
      </c>
      <c r="E216" s="243">
        <f>'Résidentiel-tertiaire'!$G$177</f>
        <v>38.087740805604199</v>
      </c>
      <c r="F216" s="243">
        <v>0</v>
      </c>
      <c r="G216" s="243">
        <v>0</v>
      </c>
      <c r="H216" s="243">
        <v>0</v>
      </c>
      <c r="I216" s="243">
        <v>0</v>
      </c>
      <c r="J216" s="243">
        <v>0</v>
      </c>
      <c r="K216" s="243">
        <v>0</v>
      </c>
      <c r="L216" s="243">
        <v>0</v>
      </c>
      <c r="M216" s="243">
        <v>0</v>
      </c>
      <c r="N216" s="243">
        <v>0</v>
      </c>
      <c r="O216" s="243">
        <f>'Résidentiel-tertiaire'!$G$180</f>
        <v>111.73380035026268</v>
      </c>
      <c r="P216" s="243">
        <v>0</v>
      </c>
      <c r="Q216" s="243">
        <v>0</v>
      </c>
      <c r="R216" s="254">
        <f t="shared" si="54"/>
        <v>149.8215411558669</v>
      </c>
      <c r="U216" s="506"/>
      <c r="V216" s="252" t="s">
        <v>44</v>
      </c>
      <c r="W216" s="243">
        <v>0</v>
      </c>
      <c r="X216" s="243">
        <v>0</v>
      </c>
      <c r="Y216" s="243">
        <f>'Résidentiel-tertiaire'!$G$192</f>
        <v>13.180666666666667</v>
      </c>
      <c r="Z216" s="243">
        <v>0</v>
      </c>
      <c r="AA216" s="243">
        <v>0</v>
      </c>
      <c r="AB216" s="243">
        <v>0</v>
      </c>
      <c r="AC216" s="243">
        <f>'Résidentiel-tertiaire'!$G$193*$V$15/SUM($V$15:$AA$15)</f>
        <v>0</v>
      </c>
      <c r="AD216" s="243">
        <f>'Résidentiel-tertiaire'!$G$193*$W$15/SUM($V$15:$AA$15)</f>
        <v>0</v>
      </c>
      <c r="AE216" s="243">
        <f>'Résidentiel-tertiaire'!$G$193*$X$15/SUM($V$15:$AA$15)</f>
        <v>0</v>
      </c>
      <c r="AF216" s="243">
        <f>'Résidentiel-tertiaire'!$G$193*$Y$15/SUM($V$15:$AA$15)</f>
        <v>0</v>
      </c>
      <c r="AG216" s="243">
        <f>'Résidentiel-tertiaire'!$G$193*$Z$15/SUM($V$15:$AA$15)</f>
        <v>0</v>
      </c>
      <c r="AH216" s="243">
        <f>'Résidentiel-tertiaire'!$G$193*$AA$15/SUM($V$15:$AA$15)</f>
        <v>0</v>
      </c>
      <c r="AI216" s="243">
        <f>'Résidentiel-tertiaire'!$G$194</f>
        <v>104.18421133333334</v>
      </c>
      <c r="AJ216" s="243">
        <v>0</v>
      </c>
      <c r="AK216" s="243">
        <v>0</v>
      </c>
      <c r="AL216" s="254">
        <f t="shared" si="55"/>
        <v>117.364878</v>
      </c>
    </row>
    <row r="217" spans="1:38" ht="14.4" customHeight="1">
      <c r="A217" s="506"/>
      <c r="B217" s="252" t="s">
        <v>4</v>
      </c>
      <c r="C217" s="243">
        <v>0</v>
      </c>
      <c r="D217" s="243">
        <v>0</v>
      </c>
      <c r="E217" s="243">
        <f>Agriculture!$S$27</f>
        <v>96.006915938344207</v>
      </c>
      <c r="F217" s="243">
        <v>0</v>
      </c>
      <c r="G217" s="243">
        <v>0</v>
      </c>
      <c r="H217" s="243">
        <v>0</v>
      </c>
      <c r="I217" s="243">
        <v>0</v>
      </c>
      <c r="J217" s="243">
        <v>0</v>
      </c>
      <c r="K217" s="243">
        <v>0</v>
      </c>
      <c r="L217" s="243">
        <v>0</v>
      </c>
      <c r="M217" s="243">
        <v>0</v>
      </c>
      <c r="N217" s="243">
        <v>0</v>
      </c>
      <c r="O217" s="243">
        <f>Agriculture!$S$28</f>
        <v>0</v>
      </c>
      <c r="P217" s="243">
        <v>0</v>
      </c>
      <c r="Q217" s="243">
        <v>0</v>
      </c>
      <c r="R217" s="254">
        <f t="shared" si="54"/>
        <v>96.006915938344207</v>
      </c>
      <c r="U217" s="506"/>
      <c r="V217" s="252" t="s">
        <v>4</v>
      </c>
      <c r="W217" s="243">
        <v>0</v>
      </c>
      <c r="X217" s="243">
        <v>0</v>
      </c>
      <c r="Y217" s="243">
        <f>Agriculture!$Y$43</f>
        <v>40.892580645161289</v>
      </c>
      <c r="Z217" s="243">
        <v>0</v>
      </c>
      <c r="AA217" s="243">
        <v>0</v>
      </c>
      <c r="AB217" s="243">
        <v>0</v>
      </c>
      <c r="AC217" s="243">
        <v>0</v>
      </c>
      <c r="AD217" s="243">
        <v>0</v>
      </c>
      <c r="AE217" s="243">
        <f>Agriculture!$Y$45</f>
        <v>118.24907545161291</v>
      </c>
      <c r="AF217" s="243">
        <v>0</v>
      </c>
      <c r="AG217" s="243">
        <v>0</v>
      </c>
      <c r="AH217" s="243">
        <v>0</v>
      </c>
      <c r="AI217" s="243">
        <f>Agriculture!$Y$44</f>
        <v>0</v>
      </c>
      <c r="AJ217" s="243">
        <v>0</v>
      </c>
      <c r="AK217" s="243">
        <v>0</v>
      </c>
      <c r="AL217" s="254">
        <f t="shared" si="55"/>
        <v>159.1416560967742</v>
      </c>
    </row>
    <row r="218" spans="1:38" ht="14.4" customHeight="1">
      <c r="A218" s="506"/>
      <c r="B218" s="252" t="s">
        <v>382</v>
      </c>
      <c r="C218" s="243">
        <v>0</v>
      </c>
      <c r="D218" s="243">
        <v>0</v>
      </c>
      <c r="E218" s="243">
        <v>0</v>
      </c>
      <c r="F218" s="243">
        <v>0</v>
      </c>
      <c r="G218" s="243">
        <v>0</v>
      </c>
      <c r="H218" s="243">
        <v>0</v>
      </c>
      <c r="I218" s="243">
        <v>0</v>
      </c>
      <c r="J218" s="243">
        <v>0</v>
      </c>
      <c r="K218" s="243">
        <v>0</v>
      </c>
      <c r="L218" s="243">
        <v>0</v>
      </c>
      <c r="M218" s="243">
        <v>0</v>
      </c>
      <c r="N218" s="243">
        <v>0</v>
      </c>
      <c r="O218" s="243">
        <v>0</v>
      </c>
      <c r="P218" s="243">
        <v>0</v>
      </c>
      <c r="Q218" s="243">
        <v>0</v>
      </c>
      <c r="R218" s="254">
        <f t="shared" si="54"/>
        <v>0</v>
      </c>
      <c r="U218" s="506"/>
      <c r="V218" s="252" t="s">
        <v>382</v>
      </c>
      <c r="W218" s="243">
        <v>0</v>
      </c>
      <c r="X218" s="243">
        <v>0</v>
      </c>
      <c r="Y218" s="243">
        <v>0</v>
      </c>
      <c r="Z218" s="243">
        <v>0</v>
      </c>
      <c r="AA218" s="243">
        <v>0</v>
      </c>
      <c r="AB218" s="243">
        <v>0</v>
      </c>
      <c r="AC218" s="243">
        <v>0</v>
      </c>
      <c r="AD218" s="243">
        <v>0</v>
      </c>
      <c r="AE218" s="243">
        <v>0</v>
      </c>
      <c r="AF218" s="243">
        <v>0</v>
      </c>
      <c r="AG218" s="243">
        <v>0</v>
      </c>
      <c r="AH218" s="243">
        <v>0</v>
      </c>
      <c r="AI218" s="243">
        <v>0</v>
      </c>
      <c r="AJ218" s="243">
        <v>0</v>
      </c>
      <c r="AK218" s="243">
        <v>0</v>
      </c>
      <c r="AL218" s="254">
        <f t="shared" si="55"/>
        <v>0</v>
      </c>
    </row>
    <row r="219" spans="1:38" ht="14.4" customHeight="1">
      <c r="A219" s="506"/>
      <c r="B219" s="247" t="s">
        <v>45</v>
      </c>
      <c r="C219" s="248">
        <f>SUM(C213:C218)</f>
        <v>0</v>
      </c>
      <c r="D219" s="248">
        <f t="shared" ref="D219:Q219" si="56">SUM(D213:D218)</f>
        <v>0</v>
      </c>
      <c r="E219" s="248">
        <f t="shared" si="56"/>
        <v>1934.0560106559738</v>
      </c>
      <c r="F219" s="248">
        <f t="shared" si="56"/>
        <v>0</v>
      </c>
      <c r="G219" s="248">
        <f t="shared" si="56"/>
        <v>0</v>
      </c>
      <c r="H219" s="248">
        <f t="shared" si="56"/>
        <v>0</v>
      </c>
      <c r="I219" s="248">
        <f t="shared" si="56"/>
        <v>0</v>
      </c>
      <c r="J219" s="248">
        <f t="shared" si="56"/>
        <v>0</v>
      </c>
      <c r="K219" s="248">
        <f t="shared" si="56"/>
        <v>0</v>
      </c>
      <c r="L219" s="248">
        <f t="shared" si="56"/>
        <v>0</v>
      </c>
      <c r="M219" s="248">
        <f t="shared" si="56"/>
        <v>0</v>
      </c>
      <c r="N219" s="248">
        <f t="shared" si="56"/>
        <v>21.28432574430823</v>
      </c>
      <c r="O219" s="248">
        <f t="shared" si="56"/>
        <v>718.77609147919134</v>
      </c>
      <c r="P219" s="248">
        <f t="shared" si="56"/>
        <v>0</v>
      </c>
      <c r="Q219" s="248">
        <f t="shared" si="56"/>
        <v>0</v>
      </c>
      <c r="R219" s="248">
        <f t="shared" si="54"/>
        <v>2674.1164278794731</v>
      </c>
      <c r="U219" s="506"/>
      <c r="V219" s="247" t="s">
        <v>45</v>
      </c>
      <c r="W219" s="248">
        <f>SUM(W213:W218)</f>
        <v>0</v>
      </c>
      <c r="X219" s="248">
        <f t="shared" ref="X219:AK219" si="57">SUM(X213:X218)</f>
        <v>0</v>
      </c>
      <c r="Y219" s="248">
        <f t="shared" si="57"/>
        <v>856.42975084503553</v>
      </c>
      <c r="Z219" s="248">
        <f t="shared" si="57"/>
        <v>0</v>
      </c>
      <c r="AA219" s="248">
        <f t="shared" si="57"/>
        <v>0</v>
      </c>
      <c r="AB219" s="248">
        <f t="shared" si="57"/>
        <v>0</v>
      </c>
      <c r="AC219" s="248">
        <f t="shared" si="57"/>
        <v>0</v>
      </c>
      <c r="AD219" s="248">
        <f t="shared" si="57"/>
        <v>0</v>
      </c>
      <c r="AE219" s="248">
        <f t="shared" si="57"/>
        <v>156.08806863108884</v>
      </c>
      <c r="AF219" s="248">
        <f t="shared" si="57"/>
        <v>0</v>
      </c>
      <c r="AG219" s="248">
        <f t="shared" si="57"/>
        <v>0</v>
      </c>
      <c r="AH219" s="248">
        <f t="shared" si="57"/>
        <v>38.623230000000007</v>
      </c>
      <c r="AI219" s="248">
        <f t="shared" si="57"/>
        <v>769.04814145816135</v>
      </c>
      <c r="AJ219" s="248">
        <f t="shared" si="57"/>
        <v>0</v>
      </c>
      <c r="AK219" s="248">
        <f t="shared" si="57"/>
        <v>0</v>
      </c>
      <c r="AL219" s="248">
        <f t="shared" si="55"/>
        <v>1820.1891909342858</v>
      </c>
    </row>
    <row r="220" spans="1:38" ht="14.4" customHeight="1">
      <c r="A220" s="506"/>
      <c r="B220" s="242" t="s">
        <v>46</v>
      </c>
      <c r="C220" s="243">
        <v>0</v>
      </c>
      <c r="D220" s="243">
        <v>0</v>
      </c>
      <c r="E220" s="243">
        <f>Industrie!$G$37</f>
        <v>0</v>
      </c>
      <c r="F220" s="243">
        <v>0</v>
      </c>
      <c r="G220" s="243">
        <v>0</v>
      </c>
      <c r="H220" s="243">
        <v>0</v>
      </c>
      <c r="I220" s="243">
        <v>0</v>
      </c>
      <c r="J220" s="243">
        <v>0</v>
      </c>
      <c r="K220" s="243">
        <v>0</v>
      </c>
      <c r="L220" s="243">
        <v>0</v>
      </c>
      <c r="M220" s="243">
        <v>0</v>
      </c>
      <c r="N220" s="243">
        <v>0</v>
      </c>
      <c r="O220" s="243">
        <v>0</v>
      </c>
      <c r="P220" s="243">
        <v>0</v>
      </c>
      <c r="Q220" s="243">
        <v>0</v>
      </c>
      <c r="R220" s="254">
        <f t="shared" si="54"/>
        <v>0</v>
      </c>
      <c r="U220" s="506"/>
      <c r="V220" s="242" t="s">
        <v>46</v>
      </c>
      <c r="W220" s="243">
        <v>0</v>
      </c>
      <c r="X220" s="243">
        <v>0</v>
      </c>
      <c r="Y220" s="243">
        <f>Industrie!$G$59</f>
        <v>0</v>
      </c>
      <c r="Z220" s="243">
        <v>0</v>
      </c>
      <c r="AA220" s="243">
        <v>0</v>
      </c>
      <c r="AB220" s="243">
        <v>0</v>
      </c>
      <c r="AC220" s="243">
        <v>0</v>
      </c>
      <c r="AD220" s="243">
        <v>0</v>
      </c>
      <c r="AE220" s="243">
        <v>0</v>
      </c>
      <c r="AF220" s="243">
        <v>0</v>
      </c>
      <c r="AG220" s="243">
        <v>0</v>
      </c>
      <c r="AH220" s="243">
        <v>0</v>
      </c>
      <c r="AI220" s="243">
        <v>0</v>
      </c>
      <c r="AJ220" s="243">
        <v>0</v>
      </c>
      <c r="AK220" s="243">
        <v>0</v>
      </c>
      <c r="AL220" s="254">
        <f t="shared" si="55"/>
        <v>0</v>
      </c>
    </row>
    <row r="221" spans="1:38" ht="14.4" customHeight="1">
      <c r="A221" s="506"/>
      <c r="B221" s="247" t="s">
        <v>47</v>
      </c>
      <c r="C221" s="248">
        <f>C220+C219</f>
        <v>0</v>
      </c>
      <c r="D221" s="248">
        <f t="shared" ref="D221:Q221" si="58">D220+D219</f>
        <v>0</v>
      </c>
      <c r="E221" s="248">
        <f t="shared" si="58"/>
        <v>1934.0560106559738</v>
      </c>
      <c r="F221" s="248">
        <f t="shared" si="58"/>
        <v>0</v>
      </c>
      <c r="G221" s="248">
        <f t="shared" si="58"/>
        <v>0</v>
      </c>
      <c r="H221" s="248">
        <f t="shared" si="58"/>
        <v>0</v>
      </c>
      <c r="I221" s="248">
        <f t="shared" si="58"/>
        <v>0</v>
      </c>
      <c r="J221" s="248">
        <f t="shared" si="58"/>
        <v>0</v>
      </c>
      <c r="K221" s="248">
        <f t="shared" si="58"/>
        <v>0</v>
      </c>
      <c r="L221" s="248">
        <f t="shared" si="58"/>
        <v>0</v>
      </c>
      <c r="M221" s="248">
        <f t="shared" si="58"/>
        <v>0</v>
      </c>
      <c r="N221" s="248">
        <f t="shared" si="58"/>
        <v>21.28432574430823</v>
      </c>
      <c r="O221" s="248">
        <f t="shared" si="58"/>
        <v>718.77609147919134</v>
      </c>
      <c r="P221" s="248">
        <f t="shared" si="58"/>
        <v>0</v>
      </c>
      <c r="Q221" s="248">
        <f t="shared" si="58"/>
        <v>0</v>
      </c>
      <c r="R221" s="248">
        <f t="shared" si="54"/>
        <v>2674.1164278794731</v>
      </c>
      <c r="U221" s="506"/>
      <c r="V221" s="247" t="s">
        <v>47</v>
      </c>
      <c r="W221" s="248">
        <f>W220+W219</f>
        <v>0</v>
      </c>
      <c r="X221" s="248">
        <f t="shared" ref="X221:AK221" si="59">X220+X219</f>
        <v>0</v>
      </c>
      <c r="Y221" s="248">
        <f t="shared" si="59"/>
        <v>856.42975084503553</v>
      </c>
      <c r="Z221" s="248">
        <f t="shared" si="59"/>
        <v>0</v>
      </c>
      <c r="AA221" s="248">
        <f t="shared" si="59"/>
        <v>0</v>
      </c>
      <c r="AB221" s="248">
        <f t="shared" si="59"/>
        <v>0</v>
      </c>
      <c r="AC221" s="248">
        <f t="shared" si="59"/>
        <v>0</v>
      </c>
      <c r="AD221" s="248">
        <f t="shared" si="59"/>
        <v>0</v>
      </c>
      <c r="AE221" s="248">
        <f t="shared" si="59"/>
        <v>156.08806863108884</v>
      </c>
      <c r="AF221" s="248">
        <f t="shared" si="59"/>
        <v>0</v>
      </c>
      <c r="AG221" s="248">
        <f t="shared" si="59"/>
        <v>0</v>
      </c>
      <c r="AH221" s="248">
        <f t="shared" si="59"/>
        <v>38.623230000000007</v>
      </c>
      <c r="AI221" s="248">
        <f t="shared" si="59"/>
        <v>769.04814145816135</v>
      </c>
      <c r="AJ221" s="248">
        <f t="shared" si="59"/>
        <v>0</v>
      </c>
      <c r="AK221" s="248">
        <f t="shared" si="59"/>
        <v>0</v>
      </c>
      <c r="AL221" s="248">
        <f t="shared" si="55"/>
        <v>1820.1891909342858</v>
      </c>
    </row>
    <row r="230" spans="1:38" ht="14.4" customHeight="1">
      <c r="A230" s="506">
        <v>2045</v>
      </c>
      <c r="B230" s="507" t="s">
        <v>12</v>
      </c>
      <c r="C230" s="508" t="s">
        <v>14</v>
      </c>
      <c r="D230" s="508" t="s">
        <v>15</v>
      </c>
      <c r="E230" s="508" t="s">
        <v>16</v>
      </c>
      <c r="F230" s="508" t="s">
        <v>17</v>
      </c>
      <c r="G230" s="508" t="s">
        <v>367</v>
      </c>
      <c r="H230" s="508" t="s">
        <v>18</v>
      </c>
      <c r="I230" s="508" t="s">
        <v>19</v>
      </c>
      <c r="J230" s="508"/>
      <c r="K230" s="508"/>
      <c r="L230" s="508"/>
      <c r="M230" s="508"/>
      <c r="N230" s="508"/>
      <c r="O230" s="509" t="s">
        <v>368</v>
      </c>
      <c r="P230" s="509" t="s">
        <v>21</v>
      </c>
      <c r="Q230" s="509" t="s">
        <v>369</v>
      </c>
      <c r="R230" s="509" t="s">
        <v>23</v>
      </c>
      <c r="U230" s="506">
        <v>2045</v>
      </c>
      <c r="V230" s="515" t="s">
        <v>12</v>
      </c>
      <c r="W230" s="509" t="s">
        <v>14</v>
      </c>
      <c r="X230" s="509" t="s">
        <v>15</v>
      </c>
      <c r="Y230" s="509" t="s">
        <v>16</v>
      </c>
      <c r="Z230" s="509" t="s">
        <v>17</v>
      </c>
      <c r="AA230" s="509" t="s">
        <v>367</v>
      </c>
      <c r="AB230" s="509" t="s">
        <v>18</v>
      </c>
      <c r="AC230" s="512" t="s">
        <v>19</v>
      </c>
      <c r="AD230" s="513"/>
      <c r="AE230" s="513"/>
      <c r="AF230" s="513"/>
      <c r="AG230" s="513"/>
      <c r="AH230" s="514"/>
      <c r="AI230" s="509" t="s">
        <v>368</v>
      </c>
      <c r="AJ230" s="509" t="s">
        <v>21</v>
      </c>
      <c r="AK230" s="509" t="s">
        <v>369</v>
      </c>
      <c r="AL230" s="509" t="s">
        <v>23</v>
      </c>
    </row>
    <row r="231" spans="1:38" ht="45.6">
      <c r="A231" s="506"/>
      <c r="B231" s="507"/>
      <c r="C231" s="508"/>
      <c r="D231" s="508"/>
      <c r="E231" s="508"/>
      <c r="F231" s="508"/>
      <c r="G231" s="508"/>
      <c r="H231" s="508"/>
      <c r="I231" s="240" t="s">
        <v>356</v>
      </c>
      <c r="J231" s="240" t="s">
        <v>7</v>
      </c>
      <c r="K231" s="240" t="s">
        <v>357</v>
      </c>
      <c r="L231" s="240" t="s">
        <v>370</v>
      </c>
      <c r="M231" s="241" t="s">
        <v>371</v>
      </c>
      <c r="N231" s="240" t="s">
        <v>372</v>
      </c>
      <c r="O231" s="509"/>
      <c r="P231" s="509"/>
      <c r="Q231" s="509"/>
      <c r="R231" s="509"/>
      <c r="U231" s="506"/>
      <c r="V231" s="516"/>
      <c r="W231" s="511"/>
      <c r="X231" s="511"/>
      <c r="Y231" s="511"/>
      <c r="Z231" s="511"/>
      <c r="AA231" s="511"/>
      <c r="AB231" s="511"/>
      <c r="AC231" s="240" t="s">
        <v>356</v>
      </c>
      <c r="AD231" s="240" t="s">
        <v>7</v>
      </c>
      <c r="AE231" s="240" t="s">
        <v>357</v>
      </c>
      <c r="AF231" s="240" t="s">
        <v>370</v>
      </c>
      <c r="AG231" s="241" t="s">
        <v>371</v>
      </c>
      <c r="AH231" s="240" t="s">
        <v>372</v>
      </c>
      <c r="AI231" s="511"/>
      <c r="AJ231" s="511"/>
      <c r="AK231" s="511"/>
      <c r="AL231" s="509"/>
    </row>
    <row r="232" spans="1:38" ht="14.4" customHeight="1">
      <c r="A232" s="506"/>
      <c r="B232" s="242" t="s">
        <v>24</v>
      </c>
      <c r="C232" s="243">
        <v>0</v>
      </c>
      <c r="D232" s="244">
        <v>0</v>
      </c>
      <c r="E232" s="244">
        <v>0</v>
      </c>
      <c r="F232" s="243">
        <v>0</v>
      </c>
      <c r="G232" s="244">
        <v>0</v>
      </c>
      <c r="H232" s="244">
        <f>H238</f>
        <v>290.68251260940667</v>
      </c>
      <c r="I232" s="244">
        <f>$I$27</f>
        <v>0</v>
      </c>
      <c r="J232" s="244">
        <f>J238</f>
        <v>0</v>
      </c>
      <c r="K232" s="244">
        <v>0</v>
      </c>
      <c r="L232" s="244">
        <f>L238</f>
        <v>0</v>
      </c>
      <c r="M232" s="244">
        <v>0</v>
      </c>
      <c r="N232" s="244">
        <f>N238</f>
        <v>21.090831873905429</v>
      </c>
      <c r="O232" s="245">
        <v>0</v>
      </c>
      <c r="P232" s="244">
        <v>0</v>
      </c>
      <c r="Q232" s="244">
        <v>0</v>
      </c>
      <c r="R232" s="246">
        <f>SUM(C232:Q232)</f>
        <v>311.77334448331209</v>
      </c>
      <c r="U232" s="506"/>
      <c r="V232" s="242" t="s">
        <v>24</v>
      </c>
      <c r="W232" s="243">
        <v>0</v>
      </c>
      <c r="X232" s="244">
        <v>0</v>
      </c>
      <c r="Y232" s="244">
        <v>0</v>
      </c>
      <c r="Z232" s="243">
        <v>0</v>
      </c>
      <c r="AA232" s="244">
        <v>0</v>
      </c>
      <c r="AB232" s="244">
        <f>AB238</f>
        <v>283.98933136436222</v>
      </c>
      <c r="AC232" s="244">
        <f>IF((AC238-$AC$27)&gt;0,$AC$27+(AC238-$AC$27)*0.5,AC238)</f>
        <v>93.27175384964336</v>
      </c>
      <c r="AD232" s="244">
        <f>AD238</f>
        <v>0</v>
      </c>
      <c r="AE232" s="244">
        <f>IF((AE238-$AE$27)&gt;0,$AE$27+(AE238-AE235-AE236-$AE$27)*0.5,AE238-AE235-AE$72)</f>
        <v>236.49905575449407</v>
      </c>
      <c r="AF232" s="244">
        <f>AF238</f>
        <v>0</v>
      </c>
      <c r="AG232" s="244">
        <v>0</v>
      </c>
      <c r="AH232" s="244">
        <f>AH238</f>
        <v>37.628865000000005</v>
      </c>
      <c r="AI232" s="245">
        <v>0</v>
      </c>
      <c r="AJ232" s="244">
        <v>0</v>
      </c>
      <c r="AK232" s="244">
        <v>0</v>
      </c>
      <c r="AL232" s="246">
        <f>SUM(W232:AK232)</f>
        <v>651.38900596849965</v>
      </c>
    </row>
    <row r="233" spans="1:38" ht="14.4" customHeight="1">
      <c r="A233" s="506"/>
      <c r="B233" s="242" t="s">
        <v>28</v>
      </c>
      <c r="C233" s="243">
        <f>C238</f>
        <v>0</v>
      </c>
      <c r="D233" s="244">
        <f>D238</f>
        <v>0</v>
      </c>
      <c r="E233" s="244">
        <f>E238-E235-E236</f>
        <v>3847.523731968975</v>
      </c>
      <c r="F233" s="243">
        <v>0</v>
      </c>
      <c r="G233" s="244">
        <v>0</v>
      </c>
      <c r="H233" s="244">
        <v>0</v>
      </c>
      <c r="I233" s="244">
        <f>I238-$I$27</f>
        <v>0</v>
      </c>
      <c r="J233" s="244">
        <v>0</v>
      </c>
      <c r="K233" s="244">
        <f>K238</f>
        <v>0</v>
      </c>
      <c r="L233" s="244">
        <v>0</v>
      </c>
      <c r="M233" s="244">
        <v>0</v>
      </c>
      <c r="N233" s="244">
        <v>0</v>
      </c>
      <c r="O233" s="245">
        <v>0</v>
      </c>
      <c r="P233" s="244">
        <v>0</v>
      </c>
      <c r="Q233" s="244">
        <v>0</v>
      </c>
      <c r="R233" s="246">
        <f t="shared" ref="R233:R238" si="60">SUM(C233:Q233)</f>
        <v>3847.523731968975</v>
      </c>
      <c r="U233" s="506"/>
      <c r="V233" s="242" t="s">
        <v>28</v>
      </c>
      <c r="W233" s="243">
        <f>W238</f>
        <v>0</v>
      </c>
      <c r="X233" s="244">
        <f>X238</f>
        <v>0</v>
      </c>
      <c r="Y233" s="244">
        <f>Y238-Y235-Y236</f>
        <v>2014.3837545608656</v>
      </c>
      <c r="Z233" s="243">
        <v>0</v>
      </c>
      <c r="AA233" s="244">
        <v>0</v>
      </c>
      <c r="AB233" s="244">
        <v>0</v>
      </c>
      <c r="AC233" s="244">
        <f>IF((AC238-$AC$27)&gt;0,(AC238-$AC$27)*0.5,0)</f>
        <v>93.27175384964336</v>
      </c>
      <c r="AD233" s="244">
        <v>0</v>
      </c>
      <c r="AE233" s="244">
        <f>IF((AE238-AE235-AE236-$AE$27)&gt;0,(AE238-AE235-AE236-$AE$27)*0.5,0)</f>
        <v>236.49905575449407</v>
      </c>
      <c r="AF233" s="244">
        <v>0</v>
      </c>
      <c r="AG233" s="244">
        <v>0</v>
      </c>
      <c r="AH233" s="244">
        <v>0</v>
      </c>
      <c r="AI233" s="245">
        <v>0</v>
      </c>
      <c r="AJ233" s="244">
        <v>0</v>
      </c>
      <c r="AK233" s="244">
        <v>0</v>
      </c>
      <c r="AL233" s="246">
        <f t="shared" ref="AL233:AL238" si="61">SUM(W233:AK233)</f>
        <v>2344.1545641650027</v>
      </c>
    </row>
    <row r="234" spans="1:38" ht="14.4" customHeight="1">
      <c r="A234" s="506"/>
      <c r="B234" s="242" t="s">
        <v>29</v>
      </c>
      <c r="C234" s="243">
        <v>0</v>
      </c>
      <c r="D234" s="244">
        <v>0</v>
      </c>
      <c r="E234" s="244">
        <v>0</v>
      </c>
      <c r="F234" s="243">
        <v>0</v>
      </c>
      <c r="G234" s="244">
        <v>0</v>
      </c>
      <c r="H234" s="244">
        <v>0</v>
      </c>
      <c r="I234" s="244">
        <v>0</v>
      </c>
      <c r="J234" s="244">
        <v>0</v>
      </c>
      <c r="K234" s="244">
        <v>0</v>
      </c>
      <c r="L234" s="244">
        <v>0</v>
      </c>
      <c r="M234" s="244">
        <v>0</v>
      </c>
      <c r="N234" s="244">
        <v>0</v>
      </c>
      <c r="O234" s="245">
        <v>0</v>
      </c>
      <c r="P234" s="244">
        <v>0</v>
      </c>
      <c r="Q234" s="244">
        <v>0</v>
      </c>
      <c r="R234" s="246">
        <f t="shared" si="60"/>
        <v>0</v>
      </c>
      <c r="U234" s="506"/>
      <c r="V234" s="242" t="s">
        <v>29</v>
      </c>
      <c r="W234" s="243">
        <v>0</v>
      </c>
      <c r="X234" s="244">
        <v>0</v>
      </c>
      <c r="Y234" s="244">
        <v>0</v>
      </c>
      <c r="Z234" s="243">
        <v>0</v>
      </c>
      <c r="AA234" s="244">
        <v>0</v>
      </c>
      <c r="AB234" s="244">
        <v>0</v>
      </c>
      <c r="AC234" s="244">
        <v>0</v>
      </c>
      <c r="AD234" s="244">
        <v>0</v>
      </c>
      <c r="AE234" s="244">
        <v>0</v>
      </c>
      <c r="AF234" s="244">
        <v>0</v>
      </c>
      <c r="AG234" s="244">
        <v>0</v>
      </c>
      <c r="AH234" s="244">
        <v>0</v>
      </c>
      <c r="AI234" s="245">
        <v>0</v>
      </c>
      <c r="AJ234" s="244">
        <v>0</v>
      </c>
      <c r="AK234" s="244">
        <v>0</v>
      </c>
      <c r="AL234" s="246">
        <f t="shared" si="61"/>
        <v>0</v>
      </c>
    </row>
    <row r="235" spans="1:38" ht="14.4" customHeight="1">
      <c r="A235" s="506"/>
      <c r="B235" s="242" t="s">
        <v>30</v>
      </c>
      <c r="C235" s="243">
        <v>0</v>
      </c>
      <c r="D235" s="244">
        <v>0</v>
      </c>
      <c r="E235" s="244">
        <f>-Transports!$H$125</f>
        <v>-367.54820934574678</v>
      </c>
      <c r="F235" s="243">
        <v>0</v>
      </c>
      <c r="G235" s="244">
        <v>0</v>
      </c>
      <c r="H235" s="244">
        <v>0</v>
      </c>
      <c r="I235" s="244">
        <v>0</v>
      </c>
      <c r="J235" s="244">
        <v>0</v>
      </c>
      <c r="K235" s="244">
        <v>0</v>
      </c>
      <c r="L235" s="244">
        <v>0</v>
      </c>
      <c r="M235" s="244">
        <v>0</v>
      </c>
      <c r="N235" s="244">
        <v>0</v>
      </c>
      <c r="O235" s="245">
        <v>0</v>
      </c>
      <c r="P235" s="244">
        <v>0</v>
      </c>
      <c r="Q235" s="244">
        <v>0</v>
      </c>
      <c r="R235" s="246">
        <f t="shared" si="60"/>
        <v>-367.54820934574678</v>
      </c>
      <c r="U235" s="506"/>
      <c r="V235" s="242" t="s">
        <v>30</v>
      </c>
      <c r="W235" s="243">
        <v>0</v>
      </c>
      <c r="X235" s="244">
        <v>0</v>
      </c>
      <c r="Y235" s="244">
        <f>-Transports!$H$172-Transports!$H$171</f>
        <v>-181.13012961705363</v>
      </c>
      <c r="Z235" s="243">
        <v>0</v>
      </c>
      <c r="AA235" s="244">
        <v>0</v>
      </c>
      <c r="AB235" s="244">
        <v>0</v>
      </c>
      <c r="AC235" s="244">
        <v>0</v>
      </c>
      <c r="AD235" s="244">
        <v>0</v>
      </c>
      <c r="AE235" s="244">
        <f>-Transports!$H$170</f>
        <v>-109.1425140000195</v>
      </c>
      <c r="AF235" s="244">
        <v>0</v>
      </c>
      <c r="AG235" s="244">
        <v>0</v>
      </c>
      <c r="AH235" s="244">
        <v>0</v>
      </c>
      <c r="AI235" s="245">
        <v>0</v>
      </c>
      <c r="AJ235" s="244">
        <v>0</v>
      </c>
      <c r="AK235" s="244">
        <v>0</v>
      </c>
      <c r="AL235" s="246">
        <f t="shared" si="61"/>
        <v>-290.27264361707313</v>
      </c>
    </row>
    <row r="236" spans="1:38" ht="14.4" customHeight="1">
      <c r="A236" s="506"/>
      <c r="B236" s="242" t="s">
        <v>31</v>
      </c>
      <c r="C236" s="243">
        <v>0</v>
      </c>
      <c r="D236" s="244">
        <v>0</v>
      </c>
      <c r="E236" s="244">
        <f>-Transports!$H$202</f>
        <v>-454.1846952121266</v>
      </c>
      <c r="F236" s="243">
        <v>0</v>
      </c>
      <c r="G236" s="244">
        <v>0</v>
      </c>
      <c r="H236" s="244">
        <v>0</v>
      </c>
      <c r="I236" s="244">
        <v>0</v>
      </c>
      <c r="J236" s="244">
        <v>0</v>
      </c>
      <c r="K236" s="244">
        <v>0</v>
      </c>
      <c r="L236" s="244">
        <v>0</v>
      </c>
      <c r="M236" s="244">
        <v>0</v>
      </c>
      <c r="N236" s="244">
        <v>0</v>
      </c>
      <c r="O236" s="245">
        <v>0</v>
      </c>
      <c r="P236" s="244">
        <v>0</v>
      </c>
      <c r="Q236" s="244">
        <v>0</v>
      </c>
      <c r="R236" s="246">
        <f t="shared" si="60"/>
        <v>-454.1846952121266</v>
      </c>
      <c r="U236" s="506"/>
      <c r="V236" s="242" t="s">
        <v>31</v>
      </c>
      <c r="W236" s="243">
        <v>0</v>
      </c>
      <c r="X236" s="244">
        <v>0</v>
      </c>
      <c r="Y236" s="244">
        <f>-Transports!$H$234</f>
        <v>-241.25229916499643</v>
      </c>
      <c r="Z236" s="243">
        <v>0</v>
      </c>
      <c r="AA236" s="244">
        <v>0</v>
      </c>
      <c r="AB236" s="244">
        <v>0</v>
      </c>
      <c r="AC236" s="244">
        <v>0</v>
      </c>
      <c r="AD236" s="244">
        <v>0</v>
      </c>
      <c r="AE236" s="244">
        <f>-Transports!$H$233-Transports!$H$232</f>
        <v>-153.43208460485459</v>
      </c>
      <c r="AF236" s="244">
        <v>0</v>
      </c>
      <c r="AG236" s="244">
        <v>0</v>
      </c>
      <c r="AH236" s="244">
        <v>0</v>
      </c>
      <c r="AI236" s="245">
        <v>0</v>
      </c>
      <c r="AJ236" s="244">
        <v>0</v>
      </c>
      <c r="AK236" s="244">
        <v>0</v>
      </c>
      <c r="AL236" s="246">
        <f t="shared" si="61"/>
        <v>-394.68438376985102</v>
      </c>
    </row>
    <row r="237" spans="1:38" ht="14.4" customHeight="1">
      <c r="A237" s="506"/>
      <c r="B237" s="242" t="s">
        <v>32</v>
      </c>
      <c r="C237" s="243">
        <v>0</v>
      </c>
      <c r="D237" s="244">
        <v>0</v>
      </c>
      <c r="E237" s="244">
        <v>0</v>
      </c>
      <c r="F237" s="243">
        <v>0</v>
      </c>
      <c r="G237" s="244">
        <v>0</v>
      </c>
      <c r="H237" s="244">
        <v>0</v>
      </c>
      <c r="I237" s="244">
        <v>0</v>
      </c>
      <c r="J237" s="244">
        <v>0</v>
      </c>
      <c r="K237" s="244">
        <v>0</v>
      </c>
      <c r="L237" s="244">
        <v>0</v>
      </c>
      <c r="M237" s="244">
        <v>0</v>
      </c>
      <c r="N237" s="244">
        <v>0</v>
      </c>
      <c r="O237" s="245">
        <v>0</v>
      </c>
      <c r="P237" s="244">
        <v>0</v>
      </c>
      <c r="Q237" s="244">
        <v>0</v>
      </c>
      <c r="R237" s="246">
        <f t="shared" si="60"/>
        <v>0</v>
      </c>
      <c r="U237" s="506"/>
      <c r="V237" s="242" t="s">
        <v>32</v>
      </c>
      <c r="W237" s="243">
        <v>0</v>
      </c>
      <c r="X237" s="244">
        <v>0</v>
      </c>
      <c r="Y237" s="244">
        <v>0</v>
      </c>
      <c r="Z237" s="243">
        <v>0</v>
      </c>
      <c r="AA237" s="244">
        <v>0</v>
      </c>
      <c r="AB237" s="244">
        <v>0</v>
      </c>
      <c r="AC237" s="244">
        <v>0</v>
      </c>
      <c r="AD237" s="244">
        <v>0</v>
      </c>
      <c r="AE237" s="244">
        <v>0</v>
      </c>
      <c r="AF237" s="244">
        <v>0</v>
      </c>
      <c r="AG237" s="244">
        <v>0</v>
      </c>
      <c r="AH237" s="244">
        <v>0</v>
      </c>
      <c r="AI237" s="245">
        <v>0</v>
      </c>
      <c r="AJ237" s="244">
        <v>0</v>
      </c>
      <c r="AK237" s="244">
        <v>0</v>
      </c>
      <c r="AL237" s="246">
        <f t="shared" si="61"/>
        <v>0</v>
      </c>
    </row>
    <row r="238" spans="1:38" ht="14.4" customHeight="1">
      <c r="A238" s="506"/>
      <c r="B238" s="247" t="s">
        <v>373</v>
      </c>
      <c r="C238" s="248">
        <f>C262+C260</f>
        <v>0</v>
      </c>
      <c r="D238" s="248">
        <f>D252+D262</f>
        <v>0</v>
      </c>
      <c r="E238" s="248">
        <f>E252+E262</f>
        <v>3025.7908274111019</v>
      </c>
      <c r="F238" s="248">
        <f>SUM(F232:F237)</f>
        <v>0</v>
      </c>
      <c r="G238" s="248">
        <f>SUM(G232:G237)</f>
        <v>0</v>
      </c>
      <c r="H238" s="248">
        <f>H252</f>
        <v>290.68251260940667</v>
      </c>
      <c r="I238" s="248">
        <f>I252+I260</f>
        <v>0</v>
      </c>
      <c r="J238" s="248">
        <f>J252+J262</f>
        <v>0</v>
      </c>
      <c r="K238" s="248">
        <f>K252+K262</f>
        <v>0</v>
      </c>
      <c r="L238" s="248">
        <f>L252+L262</f>
        <v>0</v>
      </c>
      <c r="M238" s="248">
        <f>SUM(M232:M237)</f>
        <v>0</v>
      </c>
      <c r="N238" s="248">
        <f>N252+N262</f>
        <v>21.090831873905429</v>
      </c>
      <c r="O238" s="248">
        <f>SUM(O232:O237)</f>
        <v>0</v>
      </c>
      <c r="P238" s="248">
        <f>SUM(P232:P237)</f>
        <v>0</v>
      </c>
      <c r="Q238" s="248">
        <f>SUM(Q232:Q237)</f>
        <v>0</v>
      </c>
      <c r="R238" s="248">
        <f t="shared" si="60"/>
        <v>3337.5641718944139</v>
      </c>
      <c r="U238" s="506"/>
      <c r="V238" s="247" t="s">
        <v>373</v>
      </c>
      <c r="W238" s="248">
        <f>W262+W260</f>
        <v>0</v>
      </c>
      <c r="X238" s="248">
        <f>X252+X262</f>
        <v>0</v>
      </c>
      <c r="Y238" s="248">
        <f>Y252+Y262</f>
        <v>1592.0013257788155</v>
      </c>
      <c r="Z238" s="248">
        <f>SUM(Z232:Z237)</f>
        <v>0</v>
      </c>
      <c r="AA238" s="248">
        <f>SUM(AA232:AA237)</f>
        <v>0</v>
      </c>
      <c r="AB238" s="248">
        <f>AB252</f>
        <v>283.98933136436222</v>
      </c>
      <c r="AC238" s="248">
        <f>AC252+AC260</f>
        <v>186.54350769928672</v>
      </c>
      <c r="AD238" s="248">
        <f>AD252+AD262</f>
        <v>0</v>
      </c>
      <c r="AE238" s="248">
        <f>AE252+AE262</f>
        <v>210.42351290411401</v>
      </c>
      <c r="AF238" s="248">
        <f>AF252+AF262</f>
        <v>0</v>
      </c>
      <c r="AG238" s="248">
        <f>SUM(AG232:AG237)</f>
        <v>0</v>
      </c>
      <c r="AH238" s="248">
        <f>AH252+AH262</f>
        <v>37.628865000000005</v>
      </c>
      <c r="AI238" s="248">
        <f>SUM(AI232:AI237)</f>
        <v>0</v>
      </c>
      <c r="AJ238" s="248">
        <f>SUM(AJ232:AJ237)</f>
        <v>0</v>
      </c>
      <c r="AK238" s="248">
        <f>SUM(AK232:AK237)</f>
        <v>0</v>
      </c>
      <c r="AL238" s="248">
        <f t="shared" si="61"/>
        <v>2310.5865427465787</v>
      </c>
    </row>
    <row r="239" spans="1:38" ht="14.4" customHeight="1">
      <c r="A239" s="506"/>
      <c r="B239" s="249"/>
      <c r="C239" s="250"/>
      <c r="D239" s="219"/>
      <c r="E239" s="251"/>
      <c r="F239" s="250"/>
      <c r="G239" s="250"/>
      <c r="H239" s="250"/>
      <c r="I239" s="250"/>
      <c r="J239" s="250"/>
      <c r="K239" s="250"/>
      <c r="L239" s="250"/>
      <c r="M239" s="250"/>
      <c r="N239" s="250"/>
      <c r="O239" s="259"/>
      <c r="P239" s="250"/>
      <c r="Q239" s="250"/>
      <c r="R239" s="250"/>
      <c r="U239" s="506"/>
      <c r="V239" s="249"/>
      <c r="W239" s="250"/>
      <c r="X239" s="219"/>
      <c r="Y239" s="251"/>
      <c r="Z239" s="250"/>
      <c r="AA239" s="250"/>
      <c r="AB239" s="250"/>
      <c r="AC239" s="250"/>
      <c r="AD239" s="250"/>
      <c r="AE239" s="250"/>
      <c r="AF239" s="250"/>
      <c r="AG239" s="250"/>
      <c r="AH239" s="250"/>
      <c r="AI239" s="259"/>
      <c r="AJ239" s="250"/>
      <c r="AK239" s="250"/>
      <c r="AL239" s="250"/>
    </row>
    <row r="240" spans="1:38" ht="14.4" customHeight="1">
      <c r="A240" s="506"/>
      <c r="B240" s="252" t="s">
        <v>374</v>
      </c>
      <c r="C240" s="243">
        <v>0</v>
      </c>
      <c r="D240" s="253">
        <v>0</v>
      </c>
      <c r="E240" s="253">
        <v>0</v>
      </c>
      <c r="F240" s="243">
        <v>0</v>
      </c>
      <c r="G240" s="243">
        <v>0</v>
      </c>
      <c r="H240" s="243">
        <v>0</v>
      </c>
      <c r="I240" s="243">
        <v>0</v>
      </c>
      <c r="J240" s="243">
        <v>0</v>
      </c>
      <c r="K240" s="243">
        <v>0</v>
      </c>
      <c r="L240" s="243">
        <v>0</v>
      </c>
      <c r="M240" s="243">
        <v>0</v>
      </c>
      <c r="N240" s="243">
        <v>0</v>
      </c>
      <c r="O240" s="243">
        <v>0</v>
      </c>
      <c r="P240" s="243">
        <v>0</v>
      </c>
      <c r="Q240" s="243">
        <v>0</v>
      </c>
      <c r="R240" s="254">
        <f>SUM(C240:Q240)</f>
        <v>0</v>
      </c>
      <c r="U240" s="506"/>
      <c r="V240" s="252" t="s">
        <v>374</v>
      </c>
      <c r="W240" s="243">
        <v>0</v>
      </c>
      <c r="X240" s="253">
        <v>0</v>
      </c>
      <c r="Y240" s="253">
        <v>0</v>
      </c>
      <c r="Z240" s="243">
        <v>0</v>
      </c>
      <c r="AA240" s="243">
        <v>0</v>
      </c>
      <c r="AB240" s="243">
        <v>0</v>
      </c>
      <c r="AC240" s="243">
        <v>0</v>
      </c>
      <c r="AD240" s="243">
        <v>0</v>
      </c>
      <c r="AE240" s="243">
        <v>0</v>
      </c>
      <c r="AF240" s="243">
        <v>0</v>
      </c>
      <c r="AG240" s="243">
        <v>0</v>
      </c>
      <c r="AH240" s="243">
        <v>0</v>
      </c>
      <c r="AI240" s="243">
        <v>0</v>
      </c>
      <c r="AJ240" s="243">
        <v>0</v>
      </c>
      <c r="AK240" s="243">
        <v>0</v>
      </c>
      <c r="AL240" s="254">
        <f>SUM(W240:AK240)</f>
        <v>0</v>
      </c>
    </row>
    <row r="241" spans="1:38" ht="14.4" customHeight="1">
      <c r="A241" s="506"/>
      <c r="B241" s="252" t="s">
        <v>375</v>
      </c>
      <c r="C241" s="243">
        <f>$O$241*'Prod Energie'!$H$32/(-$J$13)</f>
        <v>0</v>
      </c>
      <c r="D241" s="243">
        <v>0</v>
      </c>
      <c r="E241" s="243">
        <f>O241*'Prod Energie'!$H$33/(-$K$13)</f>
        <v>1090.5553137427491</v>
      </c>
      <c r="F241" s="243">
        <v>0</v>
      </c>
      <c r="G241" s="243">
        <v>0</v>
      </c>
      <c r="H241" s="243">
        <f>(O241)*('Prod Energie'!$H$34+'Prod Energie'!$H$39+'Prod Energie'!$H$40)/(-$L$13)</f>
        <v>290.68251260940667</v>
      </c>
      <c r="I241" s="255">
        <f>(O241)*('Prod Energie'!$H$38)/(-$M$13)</f>
        <v>0</v>
      </c>
      <c r="J241" s="255">
        <f>(O241)*('Prod Energie'!$H$36)/(-$N$13)</f>
        <v>0</v>
      </c>
      <c r="K241" s="255">
        <f>(O241)*('Prod Energie'!$H$37)/(-$O$13)</f>
        <v>0</v>
      </c>
      <c r="L241" s="255">
        <f>(O241)*('Prod Energie'!$H$41)/(-P13)</f>
        <v>0</v>
      </c>
      <c r="M241" s="255">
        <v>0</v>
      </c>
      <c r="N241" s="255">
        <f>(O241)*'Prod Energie'!H35/(-$Q$13)</f>
        <v>0</v>
      </c>
      <c r="O241" s="243">
        <f>O252/(1+$F$17+$F$18)</f>
        <v>-770.52685065621631</v>
      </c>
      <c r="P241" s="243">
        <v>0</v>
      </c>
      <c r="Q241" s="243">
        <v>0</v>
      </c>
      <c r="R241" s="254">
        <f t="shared" ref="R241:R252" si="62">SUM(C241:Q241)</f>
        <v>610.71097569593962</v>
      </c>
      <c r="U241" s="506"/>
      <c r="V241" s="252" t="s">
        <v>375</v>
      </c>
      <c r="W241" s="243">
        <f>AI241*'Prod Energie'!$H$53/(-$J$13)</f>
        <v>0</v>
      </c>
      <c r="X241" s="243">
        <v>0</v>
      </c>
      <c r="Y241" s="243">
        <f>AI241*'Prod Energie'!$H$54/(-$K$13)</f>
        <v>1069.6543885719198</v>
      </c>
      <c r="Z241" s="243">
        <v>0</v>
      </c>
      <c r="AA241" s="243">
        <v>0</v>
      </c>
      <c r="AB241" s="243">
        <f>(AI241)*('Prod Energie'!$H$55+'Prod Energie'!$H$60+'Prod Energie'!$H$61)/(-$L$13)</f>
        <v>283.98933136436222</v>
      </c>
      <c r="AC241" s="255">
        <f>(AI241)*'Prod Energie'!$H$59/(-$M$13)</f>
        <v>186.54350769928672</v>
      </c>
      <c r="AD241" s="255">
        <f>(AI241)*('Prod Energie'!$H$57)/(-$N$13)</f>
        <v>0</v>
      </c>
      <c r="AE241" s="255">
        <f>(AI241)*('Prod Energie'!$H$58)/(-$O$13)</f>
        <v>0</v>
      </c>
      <c r="AF241" s="255">
        <f>(AI241)*('Prod Energie'!$H$62)/(-$P$13)</f>
        <v>0</v>
      </c>
      <c r="AG241" s="255">
        <v>0</v>
      </c>
      <c r="AH241" s="255">
        <f>(AI241)*'Prod Energie'!$H$56/(-$Q$13)</f>
        <v>0</v>
      </c>
      <c r="AI241" s="243">
        <f>AI252/(1+$F$17+$F$18)</f>
        <v>-829.25466541572155</v>
      </c>
      <c r="AJ241" s="243">
        <v>0</v>
      </c>
      <c r="AK241" s="243">
        <v>0</v>
      </c>
      <c r="AL241" s="254">
        <f t="shared" ref="AL241:AL252" si="63">SUM(W241:AK241)</f>
        <v>710.93256221984711</v>
      </c>
    </row>
    <row r="242" spans="1:38" ht="14.4" customHeight="1">
      <c r="A242" s="506"/>
      <c r="B242" s="252" t="s">
        <v>376</v>
      </c>
      <c r="C242" s="243">
        <v>0</v>
      </c>
      <c r="D242" s="243">
        <v>0</v>
      </c>
      <c r="E242" s="243">
        <v>0</v>
      </c>
      <c r="F242" s="243">
        <v>0</v>
      </c>
      <c r="G242" s="243">
        <v>0</v>
      </c>
      <c r="H242" s="243">
        <v>0</v>
      </c>
      <c r="I242" s="255">
        <f t="shared" ref="I242:N242" si="64">$P$242*$L$18*V$17</f>
        <v>0</v>
      </c>
      <c r="J242" s="255">
        <f t="shared" si="64"/>
        <v>0</v>
      </c>
      <c r="K242" s="255">
        <f t="shared" si="64"/>
        <v>0</v>
      </c>
      <c r="L242" s="255">
        <f t="shared" si="64"/>
        <v>0</v>
      </c>
      <c r="M242" s="255">
        <f t="shared" si="64"/>
        <v>0</v>
      </c>
      <c r="N242" s="255">
        <f t="shared" si="64"/>
        <v>0</v>
      </c>
      <c r="O242" s="243">
        <v>0</v>
      </c>
      <c r="P242" s="243">
        <f>P252/(1+$R$18)</f>
        <v>0</v>
      </c>
      <c r="Q242" s="243">
        <v>0</v>
      </c>
      <c r="R242" s="254">
        <f t="shared" si="62"/>
        <v>0</v>
      </c>
      <c r="U242" s="506"/>
      <c r="V242" s="252" t="s">
        <v>376</v>
      </c>
      <c r="W242" s="243">
        <v>0</v>
      </c>
      <c r="X242" s="243">
        <v>0</v>
      </c>
      <c r="Y242" s="243">
        <v>0</v>
      </c>
      <c r="Z242" s="243">
        <v>0</v>
      </c>
      <c r="AA242" s="243">
        <v>0</v>
      </c>
      <c r="AB242" s="243">
        <v>0</v>
      </c>
      <c r="AC242" s="255">
        <f t="shared" ref="AC242:AH242" si="65">$AJ$242*$L$18*V$17</f>
        <v>0</v>
      </c>
      <c r="AD242" s="255">
        <f t="shared" si="65"/>
        <v>0</v>
      </c>
      <c r="AE242" s="255">
        <f t="shared" si="65"/>
        <v>0</v>
      </c>
      <c r="AF242" s="255">
        <f t="shared" si="65"/>
        <v>0</v>
      </c>
      <c r="AG242" s="255">
        <f t="shared" si="65"/>
        <v>0</v>
      </c>
      <c r="AH242" s="255">
        <f t="shared" si="65"/>
        <v>0</v>
      </c>
      <c r="AI242" s="243">
        <v>0</v>
      </c>
      <c r="AJ242" s="243">
        <f>AJ252/(1+$R$18)</f>
        <v>0</v>
      </c>
      <c r="AK242" s="243">
        <v>0</v>
      </c>
      <c r="AL242" s="254">
        <f t="shared" si="63"/>
        <v>0</v>
      </c>
    </row>
    <row r="243" spans="1:38" ht="14.4" customHeight="1">
      <c r="A243" s="506"/>
      <c r="B243" s="252" t="s">
        <v>377</v>
      </c>
      <c r="C243" s="243">
        <v>0</v>
      </c>
      <c r="D243" s="243">
        <v>0</v>
      </c>
      <c r="E243" s="243">
        <v>0</v>
      </c>
      <c r="F243" s="243">
        <v>0</v>
      </c>
      <c r="G243" s="243">
        <v>0</v>
      </c>
      <c r="H243" s="243">
        <v>0</v>
      </c>
      <c r="I243" s="256">
        <v>0</v>
      </c>
      <c r="J243" s="256">
        <v>0</v>
      </c>
      <c r="K243" s="256">
        <v>0</v>
      </c>
      <c r="L243" s="256">
        <v>0</v>
      </c>
      <c r="M243" s="256">
        <v>0</v>
      </c>
      <c r="N243" s="256">
        <v>0</v>
      </c>
      <c r="O243" s="243">
        <v>0</v>
      </c>
      <c r="P243" s="243">
        <v>0</v>
      </c>
      <c r="Q243" s="243">
        <v>0</v>
      </c>
      <c r="R243" s="254">
        <f t="shared" si="62"/>
        <v>0</v>
      </c>
      <c r="U243" s="506"/>
      <c r="V243" s="252" t="s">
        <v>377</v>
      </c>
      <c r="W243" s="243">
        <v>0</v>
      </c>
      <c r="X243" s="243">
        <v>0</v>
      </c>
      <c r="Y243" s="243">
        <v>0</v>
      </c>
      <c r="Z243" s="243">
        <v>0</v>
      </c>
      <c r="AA243" s="243">
        <v>0</v>
      </c>
      <c r="AB243" s="243">
        <v>0</v>
      </c>
      <c r="AC243" s="256">
        <v>0</v>
      </c>
      <c r="AD243" s="256">
        <v>0</v>
      </c>
      <c r="AE243" s="256">
        <v>0</v>
      </c>
      <c r="AF243" s="256">
        <v>0</v>
      </c>
      <c r="AG243" s="256">
        <v>0</v>
      </c>
      <c r="AH243" s="256">
        <v>0</v>
      </c>
      <c r="AI243" s="243">
        <v>0</v>
      </c>
      <c r="AJ243" s="243">
        <v>0</v>
      </c>
      <c r="AK243" s="243">
        <v>0</v>
      </c>
      <c r="AL243" s="254">
        <f t="shared" si="63"/>
        <v>0</v>
      </c>
    </row>
    <row r="244" spans="1:38" ht="14.4" customHeight="1">
      <c r="A244" s="506"/>
      <c r="B244" s="252" t="s">
        <v>378</v>
      </c>
      <c r="C244" s="243">
        <v>0</v>
      </c>
      <c r="D244" s="243">
        <v>0</v>
      </c>
      <c r="E244" s="243">
        <v>0</v>
      </c>
      <c r="F244" s="243">
        <v>0</v>
      </c>
      <c r="G244" s="243">
        <v>0</v>
      </c>
      <c r="H244" s="243">
        <v>0</v>
      </c>
      <c r="I244" s="243">
        <v>0</v>
      </c>
      <c r="J244" s="243">
        <v>0</v>
      </c>
      <c r="K244" s="243">
        <v>0</v>
      </c>
      <c r="L244" s="243">
        <v>0</v>
      </c>
      <c r="M244" s="243">
        <v>0</v>
      </c>
      <c r="N244" s="243">
        <v>0</v>
      </c>
      <c r="O244" s="243">
        <v>0</v>
      </c>
      <c r="P244" s="243">
        <v>0</v>
      </c>
      <c r="Q244" s="243">
        <v>0</v>
      </c>
      <c r="R244" s="254">
        <f t="shared" si="62"/>
        <v>0</v>
      </c>
      <c r="U244" s="506"/>
      <c r="V244" s="252" t="s">
        <v>378</v>
      </c>
      <c r="W244" s="243">
        <v>0</v>
      </c>
      <c r="X244" s="243">
        <v>0</v>
      </c>
      <c r="Y244" s="243">
        <v>0</v>
      </c>
      <c r="Z244" s="243">
        <v>0</v>
      </c>
      <c r="AA244" s="243">
        <v>0</v>
      </c>
      <c r="AB244" s="243">
        <v>0</v>
      </c>
      <c r="AC244" s="243">
        <v>0</v>
      </c>
      <c r="AD244" s="243">
        <v>0</v>
      </c>
      <c r="AE244" s="243">
        <v>0</v>
      </c>
      <c r="AF244" s="243">
        <v>0</v>
      </c>
      <c r="AG244" s="243">
        <v>0</v>
      </c>
      <c r="AH244" s="243">
        <v>0</v>
      </c>
      <c r="AI244" s="243">
        <v>0</v>
      </c>
      <c r="AJ244" s="243">
        <v>0</v>
      </c>
      <c r="AK244" s="243">
        <v>0</v>
      </c>
      <c r="AL244" s="254">
        <f t="shared" si="63"/>
        <v>0</v>
      </c>
    </row>
    <row r="245" spans="1:38" ht="14.4" customHeight="1">
      <c r="A245" s="506"/>
      <c r="B245" s="252" t="s">
        <v>36</v>
      </c>
      <c r="C245" s="243">
        <v>0</v>
      </c>
      <c r="D245" s="243">
        <v>0</v>
      </c>
      <c r="E245" s="243">
        <v>0</v>
      </c>
      <c r="F245" s="243">
        <v>0</v>
      </c>
      <c r="G245" s="243">
        <v>0</v>
      </c>
      <c r="H245" s="243">
        <v>0</v>
      </c>
      <c r="I245" s="243">
        <v>0</v>
      </c>
      <c r="J245" s="243">
        <v>0</v>
      </c>
      <c r="K245" s="243">
        <v>0</v>
      </c>
      <c r="L245" s="243">
        <v>0</v>
      </c>
      <c r="M245" s="243">
        <v>0</v>
      </c>
      <c r="N245" s="243">
        <v>0</v>
      </c>
      <c r="O245" s="243">
        <v>0</v>
      </c>
      <c r="P245" s="243">
        <v>0</v>
      </c>
      <c r="Q245" s="243">
        <v>0</v>
      </c>
      <c r="R245" s="254">
        <f t="shared" si="62"/>
        <v>0</v>
      </c>
      <c r="U245" s="506"/>
      <c r="V245" s="252" t="s">
        <v>36</v>
      </c>
      <c r="W245" s="243">
        <v>0</v>
      </c>
      <c r="X245" s="243">
        <v>0</v>
      </c>
      <c r="Y245" s="243">
        <v>0</v>
      </c>
      <c r="Z245" s="243">
        <v>0</v>
      </c>
      <c r="AA245" s="243">
        <v>0</v>
      </c>
      <c r="AB245" s="243">
        <v>0</v>
      </c>
      <c r="AC245" s="243">
        <v>0</v>
      </c>
      <c r="AD245" s="243">
        <v>0</v>
      </c>
      <c r="AE245" s="243">
        <v>0</v>
      </c>
      <c r="AF245" s="243">
        <v>0</v>
      </c>
      <c r="AG245" s="243">
        <v>0</v>
      </c>
      <c r="AH245" s="243">
        <v>0</v>
      </c>
      <c r="AI245" s="243">
        <v>0</v>
      </c>
      <c r="AJ245" s="243">
        <v>0</v>
      </c>
      <c r="AK245" s="243">
        <v>0</v>
      </c>
      <c r="AL245" s="254">
        <f t="shared" si="63"/>
        <v>0</v>
      </c>
    </row>
    <row r="246" spans="1:38" ht="14.4" customHeight="1">
      <c r="A246" s="506"/>
      <c r="B246" s="252" t="s">
        <v>379</v>
      </c>
      <c r="C246" s="243">
        <v>0</v>
      </c>
      <c r="D246" s="243">
        <v>0</v>
      </c>
      <c r="E246" s="243">
        <v>0</v>
      </c>
      <c r="F246" s="243">
        <v>0</v>
      </c>
      <c r="G246" s="243">
        <v>0</v>
      </c>
      <c r="H246" s="243">
        <v>0</v>
      </c>
      <c r="I246" s="243">
        <v>0</v>
      </c>
      <c r="J246" s="243">
        <v>0</v>
      </c>
      <c r="K246" s="243">
        <v>0</v>
      </c>
      <c r="L246" s="243">
        <v>0</v>
      </c>
      <c r="M246" s="243">
        <v>0</v>
      </c>
      <c r="N246" s="243">
        <v>0</v>
      </c>
      <c r="O246" s="243">
        <v>0</v>
      </c>
      <c r="P246" s="243">
        <v>0</v>
      </c>
      <c r="Q246" s="243">
        <v>0</v>
      </c>
      <c r="R246" s="254">
        <f t="shared" si="62"/>
        <v>0</v>
      </c>
      <c r="U246" s="506"/>
      <c r="V246" s="252" t="s">
        <v>379</v>
      </c>
      <c r="W246" s="243">
        <v>0</v>
      </c>
      <c r="X246" s="243">
        <v>0</v>
      </c>
      <c r="Y246" s="243">
        <v>0</v>
      </c>
      <c r="Z246" s="243">
        <v>0</v>
      </c>
      <c r="AA246" s="243">
        <v>0</v>
      </c>
      <c r="AB246" s="243">
        <v>0</v>
      </c>
      <c r="AC246" s="243">
        <v>0</v>
      </c>
      <c r="AD246" s="243">
        <v>0</v>
      </c>
      <c r="AE246" s="243">
        <v>0</v>
      </c>
      <c r="AF246" s="243">
        <v>0</v>
      </c>
      <c r="AG246" s="243">
        <v>0</v>
      </c>
      <c r="AH246" s="243">
        <v>0</v>
      </c>
      <c r="AI246" s="243">
        <v>0</v>
      </c>
      <c r="AJ246" s="243">
        <v>0</v>
      </c>
      <c r="AK246" s="243">
        <v>0</v>
      </c>
      <c r="AL246" s="254">
        <f t="shared" si="63"/>
        <v>0</v>
      </c>
    </row>
    <row r="247" spans="1:38" ht="14.4" customHeight="1">
      <c r="A247" s="506"/>
      <c r="B247" s="252" t="s">
        <v>380</v>
      </c>
      <c r="C247" s="243">
        <v>0</v>
      </c>
      <c r="D247" s="243">
        <v>0</v>
      </c>
      <c r="E247" s="243">
        <v>0</v>
      </c>
      <c r="F247" s="243">
        <v>0</v>
      </c>
      <c r="G247" s="243">
        <v>0</v>
      </c>
      <c r="H247" s="243">
        <v>0</v>
      </c>
      <c r="I247" s="243">
        <v>0</v>
      </c>
      <c r="J247" s="243">
        <v>0</v>
      </c>
      <c r="K247" s="243">
        <v>0</v>
      </c>
      <c r="L247" s="243">
        <v>0</v>
      </c>
      <c r="M247" s="243">
        <v>0</v>
      </c>
      <c r="N247" s="243">
        <v>0</v>
      </c>
      <c r="O247" s="243">
        <v>0</v>
      </c>
      <c r="P247" s="243">
        <v>0</v>
      </c>
      <c r="Q247" s="243">
        <v>0</v>
      </c>
      <c r="R247" s="254">
        <f t="shared" si="62"/>
        <v>0</v>
      </c>
      <c r="U247" s="506"/>
      <c r="V247" s="252" t="s">
        <v>380</v>
      </c>
      <c r="W247" s="243">
        <v>0</v>
      </c>
      <c r="X247" s="243">
        <v>0</v>
      </c>
      <c r="Y247" s="243">
        <v>0</v>
      </c>
      <c r="Z247" s="243">
        <v>0</v>
      </c>
      <c r="AA247" s="243">
        <v>0</v>
      </c>
      <c r="AB247" s="243">
        <v>0</v>
      </c>
      <c r="AC247" s="243">
        <v>0</v>
      </c>
      <c r="AD247" s="243">
        <v>0</v>
      </c>
      <c r="AE247" s="243">
        <v>0</v>
      </c>
      <c r="AF247" s="243">
        <v>0</v>
      </c>
      <c r="AG247" s="243">
        <v>0</v>
      </c>
      <c r="AH247" s="243">
        <v>0</v>
      </c>
      <c r="AI247" s="243">
        <v>0</v>
      </c>
      <c r="AJ247" s="243">
        <v>0</v>
      </c>
      <c r="AK247" s="243">
        <v>0</v>
      </c>
      <c r="AL247" s="254">
        <f t="shared" si="63"/>
        <v>0</v>
      </c>
    </row>
    <row r="248" spans="1:38" ht="14.4" customHeight="1">
      <c r="A248" s="506"/>
      <c r="B248" s="252" t="s">
        <v>381</v>
      </c>
      <c r="C248" s="243">
        <v>0</v>
      </c>
      <c r="D248" s="243">
        <v>0</v>
      </c>
      <c r="E248" s="243">
        <v>0</v>
      </c>
      <c r="F248" s="243">
        <v>0</v>
      </c>
      <c r="G248" s="243">
        <v>0</v>
      </c>
      <c r="H248" s="243">
        <v>0</v>
      </c>
      <c r="I248" s="243">
        <v>0</v>
      </c>
      <c r="J248" s="243">
        <v>0</v>
      </c>
      <c r="K248" s="243">
        <v>0</v>
      </c>
      <c r="L248" s="243">
        <v>0</v>
      </c>
      <c r="M248" s="243">
        <v>0</v>
      </c>
      <c r="N248" s="243">
        <v>0</v>
      </c>
      <c r="O248" s="243">
        <v>0</v>
      </c>
      <c r="P248" s="243">
        <v>0</v>
      </c>
      <c r="Q248" s="243">
        <v>0</v>
      </c>
      <c r="R248" s="254">
        <f t="shared" si="62"/>
        <v>0</v>
      </c>
      <c r="S248" s="259">
        <f>R262+R252</f>
        <v>3337.5641718944139</v>
      </c>
      <c r="U248" s="506"/>
      <c r="V248" s="252" t="s">
        <v>381</v>
      </c>
      <c r="W248" s="243">
        <v>0</v>
      </c>
      <c r="X248" s="243">
        <v>0</v>
      </c>
      <c r="Y248" s="243">
        <v>0</v>
      </c>
      <c r="Z248" s="243">
        <v>0</v>
      </c>
      <c r="AA248" s="243">
        <v>0</v>
      </c>
      <c r="AB248" s="243">
        <v>0</v>
      </c>
      <c r="AC248" s="243">
        <v>0</v>
      </c>
      <c r="AD248" s="243">
        <v>0</v>
      </c>
      <c r="AE248" s="243">
        <v>0</v>
      </c>
      <c r="AF248" s="243">
        <v>0</v>
      </c>
      <c r="AG248" s="243">
        <v>0</v>
      </c>
      <c r="AH248" s="243">
        <v>0</v>
      </c>
      <c r="AI248" s="243">
        <v>0</v>
      </c>
      <c r="AJ248" s="243">
        <v>0</v>
      </c>
      <c r="AK248" s="243">
        <v>0</v>
      </c>
      <c r="AL248" s="254">
        <f t="shared" si="63"/>
        <v>0</v>
      </c>
    </row>
    <row r="249" spans="1:38" ht="14.4" customHeight="1">
      <c r="A249" s="506"/>
      <c r="B249" s="252" t="s">
        <v>37</v>
      </c>
      <c r="C249" s="243">
        <v>0</v>
      </c>
      <c r="D249" s="243">
        <v>0</v>
      </c>
      <c r="E249" s="243">
        <v>0</v>
      </c>
      <c r="F249" s="243">
        <v>0</v>
      </c>
      <c r="G249" s="243">
        <v>0</v>
      </c>
      <c r="H249" s="243">
        <v>0</v>
      </c>
      <c r="I249" s="243">
        <v>0</v>
      </c>
      <c r="J249" s="243">
        <v>0</v>
      </c>
      <c r="K249" s="243">
        <v>0</v>
      </c>
      <c r="L249" s="243">
        <v>0</v>
      </c>
      <c r="M249" s="243">
        <v>0</v>
      </c>
      <c r="N249" s="243">
        <v>0</v>
      </c>
      <c r="O249" s="243">
        <v>0</v>
      </c>
      <c r="P249" s="243">
        <v>0</v>
      </c>
      <c r="Q249" s="243">
        <v>0</v>
      </c>
      <c r="R249" s="254">
        <f t="shared" si="62"/>
        <v>0</v>
      </c>
      <c r="U249" s="506"/>
      <c r="V249" s="252" t="s">
        <v>37</v>
      </c>
      <c r="W249" s="243">
        <v>0</v>
      </c>
      <c r="X249" s="243">
        <v>0</v>
      </c>
      <c r="Y249" s="243">
        <v>0</v>
      </c>
      <c r="Z249" s="243">
        <v>0</v>
      </c>
      <c r="AA249" s="243">
        <v>0</v>
      </c>
      <c r="AB249" s="243">
        <v>0</v>
      </c>
      <c r="AC249" s="243">
        <v>0</v>
      </c>
      <c r="AD249" s="243">
        <v>0</v>
      </c>
      <c r="AE249" s="243">
        <v>0</v>
      </c>
      <c r="AF249" s="243">
        <v>0</v>
      </c>
      <c r="AG249" s="243">
        <v>0</v>
      </c>
      <c r="AH249" s="243">
        <v>0</v>
      </c>
      <c r="AI249" s="243">
        <v>0</v>
      </c>
      <c r="AJ249" s="243">
        <v>0</v>
      </c>
      <c r="AK249" s="243">
        <v>0</v>
      </c>
      <c r="AL249" s="254">
        <f t="shared" si="63"/>
        <v>0</v>
      </c>
    </row>
    <row r="250" spans="1:38" ht="14.4" customHeight="1">
      <c r="A250" s="506"/>
      <c r="B250" s="252" t="s">
        <v>38</v>
      </c>
      <c r="C250" s="243">
        <v>0</v>
      </c>
      <c r="D250" s="243">
        <v>0</v>
      </c>
      <c r="E250" s="243">
        <v>0</v>
      </c>
      <c r="F250" s="243">
        <v>0</v>
      </c>
      <c r="G250" s="243">
        <v>0</v>
      </c>
      <c r="H250" s="243">
        <v>0</v>
      </c>
      <c r="I250" s="243">
        <v>0</v>
      </c>
      <c r="J250" s="243">
        <v>0</v>
      </c>
      <c r="K250" s="243">
        <v>0</v>
      </c>
      <c r="L250" s="243">
        <v>0</v>
      </c>
      <c r="M250" s="243">
        <v>0</v>
      </c>
      <c r="N250" s="243">
        <v>0</v>
      </c>
      <c r="O250" s="243">
        <f>O241*$F$17</f>
        <v>4.9594349885250972</v>
      </c>
      <c r="P250" s="243">
        <v>0</v>
      </c>
      <c r="Q250" s="243">
        <v>0</v>
      </c>
      <c r="R250" s="254">
        <f t="shared" si="62"/>
        <v>4.9594349885250972</v>
      </c>
      <c r="U250" s="506"/>
      <c r="V250" s="252" t="s">
        <v>38</v>
      </c>
      <c r="W250" s="243">
        <v>0</v>
      </c>
      <c r="X250" s="243">
        <v>0</v>
      </c>
      <c r="Y250" s="243">
        <v>0</v>
      </c>
      <c r="Z250" s="243">
        <v>0</v>
      </c>
      <c r="AA250" s="243">
        <v>0</v>
      </c>
      <c r="AB250" s="243">
        <v>0</v>
      </c>
      <c r="AC250" s="243">
        <v>0</v>
      </c>
      <c r="AD250" s="243">
        <v>0</v>
      </c>
      <c r="AE250" s="243">
        <v>0</v>
      </c>
      <c r="AF250" s="243">
        <v>0</v>
      </c>
      <c r="AG250" s="243">
        <v>0</v>
      </c>
      <c r="AH250" s="243">
        <v>0</v>
      </c>
      <c r="AI250" s="243">
        <f>AI241*$F$17</f>
        <v>5.3374319124088832</v>
      </c>
      <c r="AJ250" s="243">
        <v>0</v>
      </c>
      <c r="AK250" s="243">
        <v>0</v>
      </c>
      <c r="AL250" s="254">
        <f t="shared" si="63"/>
        <v>5.3374319124088832</v>
      </c>
    </row>
    <row r="251" spans="1:38" ht="14.4" customHeight="1">
      <c r="A251" s="506"/>
      <c r="B251" s="252" t="s">
        <v>39</v>
      </c>
      <c r="C251" s="243">
        <v>0</v>
      </c>
      <c r="D251" s="243">
        <v>0</v>
      </c>
      <c r="E251" s="243">
        <v>0</v>
      </c>
      <c r="F251" s="243">
        <v>0</v>
      </c>
      <c r="G251" s="243">
        <v>0</v>
      </c>
      <c r="H251" s="243">
        <v>0</v>
      </c>
      <c r="I251" s="243">
        <v>0</v>
      </c>
      <c r="J251" s="243">
        <v>0</v>
      </c>
      <c r="K251" s="243">
        <v>0</v>
      </c>
      <c r="L251" s="243">
        <v>0</v>
      </c>
      <c r="M251" s="243">
        <v>0</v>
      </c>
      <c r="N251" s="243">
        <v>0</v>
      </c>
      <c r="O251" s="243">
        <f>O241*$F$18</f>
        <v>47.213997523068727</v>
      </c>
      <c r="P251" s="243">
        <f>P242*$R$18</f>
        <v>0</v>
      </c>
      <c r="Q251" s="243">
        <v>0</v>
      </c>
      <c r="R251" s="254">
        <f t="shared" si="62"/>
        <v>47.213997523068727</v>
      </c>
      <c r="U251" s="506"/>
      <c r="V251" s="252" t="s">
        <v>39</v>
      </c>
      <c r="W251" s="243">
        <v>0</v>
      </c>
      <c r="X251" s="243">
        <v>0</v>
      </c>
      <c r="Y251" s="243">
        <v>0</v>
      </c>
      <c r="Z251" s="243">
        <v>0</v>
      </c>
      <c r="AA251" s="243">
        <v>0</v>
      </c>
      <c r="AB251" s="243">
        <v>0</v>
      </c>
      <c r="AC251" s="243">
        <v>0</v>
      </c>
      <c r="AD251" s="243">
        <v>0</v>
      </c>
      <c r="AE251" s="243">
        <v>0</v>
      </c>
      <c r="AF251" s="243">
        <v>0</v>
      </c>
      <c r="AG251" s="243">
        <v>0</v>
      </c>
      <c r="AH251" s="243">
        <v>0</v>
      </c>
      <c r="AI251" s="243">
        <f>AI241*$F$18</f>
        <v>50.812541685714187</v>
      </c>
      <c r="AJ251" s="243">
        <f>AJ242*$R$18</f>
        <v>0</v>
      </c>
      <c r="AK251" s="243">
        <v>0</v>
      </c>
      <c r="AL251" s="254">
        <f t="shared" si="63"/>
        <v>50.812541685714187</v>
      </c>
    </row>
    <row r="252" spans="1:38" ht="14.4" customHeight="1">
      <c r="A252" s="506"/>
      <c r="B252" s="247" t="s">
        <v>40</v>
      </c>
      <c r="C252" s="248">
        <f>SUM(C240:C251)</f>
        <v>0</v>
      </c>
      <c r="D252" s="248">
        <f t="shared" ref="D252:N252" si="66">SUM(D240:D251)</f>
        <v>0</v>
      </c>
      <c r="E252" s="248">
        <f t="shared" si="66"/>
        <v>1090.5553137427491</v>
      </c>
      <c r="F252" s="248">
        <f t="shared" si="66"/>
        <v>0</v>
      </c>
      <c r="G252" s="248">
        <f t="shared" si="66"/>
        <v>0</v>
      </c>
      <c r="H252" s="248">
        <f t="shared" si="66"/>
        <v>290.68251260940667</v>
      </c>
      <c r="I252" s="248">
        <f t="shared" si="66"/>
        <v>0</v>
      </c>
      <c r="J252" s="248">
        <f t="shared" si="66"/>
        <v>0</v>
      </c>
      <c r="K252" s="248">
        <f t="shared" si="66"/>
        <v>0</v>
      </c>
      <c r="L252" s="248">
        <f t="shared" si="66"/>
        <v>0</v>
      </c>
      <c r="M252" s="248">
        <f t="shared" si="66"/>
        <v>0</v>
      </c>
      <c r="N252" s="248">
        <f t="shared" si="66"/>
        <v>0</v>
      </c>
      <c r="O252" s="248">
        <f>-O262</f>
        <v>-718.35341814462254</v>
      </c>
      <c r="P252" s="248">
        <f>-P254</f>
        <v>0</v>
      </c>
      <c r="Q252" s="248">
        <f>SUM(Q240:Q251)</f>
        <v>0</v>
      </c>
      <c r="R252" s="248">
        <f t="shared" si="62"/>
        <v>662.8844082075334</v>
      </c>
      <c r="U252" s="506"/>
      <c r="V252" s="247" t="s">
        <v>40</v>
      </c>
      <c r="W252" s="248">
        <f>SUM(W240:W251)</f>
        <v>0</v>
      </c>
      <c r="X252" s="248">
        <f t="shared" ref="X252:AH252" si="67">SUM(X240:X251)</f>
        <v>0</v>
      </c>
      <c r="Y252" s="248">
        <f t="shared" si="67"/>
        <v>1069.6543885719198</v>
      </c>
      <c r="Z252" s="248">
        <f t="shared" si="67"/>
        <v>0</v>
      </c>
      <c r="AA252" s="248">
        <f t="shared" si="67"/>
        <v>0</v>
      </c>
      <c r="AB252" s="248">
        <f t="shared" si="67"/>
        <v>283.98933136436222</v>
      </c>
      <c r="AC252" s="248">
        <f t="shared" si="67"/>
        <v>186.54350769928672</v>
      </c>
      <c r="AD252" s="248">
        <f t="shared" si="67"/>
        <v>0</v>
      </c>
      <c r="AE252" s="248">
        <f t="shared" si="67"/>
        <v>0</v>
      </c>
      <c r="AF252" s="248">
        <f t="shared" si="67"/>
        <v>0</v>
      </c>
      <c r="AG252" s="248">
        <f t="shared" si="67"/>
        <v>0</v>
      </c>
      <c r="AH252" s="248">
        <f t="shared" si="67"/>
        <v>0</v>
      </c>
      <c r="AI252" s="248">
        <f>-AI262</f>
        <v>-773.10469181759845</v>
      </c>
      <c r="AJ252" s="248">
        <f>-AJ254</f>
        <v>0</v>
      </c>
      <c r="AK252" s="248">
        <f>SUM(AK240:AK251)</f>
        <v>0</v>
      </c>
      <c r="AL252" s="248">
        <f t="shared" si="63"/>
        <v>767.08253581797021</v>
      </c>
    </row>
    <row r="253" spans="1:38" ht="14.4" customHeight="1">
      <c r="A253" s="506"/>
      <c r="B253" s="249"/>
      <c r="C253" s="250"/>
      <c r="D253" s="250"/>
      <c r="E253" s="257"/>
      <c r="F253" s="250"/>
      <c r="G253" s="250"/>
      <c r="H253" s="250"/>
      <c r="I253" s="257"/>
      <c r="J253" s="250"/>
      <c r="K253" s="250"/>
      <c r="L253" s="250"/>
      <c r="M253" s="258"/>
      <c r="N253" s="250"/>
      <c r="O253" s="250"/>
      <c r="P253" s="250"/>
      <c r="Q253" s="250"/>
      <c r="R253" s="250"/>
      <c r="U253" s="506"/>
      <c r="V253" s="249"/>
      <c r="W253" s="250"/>
      <c r="X253" s="250"/>
      <c r="Y253" s="257"/>
      <c r="Z253" s="250"/>
      <c r="AA253" s="250"/>
      <c r="AB253" s="250"/>
      <c r="AC253" s="257"/>
      <c r="AD253" s="250"/>
      <c r="AE253" s="250"/>
      <c r="AF253" s="250"/>
      <c r="AG253" s="258"/>
      <c r="AH253" s="250"/>
      <c r="AI253" s="250"/>
      <c r="AJ253" s="250"/>
      <c r="AK253" s="250"/>
      <c r="AL253" s="250"/>
    </row>
    <row r="254" spans="1:38" ht="14.4" customHeight="1">
      <c r="A254" s="506"/>
      <c r="B254" s="252" t="s">
        <v>41</v>
      </c>
      <c r="C254" s="243">
        <v>0</v>
      </c>
      <c r="D254" s="243">
        <v>0</v>
      </c>
      <c r="E254" s="243">
        <f>Industrie!$H$35</f>
        <v>0</v>
      </c>
      <c r="F254" s="243">
        <v>0</v>
      </c>
      <c r="G254" s="243">
        <v>0</v>
      </c>
      <c r="H254" s="243">
        <v>0</v>
      </c>
      <c r="I254" s="243">
        <v>0</v>
      </c>
      <c r="J254" s="243">
        <v>0</v>
      </c>
      <c r="K254" s="243">
        <v>0</v>
      </c>
      <c r="L254" s="243">
        <v>0</v>
      </c>
      <c r="M254" s="243">
        <v>0</v>
      </c>
      <c r="N254" s="243">
        <v>0</v>
      </c>
      <c r="O254" s="243">
        <f>Industrie!$H$36</f>
        <v>331.17042385875766</v>
      </c>
      <c r="P254" s="243">
        <f>Industrie!$H$39</f>
        <v>0</v>
      </c>
      <c r="Q254" s="243">
        <v>0</v>
      </c>
      <c r="R254" s="254">
        <f>SUM(C254:Q254)</f>
        <v>331.17042385875766</v>
      </c>
      <c r="U254" s="506"/>
      <c r="V254" s="252" t="s">
        <v>41</v>
      </c>
      <c r="W254" s="243">
        <v>0</v>
      </c>
      <c r="X254" s="243">
        <v>0</v>
      </c>
      <c r="Y254" s="243">
        <f>Industrie!$H$56</f>
        <v>0</v>
      </c>
      <c r="Z254" s="243">
        <v>0</v>
      </c>
      <c r="AA254" s="243">
        <v>0</v>
      </c>
      <c r="AB254" s="243">
        <v>0</v>
      </c>
      <c r="AC254" s="243">
        <f>Industrie!$H$62*$V$13/SUM($V$13:$AA$13)</f>
        <v>0</v>
      </c>
      <c r="AD254" s="243">
        <f>Industrie!$H$62*$W$13/SUM($V$13:$AA$13)</f>
        <v>0</v>
      </c>
      <c r="AE254" s="243">
        <f>Industrie!$H$62*$X$13/SUM($V$13:$AA$13)</f>
        <v>0</v>
      </c>
      <c r="AF254" s="243">
        <f>Industrie!$H$62*$Y$13/SUM($V$13:$AA$13)</f>
        <v>0</v>
      </c>
      <c r="AG254" s="243">
        <f>Industrie!$H$62*$Z$13/SUM($V$13:$AA$13)</f>
        <v>0</v>
      </c>
      <c r="AH254" s="243">
        <f>Industrie!$H$62*$AA$13/SUM($V$13:$AA$13)</f>
        <v>0</v>
      </c>
      <c r="AI254" s="243">
        <f>Industrie!$H$57</f>
        <v>245.13494204093493</v>
      </c>
      <c r="AJ254" s="243">
        <f>Industrie!$H$63</f>
        <v>0</v>
      </c>
      <c r="AK254" s="243">
        <v>0</v>
      </c>
      <c r="AL254" s="254">
        <f>SUM(W254:AK254)</f>
        <v>245.13494204093493</v>
      </c>
    </row>
    <row r="255" spans="1:38" ht="14.4" customHeight="1">
      <c r="A255" s="506"/>
      <c r="B255" s="252" t="s">
        <v>42</v>
      </c>
      <c r="C255" s="243">
        <v>0</v>
      </c>
      <c r="D255" s="243">
        <v>0</v>
      </c>
      <c r="E255" s="243">
        <f>Transports!$J$49+Transports!$H$106+Transports!$H$203</f>
        <v>1722.2275235907396</v>
      </c>
      <c r="F255" s="243">
        <v>0</v>
      </c>
      <c r="G255" s="243">
        <v>0</v>
      </c>
      <c r="H255" s="243">
        <v>0</v>
      </c>
      <c r="I255" s="243">
        <v>0</v>
      </c>
      <c r="J255" s="243">
        <v>0</v>
      </c>
      <c r="K255" s="243">
        <v>0</v>
      </c>
      <c r="L255" s="243">
        <v>0</v>
      </c>
      <c r="M255" s="243">
        <v>0</v>
      </c>
      <c r="N255" s="243">
        <v>0</v>
      </c>
      <c r="O255" s="243">
        <f>Transports!$J$50+Transports!$H$107</f>
        <v>44.46580514400852</v>
      </c>
      <c r="P255" s="243">
        <v>0</v>
      </c>
      <c r="Q255" s="243">
        <v>0</v>
      </c>
      <c r="R255" s="254">
        <f t="shared" ref="R255:R262" si="68">SUM(C255:Q255)</f>
        <v>1766.6933287347481</v>
      </c>
      <c r="U255" s="506"/>
      <c r="V255" s="252" t="s">
        <v>42</v>
      </c>
      <c r="W255" s="243">
        <v>0</v>
      </c>
      <c r="X255" s="243">
        <v>0</v>
      </c>
      <c r="Y255" s="243">
        <f>Transports!$J76+Transports!$H$150+Transports!$H$238</f>
        <v>480.19131355098182</v>
      </c>
      <c r="Z255" s="243">
        <v>0</v>
      </c>
      <c r="AA255" s="243">
        <v>0</v>
      </c>
      <c r="AB255" s="243">
        <v>0</v>
      </c>
      <c r="AC255" s="243">
        <v>0</v>
      </c>
      <c r="AD255" s="243">
        <v>0</v>
      </c>
      <c r="AE255" s="243">
        <f>Transports!$H$236+Transports!$H$237</f>
        <v>64.019895678307535</v>
      </c>
      <c r="AF255" s="243">
        <v>0</v>
      </c>
      <c r="AG255" s="243">
        <v>0</v>
      </c>
      <c r="AH255" s="243">
        <v>0</v>
      </c>
      <c r="AI255" s="243">
        <f>Transports!$J$77+Transports!$H$151</f>
        <v>217.08837710999677</v>
      </c>
      <c r="AJ255" s="243">
        <v>0</v>
      </c>
      <c r="AK255" s="243">
        <v>0</v>
      </c>
      <c r="AL255" s="254">
        <f t="shared" ref="AL255:AL262" si="69">SUM(W255:AK255)</f>
        <v>761.29958633928618</v>
      </c>
    </row>
    <row r="256" spans="1:38" ht="14.4" customHeight="1">
      <c r="A256" s="506"/>
      <c r="B256" s="252" t="s">
        <v>43</v>
      </c>
      <c r="C256" s="243">
        <v>0</v>
      </c>
      <c r="D256" s="243">
        <v>0</v>
      </c>
      <c r="E256" s="243">
        <f>'Résidentiel-tertiaire'!$H$172</f>
        <v>86.58341506129598</v>
      </c>
      <c r="F256" s="243">
        <v>0</v>
      </c>
      <c r="G256" s="243">
        <v>0</v>
      </c>
      <c r="H256" s="243">
        <v>0</v>
      </c>
      <c r="I256" s="243">
        <f>'Résidentiel-tertiaire'!$H$173*$I$51/SUM($I$51:$N$51)</f>
        <v>0</v>
      </c>
      <c r="J256" s="243">
        <f>'Résidentiel-tertiaire'!$H$173*$J$51/SUM($I$51:$N$51)</f>
        <v>0</v>
      </c>
      <c r="K256" s="243">
        <f>'Résidentiel-tertiaire'!$H$173*$K$51/SUM($I$51:$N$51)</f>
        <v>0</v>
      </c>
      <c r="L256" s="243">
        <f>'Résidentiel-tertiaire'!$H$173*$L$51/SUM($I$51:$N$51)</f>
        <v>0</v>
      </c>
      <c r="M256" s="243">
        <f>'Résidentiel-tertiaire'!$H$173*$M$51/SUM($I$51:$N$51)</f>
        <v>0</v>
      </c>
      <c r="N256" s="243">
        <f>'Résidentiel-tertiaire'!$H$173*$N$51/SUM($I$51:$N$51)</f>
        <v>21.090831873905429</v>
      </c>
      <c r="O256" s="243">
        <f>'Résidentiel-tertiaire'!$H$174</f>
        <v>231.99915061295974</v>
      </c>
      <c r="P256" s="243">
        <v>0</v>
      </c>
      <c r="Q256" s="243">
        <v>0</v>
      </c>
      <c r="R256" s="254">
        <f t="shared" si="68"/>
        <v>339.67339754816112</v>
      </c>
      <c r="U256" s="506"/>
      <c r="V256" s="252" t="s">
        <v>43</v>
      </c>
      <c r="W256" s="243">
        <v>0</v>
      </c>
      <c r="X256" s="243">
        <v>0</v>
      </c>
      <c r="Y256" s="243">
        <f>'Résidentiel-tertiaire'!$H$187</f>
        <v>15.119</v>
      </c>
      <c r="Z256" s="243">
        <v>0</v>
      </c>
      <c r="AA256" s="243">
        <v>0</v>
      </c>
      <c r="AB256" s="243">
        <v>0</v>
      </c>
      <c r="AC256" s="243">
        <f>'Résidentiel-tertiaire'!$H$188*$V$14/SUM($V$14:$AA$14)</f>
        <v>0</v>
      </c>
      <c r="AD256" s="243">
        <f>'Résidentiel-tertiaire'!$H$188*$W$14/SUM($V$14:$AA$14)</f>
        <v>0</v>
      </c>
      <c r="AE256" s="243">
        <f>'Résidentiel-tertiaire'!$H$188*$X$14/SUM($V$14:$AA$14)</f>
        <v>0</v>
      </c>
      <c r="AF256" s="243">
        <f>'Résidentiel-tertiaire'!$H$188*$Y$14/SUM($V$14:$AA$14)</f>
        <v>0</v>
      </c>
      <c r="AG256" s="243">
        <f>'Résidentiel-tertiaire'!$H$188*$Z$14/SUM($V$14:$AA$14)</f>
        <v>0</v>
      </c>
      <c r="AH256" s="243">
        <f>'Résidentiel-tertiaire'!$H$188*$AA$14/SUM($V$14:$AA$14)</f>
        <v>37.628865000000005</v>
      </c>
      <c r="AI256" s="243">
        <f>'Résidentiel-tertiaire'!$H$189</f>
        <v>203.12841700000001</v>
      </c>
      <c r="AJ256" s="243">
        <v>0</v>
      </c>
      <c r="AK256" s="243">
        <v>0</v>
      </c>
      <c r="AL256" s="254">
        <f t="shared" si="69"/>
        <v>255.876282</v>
      </c>
    </row>
    <row r="257" spans="1:38" ht="14.4" customHeight="1">
      <c r="A257" s="506"/>
      <c r="B257" s="252" t="s">
        <v>44</v>
      </c>
      <c r="C257" s="243">
        <v>0</v>
      </c>
      <c r="D257" s="243">
        <v>0</v>
      </c>
      <c r="E257" s="243">
        <f>'Résidentiel-tertiaire'!$H$177</f>
        <v>37.741488616462348</v>
      </c>
      <c r="F257" s="243">
        <v>0</v>
      </c>
      <c r="G257" s="243">
        <v>0</v>
      </c>
      <c r="H257" s="243">
        <v>0</v>
      </c>
      <c r="I257" s="243">
        <v>0</v>
      </c>
      <c r="J257" s="243">
        <v>0</v>
      </c>
      <c r="K257" s="243">
        <v>0</v>
      </c>
      <c r="L257" s="243">
        <v>0</v>
      </c>
      <c r="M257" s="243">
        <v>0</v>
      </c>
      <c r="N257" s="243">
        <v>0</v>
      </c>
      <c r="O257" s="243">
        <f>'Résidentiel-tertiaire'!$H$180</f>
        <v>110.71803852889667</v>
      </c>
      <c r="P257" s="243">
        <v>0</v>
      </c>
      <c r="Q257" s="243">
        <v>0</v>
      </c>
      <c r="R257" s="254">
        <f t="shared" si="68"/>
        <v>148.459527145359</v>
      </c>
      <c r="U257" s="506"/>
      <c r="V257" s="252" t="s">
        <v>44</v>
      </c>
      <c r="W257" s="243">
        <v>0</v>
      </c>
      <c r="X257" s="243">
        <v>0</v>
      </c>
      <c r="Y257" s="243">
        <f>'Résidentiel-tertiaire'!$H$192</f>
        <v>6.5903333333333336</v>
      </c>
      <c r="Z257" s="243">
        <v>0</v>
      </c>
      <c r="AA257" s="243">
        <v>0</v>
      </c>
      <c r="AB257" s="243">
        <v>0</v>
      </c>
      <c r="AC257" s="243">
        <f>'Résidentiel-tertiaire'!$H$193*$V$15/SUM($V$15:$AA$15)</f>
        <v>0</v>
      </c>
      <c r="AD257" s="243">
        <f>'Résidentiel-tertiaire'!$H$193*$W$15/SUM($V$15:$AA$15)</f>
        <v>0</v>
      </c>
      <c r="AE257" s="243">
        <f>'Résidentiel-tertiaire'!$H$193*$X$15/SUM($V$15:$AA$15)</f>
        <v>0</v>
      </c>
      <c r="AF257" s="243">
        <f>'Résidentiel-tertiaire'!$H$193*$Y$15/SUM($V$15:$AA$15)</f>
        <v>0</v>
      </c>
      <c r="AG257" s="243">
        <f>'Résidentiel-tertiaire'!$H$193*$Z$15/SUM($V$15:$AA$15)</f>
        <v>0</v>
      </c>
      <c r="AH257" s="243">
        <f>'Résidentiel-tertiaire'!$H$193*$AA$15/SUM($V$15:$AA$15)</f>
        <v>0</v>
      </c>
      <c r="AI257" s="243">
        <f>'Résidentiel-tertiaire'!$H$194</f>
        <v>107.75295566666667</v>
      </c>
      <c r="AJ257" s="243">
        <v>0</v>
      </c>
      <c r="AK257" s="243">
        <v>0</v>
      </c>
      <c r="AL257" s="254">
        <f t="shared" si="69"/>
        <v>114.343289</v>
      </c>
    </row>
    <row r="258" spans="1:38" ht="14.4" customHeight="1">
      <c r="A258" s="506"/>
      <c r="B258" s="252" t="s">
        <v>4</v>
      </c>
      <c r="C258" s="243">
        <v>0</v>
      </c>
      <c r="D258" s="243">
        <v>0</v>
      </c>
      <c r="E258" s="243">
        <f>Agriculture!$V$27</f>
        <v>88.68308639985473</v>
      </c>
      <c r="F258" s="243">
        <v>0</v>
      </c>
      <c r="G258" s="243">
        <v>0</v>
      </c>
      <c r="H258" s="243">
        <v>0</v>
      </c>
      <c r="I258" s="243">
        <v>0</v>
      </c>
      <c r="J258" s="243">
        <v>0</v>
      </c>
      <c r="K258" s="243">
        <v>0</v>
      </c>
      <c r="L258" s="243">
        <v>0</v>
      </c>
      <c r="M258" s="243">
        <v>0</v>
      </c>
      <c r="N258" s="243">
        <v>0</v>
      </c>
      <c r="O258" s="243">
        <f>Agriculture!$V$28</f>
        <v>0</v>
      </c>
      <c r="P258" s="243">
        <v>0</v>
      </c>
      <c r="Q258" s="243">
        <v>0</v>
      </c>
      <c r="R258" s="254">
        <f t="shared" si="68"/>
        <v>88.68308639985473</v>
      </c>
      <c r="U258" s="506"/>
      <c r="V258" s="252" t="s">
        <v>4</v>
      </c>
      <c r="W258" s="243">
        <v>0</v>
      </c>
      <c r="X258" s="243">
        <v>0</v>
      </c>
      <c r="Y258" s="243">
        <f>Agriculture!$AC$43</f>
        <v>20.446290322580637</v>
      </c>
      <c r="Z258" s="243">
        <v>0</v>
      </c>
      <c r="AA258" s="243">
        <v>0</v>
      </c>
      <c r="AB258" s="243">
        <v>0</v>
      </c>
      <c r="AC258" s="243">
        <v>0</v>
      </c>
      <c r="AD258" s="243">
        <v>0</v>
      </c>
      <c r="AE258" s="243">
        <f>Agriculture!$AC$45</f>
        <v>146.40361722580647</v>
      </c>
      <c r="AF258" s="243">
        <v>0</v>
      </c>
      <c r="AG258" s="243">
        <v>0</v>
      </c>
      <c r="AH258" s="243">
        <v>0</v>
      </c>
      <c r="AI258" s="243">
        <f>Agriculture!$AC$44</f>
        <v>0</v>
      </c>
      <c r="AJ258" s="243">
        <v>0</v>
      </c>
      <c r="AK258" s="243">
        <v>0</v>
      </c>
      <c r="AL258" s="254">
        <f t="shared" si="69"/>
        <v>166.84990754838711</v>
      </c>
    </row>
    <row r="259" spans="1:38" ht="14.4" customHeight="1">
      <c r="A259" s="506"/>
      <c r="B259" s="252" t="s">
        <v>382</v>
      </c>
      <c r="C259" s="243">
        <v>0</v>
      </c>
      <c r="D259" s="243">
        <v>0</v>
      </c>
      <c r="E259" s="243">
        <v>0</v>
      </c>
      <c r="F259" s="243">
        <v>0</v>
      </c>
      <c r="G259" s="243">
        <v>0</v>
      </c>
      <c r="H259" s="243">
        <v>0</v>
      </c>
      <c r="I259" s="243">
        <v>0</v>
      </c>
      <c r="J259" s="243">
        <v>0</v>
      </c>
      <c r="K259" s="243">
        <v>0</v>
      </c>
      <c r="L259" s="243">
        <v>0</v>
      </c>
      <c r="M259" s="243">
        <v>0</v>
      </c>
      <c r="N259" s="243">
        <v>0</v>
      </c>
      <c r="O259" s="243">
        <v>0</v>
      </c>
      <c r="P259" s="243">
        <v>0</v>
      </c>
      <c r="Q259" s="243">
        <v>0</v>
      </c>
      <c r="R259" s="254">
        <f t="shared" si="68"/>
        <v>0</v>
      </c>
      <c r="U259" s="506"/>
      <c r="V259" s="252" t="s">
        <v>382</v>
      </c>
      <c r="W259" s="243">
        <v>0</v>
      </c>
      <c r="X259" s="243">
        <v>0</v>
      </c>
      <c r="Y259" s="243">
        <v>0</v>
      </c>
      <c r="Z259" s="243">
        <v>0</v>
      </c>
      <c r="AA259" s="243">
        <v>0</v>
      </c>
      <c r="AB259" s="243">
        <v>0</v>
      </c>
      <c r="AC259" s="243">
        <v>0</v>
      </c>
      <c r="AD259" s="243">
        <v>0</v>
      </c>
      <c r="AE259" s="243">
        <v>0</v>
      </c>
      <c r="AF259" s="243">
        <v>0</v>
      </c>
      <c r="AG259" s="243">
        <v>0</v>
      </c>
      <c r="AH259" s="243">
        <v>0</v>
      </c>
      <c r="AI259" s="243">
        <v>0</v>
      </c>
      <c r="AJ259" s="243">
        <v>0</v>
      </c>
      <c r="AK259" s="243">
        <v>0</v>
      </c>
      <c r="AL259" s="254">
        <f t="shared" si="69"/>
        <v>0</v>
      </c>
    </row>
    <row r="260" spans="1:38" ht="14.4" customHeight="1">
      <c r="A260" s="506"/>
      <c r="B260" s="247" t="s">
        <v>45</v>
      </c>
      <c r="C260" s="248">
        <f>SUM(C254:C259)</f>
        <v>0</v>
      </c>
      <c r="D260" s="248">
        <f t="shared" ref="D260:Q260" si="70">SUM(D254:D259)</f>
        <v>0</v>
      </c>
      <c r="E260" s="248">
        <f t="shared" si="70"/>
        <v>1935.2355136683527</v>
      </c>
      <c r="F260" s="248">
        <f t="shared" si="70"/>
        <v>0</v>
      </c>
      <c r="G260" s="248">
        <f t="shared" si="70"/>
        <v>0</v>
      </c>
      <c r="H260" s="248">
        <f t="shared" si="70"/>
        <v>0</v>
      </c>
      <c r="I260" s="248">
        <f t="shared" si="70"/>
        <v>0</v>
      </c>
      <c r="J260" s="248">
        <f t="shared" si="70"/>
        <v>0</v>
      </c>
      <c r="K260" s="248">
        <f t="shared" si="70"/>
        <v>0</v>
      </c>
      <c r="L260" s="248">
        <f t="shared" si="70"/>
        <v>0</v>
      </c>
      <c r="M260" s="248">
        <f t="shared" si="70"/>
        <v>0</v>
      </c>
      <c r="N260" s="248">
        <f t="shared" si="70"/>
        <v>21.090831873905429</v>
      </c>
      <c r="O260" s="248">
        <f t="shared" si="70"/>
        <v>718.35341814462254</v>
      </c>
      <c r="P260" s="248">
        <f t="shared" si="70"/>
        <v>0</v>
      </c>
      <c r="Q260" s="248">
        <f t="shared" si="70"/>
        <v>0</v>
      </c>
      <c r="R260" s="248">
        <f t="shared" si="68"/>
        <v>2674.6797636868805</v>
      </c>
      <c r="U260" s="506"/>
      <c r="V260" s="247" t="s">
        <v>45</v>
      </c>
      <c r="W260" s="248">
        <f>SUM(W254:W259)</f>
        <v>0</v>
      </c>
      <c r="X260" s="248">
        <f t="shared" ref="X260:AK260" si="71">SUM(X254:X259)</f>
        <v>0</v>
      </c>
      <c r="Y260" s="248">
        <f t="shared" si="71"/>
        <v>522.34693720689575</v>
      </c>
      <c r="Z260" s="248">
        <f t="shared" si="71"/>
        <v>0</v>
      </c>
      <c r="AA260" s="248">
        <f t="shared" si="71"/>
        <v>0</v>
      </c>
      <c r="AB260" s="248">
        <f t="shared" si="71"/>
        <v>0</v>
      </c>
      <c r="AC260" s="248">
        <f t="shared" si="71"/>
        <v>0</v>
      </c>
      <c r="AD260" s="248">
        <f t="shared" si="71"/>
        <v>0</v>
      </c>
      <c r="AE260" s="248">
        <f t="shared" si="71"/>
        <v>210.42351290411401</v>
      </c>
      <c r="AF260" s="248">
        <f t="shared" si="71"/>
        <v>0</v>
      </c>
      <c r="AG260" s="248">
        <f t="shared" si="71"/>
        <v>0</v>
      </c>
      <c r="AH260" s="248">
        <f t="shared" si="71"/>
        <v>37.628865000000005</v>
      </c>
      <c r="AI260" s="248">
        <f t="shared" si="71"/>
        <v>773.10469181759845</v>
      </c>
      <c r="AJ260" s="248">
        <f t="shared" si="71"/>
        <v>0</v>
      </c>
      <c r="AK260" s="248">
        <f t="shared" si="71"/>
        <v>0</v>
      </c>
      <c r="AL260" s="248">
        <f t="shared" si="69"/>
        <v>1543.5040069286083</v>
      </c>
    </row>
    <row r="261" spans="1:38" ht="14.4" customHeight="1">
      <c r="A261" s="506"/>
      <c r="B261" s="242" t="s">
        <v>46</v>
      </c>
      <c r="C261" s="243">
        <v>0</v>
      </c>
      <c r="D261" s="243">
        <v>0</v>
      </c>
      <c r="E261" s="243">
        <f>Industrie!$H$37</f>
        <v>0</v>
      </c>
      <c r="F261" s="243">
        <v>0</v>
      </c>
      <c r="G261" s="243">
        <v>0</v>
      </c>
      <c r="H261" s="243">
        <v>0</v>
      </c>
      <c r="I261" s="243">
        <v>0</v>
      </c>
      <c r="J261" s="243">
        <v>0</v>
      </c>
      <c r="K261" s="243">
        <v>0</v>
      </c>
      <c r="L261" s="243">
        <v>0</v>
      </c>
      <c r="M261" s="243">
        <v>0</v>
      </c>
      <c r="N261" s="243">
        <v>0</v>
      </c>
      <c r="O261" s="243">
        <v>0</v>
      </c>
      <c r="P261" s="243">
        <v>0</v>
      </c>
      <c r="Q261" s="243">
        <v>0</v>
      </c>
      <c r="R261" s="254">
        <f t="shared" si="68"/>
        <v>0</v>
      </c>
      <c r="U261" s="506"/>
      <c r="V261" s="242" t="s">
        <v>46</v>
      </c>
      <c r="W261" s="243">
        <v>0</v>
      </c>
      <c r="X261" s="243">
        <v>0</v>
      </c>
      <c r="Y261" s="243">
        <f>Industrie!$H$59</f>
        <v>0</v>
      </c>
      <c r="Z261" s="243">
        <v>0</v>
      </c>
      <c r="AA261" s="243">
        <v>0</v>
      </c>
      <c r="AB261" s="243">
        <v>0</v>
      </c>
      <c r="AC261" s="243">
        <v>0</v>
      </c>
      <c r="AD261" s="243">
        <v>0</v>
      </c>
      <c r="AE261" s="243">
        <v>0</v>
      </c>
      <c r="AF261" s="243">
        <v>0</v>
      </c>
      <c r="AG261" s="243">
        <v>0</v>
      </c>
      <c r="AH261" s="243">
        <v>0</v>
      </c>
      <c r="AI261" s="243">
        <v>0</v>
      </c>
      <c r="AJ261" s="243">
        <v>0</v>
      </c>
      <c r="AK261" s="243">
        <v>0</v>
      </c>
      <c r="AL261" s="254">
        <f t="shared" si="69"/>
        <v>0</v>
      </c>
    </row>
    <row r="262" spans="1:38" ht="14.4" customHeight="1">
      <c r="A262" s="506"/>
      <c r="B262" s="247" t="s">
        <v>47</v>
      </c>
      <c r="C262" s="248">
        <f>C261+C260</f>
        <v>0</v>
      </c>
      <c r="D262" s="248">
        <f t="shared" ref="D262:Q262" si="72">D261+D260</f>
        <v>0</v>
      </c>
      <c r="E262" s="248">
        <f t="shared" si="72"/>
        <v>1935.2355136683527</v>
      </c>
      <c r="F262" s="248">
        <f t="shared" si="72"/>
        <v>0</v>
      </c>
      <c r="G262" s="248">
        <f t="shared" si="72"/>
        <v>0</v>
      </c>
      <c r="H262" s="248">
        <f t="shared" si="72"/>
        <v>0</v>
      </c>
      <c r="I262" s="248">
        <f t="shared" si="72"/>
        <v>0</v>
      </c>
      <c r="J262" s="248">
        <f t="shared" si="72"/>
        <v>0</v>
      </c>
      <c r="K262" s="248">
        <f t="shared" si="72"/>
        <v>0</v>
      </c>
      <c r="L262" s="248">
        <f t="shared" si="72"/>
        <v>0</v>
      </c>
      <c r="M262" s="248">
        <f t="shared" si="72"/>
        <v>0</v>
      </c>
      <c r="N262" s="248">
        <f t="shared" si="72"/>
        <v>21.090831873905429</v>
      </c>
      <c r="O262" s="248">
        <f t="shared" si="72"/>
        <v>718.35341814462254</v>
      </c>
      <c r="P262" s="248">
        <f t="shared" si="72"/>
        <v>0</v>
      </c>
      <c r="Q262" s="248">
        <f t="shared" si="72"/>
        <v>0</v>
      </c>
      <c r="R262" s="248">
        <f t="shared" si="68"/>
        <v>2674.6797636868805</v>
      </c>
      <c r="U262" s="506"/>
      <c r="V262" s="247" t="s">
        <v>47</v>
      </c>
      <c r="W262" s="248">
        <f>W261+W260</f>
        <v>0</v>
      </c>
      <c r="X262" s="248">
        <f t="shared" ref="X262:AK262" si="73">X261+X260</f>
        <v>0</v>
      </c>
      <c r="Y262" s="248">
        <f t="shared" si="73"/>
        <v>522.34693720689575</v>
      </c>
      <c r="Z262" s="248">
        <f t="shared" si="73"/>
        <v>0</v>
      </c>
      <c r="AA262" s="248">
        <f t="shared" si="73"/>
        <v>0</v>
      </c>
      <c r="AB262" s="248">
        <f t="shared" si="73"/>
        <v>0</v>
      </c>
      <c r="AC262" s="248">
        <f t="shared" si="73"/>
        <v>0</v>
      </c>
      <c r="AD262" s="248">
        <f t="shared" si="73"/>
        <v>0</v>
      </c>
      <c r="AE262" s="248">
        <f t="shared" si="73"/>
        <v>210.42351290411401</v>
      </c>
      <c r="AF262" s="248">
        <f t="shared" si="73"/>
        <v>0</v>
      </c>
      <c r="AG262" s="248">
        <f t="shared" si="73"/>
        <v>0</v>
      </c>
      <c r="AH262" s="248">
        <f t="shared" si="73"/>
        <v>37.628865000000005</v>
      </c>
      <c r="AI262" s="248">
        <f t="shared" si="73"/>
        <v>773.10469181759845</v>
      </c>
      <c r="AJ262" s="248">
        <f t="shared" si="73"/>
        <v>0</v>
      </c>
      <c r="AK262" s="248">
        <f t="shared" si="73"/>
        <v>0</v>
      </c>
      <c r="AL262" s="248">
        <f t="shared" si="69"/>
        <v>1543.5040069286083</v>
      </c>
    </row>
    <row r="271" spans="1:38" ht="14.4" customHeight="1">
      <c r="A271" s="506">
        <v>2050</v>
      </c>
      <c r="B271" s="507" t="s">
        <v>12</v>
      </c>
      <c r="C271" s="508" t="s">
        <v>14</v>
      </c>
      <c r="D271" s="508" t="s">
        <v>15</v>
      </c>
      <c r="E271" s="508" t="s">
        <v>16</v>
      </c>
      <c r="F271" s="508" t="s">
        <v>17</v>
      </c>
      <c r="G271" s="508" t="s">
        <v>367</v>
      </c>
      <c r="H271" s="508" t="s">
        <v>18</v>
      </c>
      <c r="I271" s="508" t="s">
        <v>19</v>
      </c>
      <c r="J271" s="508"/>
      <c r="K271" s="508"/>
      <c r="L271" s="508"/>
      <c r="M271" s="508"/>
      <c r="N271" s="508"/>
      <c r="O271" s="509" t="s">
        <v>368</v>
      </c>
      <c r="P271" s="509" t="s">
        <v>21</v>
      </c>
      <c r="Q271" s="509" t="s">
        <v>369</v>
      </c>
      <c r="R271" s="509" t="s">
        <v>23</v>
      </c>
      <c r="U271" s="506">
        <v>2050</v>
      </c>
      <c r="V271" s="515" t="s">
        <v>12</v>
      </c>
      <c r="W271" s="509" t="s">
        <v>14</v>
      </c>
      <c r="X271" s="509" t="s">
        <v>15</v>
      </c>
      <c r="Y271" s="509" t="s">
        <v>16</v>
      </c>
      <c r="Z271" s="509" t="s">
        <v>17</v>
      </c>
      <c r="AA271" s="509" t="s">
        <v>367</v>
      </c>
      <c r="AB271" s="509" t="s">
        <v>18</v>
      </c>
      <c r="AC271" s="512" t="s">
        <v>19</v>
      </c>
      <c r="AD271" s="513"/>
      <c r="AE271" s="513"/>
      <c r="AF271" s="513"/>
      <c r="AG271" s="513"/>
      <c r="AH271" s="514"/>
      <c r="AI271" s="509" t="s">
        <v>368</v>
      </c>
      <c r="AJ271" s="509" t="s">
        <v>21</v>
      </c>
      <c r="AK271" s="509" t="s">
        <v>369</v>
      </c>
      <c r="AL271" s="509" t="s">
        <v>23</v>
      </c>
    </row>
    <row r="272" spans="1:38" ht="45.6">
      <c r="A272" s="506"/>
      <c r="B272" s="507"/>
      <c r="C272" s="508"/>
      <c r="D272" s="508"/>
      <c r="E272" s="508"/>
      <c r="F272" s="508"/>
      <c r="G272" s="508"/>
      <c r="H272" s="508"/>
      <c r="I272" s="240" t="s">
        <v>356</v>
      </c>
      <c r="J272" s="240" t="s">
        <v>7</v>
      </c>
      <c r="K272" s="240" t="s">
        <v>357</v>
      </c>
      <c r="L272" s="240" t="s">
        <v>370</v>
      </c>
      <c r="M272" s="241" t="s">
        <v>371</v>
      </c>
      <c r="N272" s="240" t="s">
        <v>372</v>
      </c>
      <c r="O272" s="509"/>
      <c r="P272" s="509"/>
      <c r="Q272" s="509"/>
      <c r="R272" s="509"/>
      <c r="U272" s="506"/>
      <c r="V272" s="516"/>
      <c r="W272" s="511"/>
      <c r="X272" s="511"/>
      <c r="Y272" s="511"/>
      <c r="Z272" s="511"/>
      <c r="AA272" s="511"/>
      <c r="AB272" s="511"/>
      <c r="AC272" s="240" t="s">
        <v>356</v>
      </c>
      <c r="AD272" s="240" t="s">
        <v>7</v>
      </c>
      <c r="AE272" s="240" t="s">
        <v>357</v>
      </c>
      <c r="AF272" s="240" t="s">
        <v>370</v>
      </c>
      <c r="AG272" s="241" t="s">
        <v>371</v>
      </c>
      <c r="AH272" s="240" t="s">
        <v>372</v>
      </c>
      <c r="AI272" s="511"/>
      <c r="AJ272" s="511"/>
      <c r="AK272" s="511"/>
      <c r="AL272" s="509"/>
    </row>
    <row r="273" spans="1:38" ht="14.4" customHeight="1">
      <c r="A273" s="506"/>
      <c r="B273" s="242" t="s">
        <v>24</v>
      </c>
      <c r="C273" s="243">
        <v>0</v>
      </c>
      <c r="D273" s="244">
        <v>0</v>
      </c>
      <c r="E273" s="244">
        <v>0</v>
      </c>
      <c r="F273" s="243">
        <v>0</v>
      </c>
      <c r="G273" s="244">
        <v>0</v>
      </c>
      <c r="H273" s="244">
        <f>H279</f>
        <v>296.0456585985101</v>
      </c>
      <c r="I273" s="244">
        <f>$I$27</f>
        <v>0</v>
      </c>
      <c r="J273" s="244">
        <f>J279</f>
        <v>0</v>
      </c>
      <c r="K273" s="244">
        <v>0</v>
      </c>
      <c r="L273" s="244">
        <f>L279</f>
        <v>0</v>
      </c>
      <c r="M273" s="244">
        <v>0</v>
      </c>
      <c r="N273" s="244">
        <f>N279</f>
        <v>20.897338003502632</v>
      </c>
      <c r="O273" s="245">
        <v>0</v>
      </c>
      <c r="P273" s="244">
        <v>0</v>
      </c>
      <c r="Q273" s="244">
        <v>0</v>
      </c>
      <c r="R273" s="246">
        <f>SUM(C273:Q273)</f>
        <v>316.94299660201273</v>
      </c>
      <c r="U273" s="506"/>
      <c r="V273" s="242" t="s">
        <v>24</v>
      </c>
      <c r="W273" s="243">
        <v>0</v>
      </c>
      <c r="X273" s="244">
        <v>0</v>
      </c>
      <c r="Y273" s="244">
        <v>0</v>
      </c>
      <c r="Z273" s="243">
        <v>0</v>
      </c>
      <c r="AA273" s="244">
        <v>0</v>
      </c>
      <c r="AB273" s="244">
        <f>AB279</f>
        <v>292.91566623380453</v>
      </c>
      <c r="AC273" s="244">
        <f>IF((AC279-$AC$27)&gt;0,$AC$27+(AC279-$AC$27)*0.5,AC279)</f>
        <v>89.711204306875857</v>
      </c>
      <c r="AD273" s="244">
        <f>AD279</f>
        <v>0</v>
      </c>
      <c r="AE273" s="244">
        <f>IF((AE279-$AE$27)&gt;0,$AE$27+(AE279-AE276-AE277-$AE$27)*0.5,AE279-AE276-AE$72)</f>
        <v>258.63858610783598</v>
      </c>
      <c r="AF273" s="244">
        <f>AF279</f>
        <v>0</v>
      </c>
      <c r="AG273" s="244">
        <v>0</v>
      </c>
      <c r="AH273" s="244">
        <f>AH279</f>
        <v>36.634500000000003</v>
      </c>
      <c r="AI273" s="245">
        <v>0</v>
      </c>
      <c r="AJ273" s="244">
        <v>0</v>
      </c>
      <c r="AK273" s="244">
        <v>0</v>
      </c>
      <c r="AL273" s="246">
        <f>SUM(W273:AK273)</f>
        <v>677.89995664851642</v>
      </c>
    </row>
    <row r="274" spans="1:38" ht="14.4" customHeight="1">
      <c r="A274" s="506"/>
      <c r="B274" s="242" t="s">
        <v>28</v>
      </c>
      <c r="C274" s="243">
        <f>C279</f>
        <v>0</v>
      </c>
      <c r="D274" s="244">
        <f>D279</f>
        <v>0</v>
      </c>
      <c r="E274" s="244">
        <f>E279-E276-E277</f>
        <v>3811.4106059112478</v>
      </c>
      <c r="F274" s="243">
        <v>0</v>
      </c>
      <c r="G274" s="244">
        <v>0</v>
      </c>
      <c r="H274" s="244">
        <v>0</v>
      </c>
      <c r="I274" s="244">
        <f>I279-$I$27</f>
        <v>0</v>
      </c>
      <c r="J274" s="244">
        <v>0</v>
      </c>
      <c r="K274" s="244">
        <f>K279</f>
        <v>0</v>
      </c>
      <c r="L274" s="244">
        <v>0</v>
      </c>
      <c r="M274" s="244">
        <v>0</v>
      </c>
      <c r="N274" s="244">
        <v>0</v>
      </c>
      <c r="O274" s="245">
        <v>0</v>
      </c>
      <c r="P274" s="244">
        <v>0</v>
      </c>
      <c r="Q274" s="244">
        <v>0</v>
      </c>
      <c r="R274" s="246">
        <f t="shared" ref="R274:R279" si="74">SUM(C274:Q274)</f>
        <v>3811.4106059112478</v>
      </c>
      <c r="U274" s="506"/>
      <c r="V274" s="242" t="s">
        <v>28</v>
      </c>
      <c r="W274" s="243">
        <f>W279</f>
        <v>0</v>
      </c>
      <c r="X274" s="244">
        <f>X279</f>
        <v>0</v>
      </c>
      <c r="Y274" s="244">
        <f>Y279-Y276-Y277</f>
        <v>1459.5421371715634</v>
      </c>
      <c r="Z274" s="243">
        <v>0</v>
      </c>
      <c r="AA274" s="244">
        <v>0</v>
      </c>
      <c r="AB274" s="244">
        <v>0</v>
      </c>
      <c r="AC274" s="244">
        <f>IF((AC279-$AC$27)&gt;0,(AC279-$AC$27)*0.5,0)</f>
        <v>89.711204306875857</v>
      </c>
      <c r="AD274" s="244">
        <v>0</v>
      </c>
      <c r="AE274" s="244">
        <f>IF((AE279-AE276-AE277-$AE$27)&gt;0,(AE279-AE276-AE277-$AE$27)*0.5,0)</f>
        <v>258.63858610783598</v>
      </c>
      <c r="AF274" s="244">
        <v>0</v>
      </c>
      <c r="AG274" s="244">
        <v>0</v>
      </c>
      <c r="AH274" s="244">
        <v>0</v>
      </c>
      <c r="AI274" s="245">
        <v>0</v>
      </c>
      <c r="AJ274" s="244">
        <v>0</v>
      </c>
      <c r="AK274" s="244">
        <v>0</v>
      </c>
      <c r="AL274" s="246">
        <f t="shared" ref="AL274:AL279" si="75">SUM(W274:AK274)</f>
        <v>1807.8919275862754</v>
      </c>
    </row>
    <row r="275" spans="1:38" ht="14.4" customHeight="1">
      <c r="A275" s="506"/>
      <c r="B275" s="242" t="s">
        <v>29</v>
      </c>
      <c r="C275" s="243">
        <v>0</v>
      </c>
      <c r="D275" s="244">
        <v>0</v>
      </c>
      <c r="E275" s="244">
        <v>0</v>
      </c>
      <c r="F275" s="243">
        <v>0</v>
      </c>
      <c r="G275" s="244">
        <v>0</v>
      </c>
      <c r="H275" s="244">
        <v>0</v>
      </c>
      <c r="I275" s="244">
        <v>0</v>
      </c>
      <c r="J275" s="244">
        <v>0</v>
      </c>
      <c r="K275" s="244">
        <v>0</v>
      </c>
      <c r="L275" s="244">
        <v>0</v>
      </c>
      <c r="M275" s="244">
        <v>0</v>
      </c>
      <c r="N275" s="244">
        <v>0</v>
      </c>
      <c r="O275" s="245">
        <v>0</v>
      </c>
      <c r="P275" s="244">
        <v>0</v>
      </c>
      <c r="Q275" s="244">
        <v>0</v>
      </c>
      <c r="R275" s="246">
        <f t="shared" si="74"/>
        <v>0</v>
      </c>
      <c r="U275" s="506"/>
      <c r="V275" s="242" t="s">
        <v>29</v>
      </c>
      <c r="W275" s="243">
        <v>0</v>
      </c>
      <c r="X275" s="244">
        <v>0</v>
      </c>
      <c r="Y275" s="244">
        <v>0</v>
      </c>
      <c r="Z275" s="243">
        <v>0</v>
      </c>
      <c r="AA275" s="244">
        <v>0</v>
      </c>
      <c r="AB275" s="244">
        <v>0</v>
      </c>
      <c r="AC275" s="244">
        <v>0</v>
      </c>
      <c r="AD275" s="244">
        <v>0</v>
      </c>
      <c r="AE275" s="244">
        <v>0</v>
      </c>
      <c r="AF275" s="244">
        <v>0</v>
      </c>
      <c r="AG275" s="244">
        <v>0</v>
      </c>
      <c r="AH275" s="244">
        <v>0</v>
      </c>
      <c r="AI275" s="245">
        <v>0</v>
      </c>
      <c r="AJ275" s="244">
        <v>0</v>
      </c>
      <c r="AK275" s="244">
        <v>0</v>
      </c>
      <c r="AL275" s="246">
        <f t="shared" si="75"/>
        <v>0</v>
      </c>
    </row>
    <row r="276" spans="1:38" ht="14.4" customHeight="1">
      <c r="A276" s="506"/>
      <c r="B276" s="242" t="s">
        <v>30</v>
      </c>
      <c r="C276" s="243">
        <v>0</v>
      </c>
      <c r="D276" s="244">
        <v>0</v>
      </c>
      <c r="E276" s="244">
        <f>-Transports!$I$125</f>
        <v>-347.65499999999997</v>
      </c>
      <c r="F276" s="243">
        <v>0</v>
      </c>
      <c r="G276" s="244">
        <v>0</v>
      </c>
      <c r="H276" s="244">
        <v>0</v>
      </c>
      <c r="I276" s="244">
        <v>0</v>
      </c>
      <c r="J276" s="244">
        <v>0</v>
      </c>
      <c r="K276" s="244">
        <v>0</v>
      </c>
      <c r="L276" s="244">
        <v>0</v>
      </c>
      <c r="M276" s="244">
        <v>0</v>
      </c>
      <c r="N276" s="244">
        <v>0</v>
      </c>
      <c r="O276" s="245">
        <v>0</v>
      </c>
      <c r="P276" s="244">
        <v>0</v>
      </c>
      <c r="Q276" s="244">
        <v>0</v>
      </c>
      <c r="R276" s="246">
        <f t="shared" si="74"/>
        <v>-347.65499999999997</v>
      </c>
      <c r="U276" s="506"/>
      <c r="V276" s="242" t="s">
        <v>30</v>
      </c>
      <c r="W276" s="243">
        <v>0</v>
      </c>
      <c r="X276" s="244">
        <v>0</v>
      </c>
      <c r="Y276" s="244">
        <f>-Transports!$I$172-Transports!$I$171</f>
        <v>-127.71</v>
      </c>
      <c r="Z276" s="243">
        <v>0</v>
      </c>
      <c r="AA276" s="244">
        <v>0</v>
      </c>
      <c r="AB276" s="244">
        <v>0</v>
      </c>
      <c r="AC276" s="244">
        <v>0</v>
      </c>
      <c r="AD276" s="244">
        <v>0</v>
      </c>
      <c r="AE276" s="244">
        <f>-Transports!$I$170</f>
        <v>-127.71</v>
      </c>
      <c r="AF276" s="244">
        <v>0</v>
      </c>
      <c r="AG276" s="244">
        <v>0</v>
      </c>
      <c r="AH276" s="244">
        <v>0</v>
      </c>
      <c r="AI276" s="245">
        <v>0</v>
      </c>
      <c r="AJ276" s="244">
        <v>0</v>
      </c>
      <c r="AK276" s="244">
        <v>0</v>
      </c>
      <c r="AL276" s="246">
        <f t="shared" si="75"/>
        <v>-255.42</v>
      </c>
    </row>
    <row r="277" spans="1:38" ht="14.4" customHeight="1">
      <c r="A277" s="506"/>
      <c r="B277" s="242" t="s">
        <v>31</v>
      </c>
      <c r="C277" s="243">
        <v>0</v>
      </c>
      <c r="D277" s="244">
        <v>0</v>
      </c>
      <c r="E277" s="244">
        <f>-Transports!$I$202</f>
        <v>-466.30879105215962</v>
      </c>
      <c r="F277" s="243">
        <v>0</v>
      </c>
      <c r="G277" s="244">
        <v>0</v>
      </c>
      <c r="H277" s="244">
        <v>0</v>
      </c>
      <c r="I277" s="244">
        <v>0</v>
      </c>
      <c r="J277" s="244">
        <v>0</v>
      </c>
      <c r="K277" s="244">
        <v>0</v>
      </c>
      <c r="L277" s="244">
        <v>0</v>
      </c>
      <c r="M277" s="244">
        <v>0</v>
      </c>
      <c r="N277" s="244">
        <v>0</v>
      </c>
      <c r="O277" s="245">
        <v>0</v>
      </c>
      <c r="P277" s="244">
        <v>0</v>
      </c>
      <c r="Q277" s="244">
        <v>0</v>
      </c>
      <c r="R277" s="246">
        <f t="shared" si="74"/>
        <v>-466.30879105215962</v>
      </c>
      <c r="U277" s="506"/>
      <c r="V277" s="242" t="s">
        <v>31</v>
      </c>
      <c r="W277" s="243">
        <v>0</v>
      </c>
      <c r="X277" s="244">
        <v>0</v>
      </c>
      <c r="Y277" s="244">
        <f>-Transports!$I$234</f>
        <v>-128.99920493540742</v>
      </c>
      <c r="Z277" s="243">
        <v>0</v>
      </c>
      <c r="AA277" s="244">
        <v>0</v>
      </c>
      <c r="AB277" s="244">
        <v>0</v>
      </c>
      <c r="AC277" s="244">
        <v>0</v>
      </c>
      <c r="AD277" s="244">
        <v>0</v>
      </c>
      <c r="AE277" s="244">
        <f>-Transports!$D$233-Transports!$I$232</f>
        <v>-139.13266447377939</v>
      </c>
      <c r="AF277" s="244">
        <v>0</v>
      </c>
      <c r="AG277" s="244">
        <v>0</v>
      </c>
      <c r="AH277" s="244">
        <v>0</v>
      </c>
      <c r="AI277" s="245">
        <v>0</v>
      </c>
      <c r="AJ277" s="244">
        <v>0</v>
      </c>
      <c r="AK277" s="244">
        <v>0</v>
      </c>
      <c r="AL277" s="246">
        <f t="shared" si="75"/>
        <v>-268.13186940918683</v>
      </c>
    </row>
    <row r="278" spans="1:38" ht="14.4" customHeight="1">
      <c r="A278" s="506"/>
      <c r="B278" s="242" t="s">
        <v>32</v>
      </c>
      <c r="C278" s="243">
        <v>0</v>
      </c>
      <c r="D278" s="244">
        <v>0</v>
      </c>
      <c r="E278" s="244">
        <v>0</v>
      </c>
      <c r="F278" s="243">
        <v>0</v>
      </c>
      <c r="G278" s="244">
        <v>0</v>
      </c>
      <c r="H278" s="244">
        <v>0</v>
      </c>
      <c r="I278" s="244">
        <v>0</v>
      </c>
      <c r="J278" s="244">
        <v>0</v>
      </c>
      <c r="K278" s="244">
        <v>0</v>
      </c>
      <c r="L278" s="244">
        <v>0</v>
      </c>
      <c r="M278" s="244">
        <v>0</v>
      </c>
      <c r="N278" s="244">
        <v>0</v>
      </c>
      <c r="O278" s="245">
        <v>0</v>
      </c>
      <c r="P278" s="244">
        <v>0</v>
      </c>
      <c r="Q278" s="244">
        <v>0</v>
      </c>
      <c r="R278" s="246">
        <f t="shared" si="74"/>
        <v>0</v>
      </c>
      <c r="U278" s="506"/>
      <c r="V278" s="242" t="s">
        <v>32</v>
      </c>
      <c r="W278" s="243">
        <v>0</v>
      </c>
      <c r="X278" s="244">
        <v>0</v>
      </c>
      <c r="Y278" s="244">
        <v>0</v>
      </c>
      <c r="Z278" s="243">
        <v>0</v>
      </c>
      <c r="AA278" s="244">
        <v>0</v>
      </c>
      <c r="AB278" s="244">
        <v>0</v>
      </c>
      <c r="AC278" s="244">
        <v>0</v>
      </c>
      <c r="AD278" s="244">
        <v>0</v>
      </c>
      <c r="AE278" s="244">
        <v>0</v>
      </c>
      <c r="AF278" s="244">
        <v>0</v>
      </c>
      <c r="AG278" s="244">
        <v>0</v>
      </c>
      <c r="AH278" s="244">
        <v>0</v>
      </c>
      <c r="AI278" s="245">
        <v>0</v>
      </c>
      <c r="AJ278" s="244">
        <v>0</v>
      </c>
      <c r="AK278" s="244">
        <v>0</v>
      </c>
      <c r="AL278" s="246">
        <f t="shared" si="75"/>
        <v>0</v>
      </c>
    </row>
    <row r="279" spans="1:38" ht="14.4" customHeight="1">
      <c r="A279" s="506"/>
      <c r="B279" s="247" t="s">
        <v>373</v>
      </c>
      <c r="C279" s="248">
        <f>C303+C301</f>
        <v>0</v>
      </c>
      <c r="D279" s="248">
        <f>D293+D303</f>
        <v>0</v>
      </c>
      <c r="E279" s="248">
        <f>E293+E303</f>
        <v>2997.4468148590886</v>
      </c>
      <c r="F279" s="248">
        <f>SUM(F273:F278)</f>
        <v>0</v>
      </c>
      <c r="G279" s="248">
        <f>SUM(G273:G278)</f>
        <v>0</v>
      </c>
      <c r="H279" s="248">
        <f>H293</f>
        <v>296.0456585985101</v>
      </c>
      <c r="I279" s="248">
        <f>I293+I301</f>
        <v>0</v>
      </c>
      <c r="J279" s="248">
        <f>J293+J303</f>
        <v>0</v>
      </c>
      <c r="K279" s="248">
        <f>K293+K303</f>
        <v>0</v>
      </c>
      <c r="L279" s="248">
        <f>L293+L303</f>
        <v>0</v>
      </c>
      <c r="M279" s="248">
        <f>SUM(M273:M278)</f>
        <v>0</v>
      </c>
      <c r="N279" s="248">
        <f>N293+N303</f>
        <v>20.897338003502632</v>
      </c>
      <c r="O279" s="248">
        <f>SUM(O273:O278)</f>
        <v>0</v>
      </c>
      <c r="P279" s="248">
        <f>SUM(P273:P278)</f>
        <v>0</v>
      </c>
      <c r="Q279" s="248">
        <f>SUM(Q273:Q278)</f>
        <v>0</v>
      </c>
      <c r="R279" s="248">
        <f t="shared" si="74"/>
        <v>3314.3898114611015</v>
      </c>
      <c r="U279" s="506"/>
      <c r="V279" s="247" t="s">
        <v>373</v>
      </c>
      <c r="W279" s="248">
        <f>W303+W301</f>
        <v>0</v>
      </c>
      <c r="X279" s="248">
        <f>X293+X303</f>
        <v>0</v>
      </c>
      <c r="Y279" s="248">
        <f>Y293+Y303</f>
        <v>1202.832932236156</v>
      </c>
      <c r="Z279" s="248">
        <f>SUM(Z273:Z278)</f>
        <v>0</v>
      </c>
      <c r="AA279" s="248">
        <f>SUM(AA273:AA278)</f>
        <v>0</v>
      </c>
      <c r="AB279" s="248">
        <f>AB293</f>
        <v>292.91566623380453</v>
      </c>
      <c r="AC279" s="248">
        <f>AC293+AC301</f>
        <v>179.42240861375171</v>
      </c>
      <c r="AD279" s="248">
        <f>AD293+AD303</f>
        <v>0</v>
      </c>
      <c r="AE279" s="248">
        <f>AE293+AE303</f>
        <v>250.43450774189259</v>
      </c>
      <c r="AF279" s="248">
        <f>AF293+AF303</f>
        <v>0</v>
      </c>
      <c r="AG279" s="248">
        <f>SUM(AG273:AG278)</f>
        <v>0</v>
      </c>
      <c r="AH279" s="248">
        <f>AH293+AH303</f>
        <v>36.634500000000003</v>
      </c>
      <c r="AI279" s="248">
        <f>SUM(AI273:AI278)</f>
        <v>0</v>
      </c>
      <c r="AJ279" s="248">
        <f>SUM(AJ273:AJ278)</f>
        <v>0</v>
      </c>
      <c r="AK279" s="248">
        <f>SUM(AK273:AK278)</f>
        <v>0</v>
      </c>
      <c r="AL279" s="248">
        <f t="shared" si="75"/>
        <v>1962.2400148256047</v>
      </c>
    </row>
    <row r="280" spans="1:38" ht="14.4" customHeight="1">
      <c r="A280" s="506"/>
      <c r="B280" s="249"/>
      <c r="C280" s="250"/>
      <c r="D280" s="219"/>
      <c r="E280" s="251"/>
      <c r="F280" s="250"/>
      <c r="G280" s="250"/>
      <c r="H280" s="250"/>
      <c r="I280" s="250"/>
      <c r="J280" s="250"/>
      <c r="K280" s="250"/>
      <c r="L280" s="250"/>
      <c r="M280" s="250"/>
      <c r="N280" s="250"/>
      <c r="O280" s="259"/>
      <c r="P280" s="250"/>
      <c r="Q280" s="250"/>
      <c r="R280" s="250"/>
      <c r="U280" s="506"/>
      <c r="V280" s="249"/>
      <c r="W280" s="250"/>
      <c r="X280" s="219"/>
      <c r="Y280" s="251"/>
      <c r="Z280" s="250"/>
      <c r="AA280" s="250"/>
      <c r="AB280" s="250"/>
      <c r="AC280" s="250"/>
      <c r="AD280" s="250"/>
      <c r="AE280" s="250"/>
      <c r="AF280" s="250"/>
      <c r="AG280" s="250"/>
      <c r="AH280" s="250"/>
      <c r="AI280" s="259"/>
      <c r="AJ280" s="250"/>
      <c r="AK280" s="250"/>
      <c r="AL280" s="250"/>
    </row>
    <row r="281" spans="1:38" ht="14.4" customHeight="1">
      <c r="A281" s="506"/>
      <c r="B281" s="252" t="s">
        <v>374</v>
      </c>
      <c r="C281" s="243">
        <v>0</v>
      </c>
      <c r="D281" s="253">
        <v>0</v>
      </c>
      <c r="E281" s="253">
        <v>0</v>
      </c>
      <c r="F281" s="243">
        <v>0</v>
      </c>
      <c r="G281" s="243">
        <v>0</v>
      </c>
      <c r="H281" s="243">
        <v>0</v>
      </c>
      <c r="I281" s="243">
        <v>0</v>
      </c>
      <c r="J281" s="243">
        <v>0</v>
      </c>
      <c r="K281" s="243">
        <v>0</v>
      </c>
      <c r="L281" s="243">
        <v>0</v>
      </c>
      <c r="M281" s="243">
        <v>0</v>
      </c>
      <c r="N281" s="243">
        <v>0</v>
      </c>
      <c r="O281" s="243">
        <v>0</v>
      </c>
      <c r="P281" s="243">
        <v>0</v>
      </c>
      <c r="Q281" s="243">
        <v>0</v>
      </c>
      <c r="R281" s="254">
        <f>SUM(C281:Q281)</f>
        <v>0</v>
      </c>
      <c r="U281" s="506"/>
      <c r="V281" s="252" t="s">
        <v>374</v>
      </c>
      <c r="W281" s="243">
        <v>0</v>
      </c>
      <c r="X281" s="253">
        <v>0</v>
      </c>
      <c r="Y281" s="253">
        <v>0</v>
      </c>
      <c r="Z281" s="243">
        <v>0</v>
      </c>
      <c r="AA281" s="243">
        <v>0</v>
      </c>
      <c r="AB281" s="243">
        <v>0</v>
      </c>
      <c r="AC281" s="243">
        <v>0</v>
      </c>
      <c r="AD281" s="243">
        <v>0</v>
      </c>
      <c r="AE281" s="243">
        <v>0</v>
      </c>
      <c r="AF281" s="243">
        <v>0</v>
      </c>
      <c r="AG281" s="243">
        <v>0</v>
      </c>
      <c r="AH281" s="243">
        <v>0</v>
      </c>
      <c r="AI281" s="243">
        <v>0</v>
      </c>
      <c r="AJ281" s="243">
        <v>0</v>
      </c>
      <c r="AK281" s="243">
        <v>0</v>
      </c>
      <c r="AL281" s="254">
        <f>SUM(W281:AK281)</f>
        <v>0</v>
      </c>
    </row>
    <row r="282" spans="1:38" ht="14.4" customHeight="1">
      <c r="A282" s="506"/>
      <c r="B282" s="252" t="s">
        <v>375</v>
      </c>
      <c r="C282" s="243">
        <f>$O$282*'Prod Energie'!$I$32/(-$J$13)</f>
        <v>0</v>
      </c>
      <c r="D282" s="243">
        <v>0</v>
      </c>
      <c r="E282" s="243">
        <f>O282*'Prod Energie'!$I$33/(-$K$13)</f>
        <v>1038.172835213395</v>
      </c>
      <c r="F282" s="243">
        <v>0</v>
      </c>
      <c r="G282" s="243">
        <v>0</v>
      </c>
      <c r="H282" s="243">
        <f>(O282)*('Prod Energie'!$I$34+'Prod Energie'!$I$39+'Prod Energie'!$I$40)/(-$L$13)</f>
        <v>296.0456585985101</v>
      </c>
      <c r="I282" s="255">
        <f>(O282)*('Prod Energie'!$I$38)/(-$M$13)</f>
        <v>0</v>
      </c>
      <c r="J282" s="255">
        <f>(O282)*('Prod Energie'!$I$36)/(-$N$13)</f>
        <v>0</v>
      </c>
      <c r="K282" s="255">
        <f>(O282)*('Prod Energie'!$I$37)/(-$O$13)</f>
        <v>0</v>
      </c>
      <c r="L282" s="255">
        <f>(O282)*('Prod Energie'!$I$41)/(-P13)</f>
        <v>0</v>
      </c>
      <c r="M282" s="255">
        <v>0</v>
      </c>
      <c r="N282" s="255">
        <f>(O282)*'Prod Energie'!I35/(-$Q$13)</f>
        <v>0</v>
      </c>
      <c r="O282" s="243">
        <f>O293/(1+$F$17+$F$18)</f>
        <v>-752.84170609240391</v>
      </c>
      <c r="P282" s="243">
        <v>0</v>
      </c>
      <c r="Q282" s="243">
        <v>0</v>
      </c>
      <c r="R282" s="254">
        <f t="shared" ref="R282:R293" si="76">SUM(C282:Q282)</f>
        <v>581.37678771950118</v>
      </c>
      <c r="U282" s="506"/>
      <c r="V282" s="252" t="s">
        <v>375</v>
      </c>
      <c r="W282" s="243">
        <f>AI282*'Prod Energie'!$I$53/(-$J$13)</f>
        <v>0</v>
      </c>
      <c r="X282" s="243">
        <v>0</v>
      </c>
      <c r="Y282" s="243">
        <f>AI282*'Prod Energie'!$I$54/(-$K$13)</f>
        <v>925.3977552531677</v>
      </c>
      <c r="Z282" s="243">
        <v>0</v>
      </c>
      <c r="AA282" s="243">
        <v>0</v>
      </c>
      <c r="AB282" s="243">
        <f>(AI282)*('Prod Energie'!$I$55+'Prod Energie'!$I$60+'Prod Energie'!$I$61)/(-$L$13)</f>
        <v>292.91566623380453</v>
      </c>
      <c r="AC282" s="255">
        <f>(AI282)*'Prod Energie'!$I$59/(-$M$13)</f>
        <v>179.42240861375171</v>
      </c>
      <c r="AD282" s="255">
        <f>(AI282)*('Prod Energie'!$I$57)/(-$N$13)</f>
        <v>0</v>
      </c>
      <c r="AE282" s="255">
        <f>(AI282)*('Prod Energie'!$I$58)/(-$O$13)</f>
        <v>0</v>
      </c>
      <c r="AF282" s="255">
        <f>(AI282)*('Prod Energie'!$I$62)/(-$P$13)</f>
        <v>0</v>
      </c>
      <c r="AG282" s="255">
        <v>0</v>
      </c>
      <c r="AH282" s="255">
        <f>(AI282)*'Prod Energie'!$I$56/(-$Q$13)</f>
        <v>0</v>
      </c>
      <c r="AI282" s="243">
        <f>AI293/(1+$F$17+$F$18)</f>
        <v>-771.85964199069906</v>
      </c>
      <c r="AJ282" s="243">
        <v>0</v>
      </c>
      <c r="AK282" s="243">
        <v>0</v>
      </c>
      <c r="AL282" s="254">
        <f t="shared" ref="AL282:AL293" si="77">SUM(W282:AK282)</f>
        <v>625.87618811002483</v>
      </c>
    </row>
    <row r="283" spans="1:38" ht="14.4" customHeight="1">
      <c r="A283" s="506"/>
      <c r="B283" s="252" t="s">
        <v>376</v>
      </c>
      <c r="C283" s="243">
        <v>0</v>
      </c>
      <c r="D283" s="243">
        <v>0</v>
      </c>
      <c r="E283" s="243">
        <v>0</v>
      </c>
      <c r="F283" s="243">
        <v>0</v>
      </c>
      <c r="G283" s="243">
        <v>0</v>
      </c>
      <c r="H283" s="243">
        <v>0</v>
      </c>
      <c r="I283" s="255">
        <f t="shared" ref="I283:N283" si="78">$P$283*$L$18*V$17</f>
        <v>0</v>
      </c>
      <c r="J283" s="255">
        <f t="shared" si="78"/>
        <v>0</v>
      </c>
      <c r="K283" s="255">
        <f t="shared" si="78"/>
        <v>0</v>
      </c>
      <c r="L283" s="255">
        <f t="shared" si="78"/>
        <v>0</v>
      </c>
      <c r="M283" s="255">
        <f t="shared" si="78"/>
        <v>0</v>
      </c>
      <c r="N283" s="255">
        <f t="shared" si="78"/>
        <v>0</v>
      </c>
      <c r="O283" s="243">
        <v>0</v>
      </c>
      <c r="P283" s="243">
        <f>P293/(1+$R$18)</f>
        <v>0</v>
      </c>
      <c r="Q283" s="243">
        <v>0</v>
      </c>
      <c r="R283" s="254">
        <f t="shared" si="76"/>
        <v>0</v>
      </c>
      <c r="U283" s="506"/>
      <c r="V283" s="252" t="s">
        <v>376</v>
      </c>
      <c r="W283" s="243">
        <v>0</v>
      </c>
      <c r="X283" s="243">
        <v>0</v>
      </c>
      <c r="Y283" s="243">
        <v>0</v>
      </c>
      <c r="Z283" s="243">
        <v>0</v>
      </c>
      <c r="AA283" s="243">
        <v>0</v>
      </c>
      <c r="AB283" s="243">
        <v>0</v>
      </c>
      <c r="AC283" s="255">
        <f t="shared" ref="AC283:AH283" si="79">$AJ$283*$L$18*V$17</f>
        <v>0</v>
      </c>
      <c r="AD283" s="255">
        <f t="shared" si="79"/>
        <v>0</v>
      </c>
      <c r="AE283" s="255">
        <f t="shared" si="79"/>
        <v>0</v>
      </c>
      <c r="AF283" s="255">
        <f t="shared" si="79"/>
        <v>0</v>
      </c>
      <c r="AG283" s="255">
        <f t="shared" si="79"/>
        <v>0</v>
      </c>
      <c r="AH283" s="255">
        <f t="shared" si="79"/>
        <v>0</v>
      </c>
      <c r="AI283" s="243">
        <v>0</v>
      </c>
      <c r="AJ283" s="243">
        <f>AJ293/(1+$R$18)</f>
        <v>0</v>
      </c>
      <c r="AK283" s="243">
        <v>0</v>
      </c>
      <c r="AL283" s="254">
        <f t="shared" si="77"/>
        <v>0</v>
      </c>
    </row>
    <row r="284" spans="1:38" ht="14.4" customHeight="1">
      <c r="A284" s="506"/>
      <c r="B284" s="252" t="s">
        <v>377</v>
      </c>
      <c r="C284" s="243">
        <v>0</v>
      </c>
      <c r="D284" s="243">
        <v>0</v>
      </c>
      <c r="E284" s="243">
        <v>0</v>
      </c>
      <c r="F284" s="243">
        <v>0</v>
      </c>
      <c r="G284" s="243">
        <v>0</v>
      </c>
      <c r="H284" s="243">
        <v>0</v>
      </c>
      <c r="I284" s="256">
        <v>0</v>
      </c>
      <c r="J284" s="256">
        <v>0</v>
      </c>
      <c r="K284" s="256">
        <v>0</v>
      </c>
      <c r="L284" s="256">
        <v>0</v>
      </c>
      <c r="M284" s="256">
        <v>0</v>
      </c>
      <c r="N284" s="256">
        <v>0</v>
      </c>
      <c r="O284" s="243">
        <v>0</v>
      </c>
      <c r="P284" s="243">
        <v>0</v>
      </c>
      <c r="Q284" s="243">
        <v>0</v>
      </c>
      <c r="R284" s="254">
        <f t="shared" si="76"/>
        <v>0</v>
      </c>
      <c r="U284" s="506"/>
      <c r="V284" s="252" t="s">
        <v>377</v>
      </c>
      <c r="W284" s="243">
        <v>0</v>
      </c>
      <c r="X284" s="243">
        <v>0</v>
      </c>
      <c r="Y284" s="243">
        <v>0</v>
      </c>
      <c r="Z284" s="243">
        <v>0</v>
      </c>
      <c r="AA284" s="243">
        <v>0</v>
      </c>
      <c r="AB284" s="243">
        <v>0</v>
      </c>
      <c r="AC284" s="256">
        <v>0</v>
      </c>
      <c r="AD284" s="256">
        <v>0</v>
      </c>
      <c r="AE284" s="256">
        <v>0</v>
      </c>
      <c r="AF284" s="256">
        <v>0</v>
      </c>
      <c r="AG284" s="256">
        <v>0</v>
      </c>
      <c r="AH284" s="256">
        <v>0</v>
      </c>
      <c r="AI284" s="243">
        <v>0</v>
      </c>
      <c r="AJ284" s="243">
        <v>0</v>
      </c>
      <c r="AK284" s="243">
        <v>0</v>
      </c>
      <c r="AL284" s="254">
        <f t="shared" si="77"/>
        <v>0</v>
      </c>
    </row>
    <row r="285" spans="1:38" ht="14.4" customHeight="1">
      <c r="A285" s="506"/>
      <c r="B285" s="252" t="s">
        <v>378</v>
      </c>
      <c r="C285" s="243">
        <v>0</v>
      </c>
      <c r="D285" s="243">
        <v>0</v>
      </c>
      <c r="E285" s="243">
        <v>0</v>
      </c>
      <c r="F285" s="243">
        <v>0</v>
      </c>
      <c r="G285" s="243">
        <v>0</v>
      </c>
      <c r="H285" s="243">
        <v>0</v>
      </c>
      <c r="I285" s="243">
        <v>0</v>
      </c>
      <c r="J285" s="243">
        <v>0</v>
      </c>
      <c r="K285" s="243">
        <v>0</v>
      </c>
      <c r="L285" s="243">
        <v>0</v>
      </c>
      <c r="M285" s="243">
        <v>0</v>
      </c>
      <c r="N285" s="243">
        <v>0</v>
      </c>
      <c r="O285" s="243">
        <v>0</v>
      </c>
      <c r="P285" s="243">
        <v>0</v>
      </c>
      <c r="Q285" s="243">
        <v>0</v>
      </c>
      <c r="R285" s="254">
        <f t="shared" si="76"/>
        <v>0</v>
      </c>
      <c r="U285" s="506"/>
      <c r="V285" s="252" t="s">
        <v>378</v>
      </c>
      <c r="W285" s="243">
        <v>0</v>
      </c>
      <c r="X285" s="243">
        <v>0</v>
      </c>
      <c r="Y285" s="243">
        <v>0</v>
      </c>
      <c r="Z285" s="243">
        <v>0</v>
      </c>
      <c r="AA285" s="243">
        <v>0</v>
      </c>
      <c r="AB285" s="243">
        <v>0</v>
      </c>
      <c r="AC285" s="243">
        <v>0</v>
      </c>
      <c r="AD285" s="243">
        <v>0</v>
      </c>
      <c r="AE285" s="243">
        <v>0</v>
      </c>
      <c r="AF285" s="243">
        <v>0</v>
      </c>
      <c r="AG285" s="243">
        <v>0</v>
      </c>
      <c r="AH285" s="243">
        <v>0</v>
      </c>
      <c r="AI285" s="243">
        <v>0</v>
      </c>
      <c r="AJ285" s="243">
        <v>0</v>
      </c>
      <c r="AK285" s="243">
        <v>0</v>
      </c>
      <c r="AL285" s="254">
        <f t="shared" si="77"/>
        <v>0</v>
      </c>
    </row>
    <row r="286" spans="1:38" ht="14.4" customHeight="1">
      <c r="A286" s="506"/>
      <c r="B286" s="252" t="s">
        <v>36</v>
      </c>
      <c r="C286" s="243">
        <v>0</v>
      </c>
      <c r="D286" s="243">
        <v>0</v>
      </c>
      <c r="E286" s="243">
        <v>0</v>
      </c>
      <c r="F286" s="243">
        <v>0</v>
      </c>
      <c r="G286" s="243">
        <v>0</v>
      </c>
      <c r="H286" s="243">
        <v>0</v>
      </c>
      <c r="I286" s="243">
        <v>0</v>
      </c>
      <c r="J286" s="243">
        <v>0</v>
      </c>
      <c r="K286" s="243">
        <v>0</v>
      </c>
      <c r="L286" s="243">
        <v>0</v>
      </c>
      <c r="M286" s="243">
        <v>0</v>
      </c>
      <c r="N286" s="243">
        <v>0</v>
      </c>
      <c r="O286" s="243">
        <v>0</v>
      </c>
      <c r="P286" s="243">
        <v>0</v>
      </c>
      <c r="Q286" s="243">
        <v>0</v>
      </c>
      <c r="R286" s="254">
        <f t="shared" si="76"/>
        <v>0</v>
      </c>
      <c r="U286" s="506"/>
      <c r="V286" s="252" t="s">
        <v>36</v>
      </c>
      <c r="W286" s="243">
        <v>0</v>
      </c>
      <c r="X286" s="243">
        <v>0</v>
      </c>
      <c r="Y286" s="243">
        <v>0</v>
      </c>
      <c r="Z286" s="243">
        <v>0</v>
      </c>
      <c r="AA286" s="243">
        <v>0</v>
      </c>
      <c r="AB286" s="243">
        <v>0</v>
      </c>
      <c r="AC286" s="243">
        <v>0</v>
      </c>
      <c r="AD286" s="243">
        <v>0</v>
      </c>
      <c r="AE286" s="243">
        <v>0</v>
      </c>
      <c r="AF286" s="243">
        <v>0</v>
      </c>
      <c r="AG286" s="243">
        <v>0</v>
      </c>
      <c r="AH286" s="243">
        <v>0</v>
      </c>
      <c r="AI286" s="243">
        <v>0</v>
      </c>
      <c r="AJ286" s="243">
        <v>0</v>
      </c>
      <c r="AK286" s="243">
        <v>0</v>
      </c>
      <c r="AL286" s="254">
        <f t="shared" si="77"/>
        <v>0</v>
      </c>
    </row>
    <row r="287" spans="1:38" ht="14.4" customHeight="1">
      <c r="A287" s="506"/>
      <c r="B287" s="252" t="s">
        <v>379</v>
      </c>
      <c r="C287" s="243">
        <v>0</v>
      </c>
      <c r="D287" s="243">
        <v>0</v>
      </c>
      <c r="E287" s="243">
        <v>0</v>
      </c>
      <c r="F287" s="243">
        <v>0</v>
      </c>
      <c r="G287" s="243">
        <v>0</v>
      </c>
      <c r="H287" s="243">
        <v>0</v>
      </c>
      <c r="I287" s="243">
        <v>0</v>
      </c>
      <c r="J287" s="243">
        <v>0</v>
      </c>
      <c r="K287" s="243">
        <v>0</v>
      </c>
      <c r="L287" s="243">
        <v>0</v>
      </c>
      <c r="M287" s="243">
        <v>0</v>
      </c>
      <c r="N287" s="243">
        <v>0</v>
      </c>
      <c r="O287" s="243">
        <v>0</v>
      </c>
      <c r="P287" s="243">
        <v>0</v>
      </c>
      <c r="Q287" s="243">
        <v>0</v>
      </c>
      <c r="R287" s="254">
        <f t="shared" si="76"/>
        <v>0</v>
      </c>
      <c r="U287" s="506"/>
      <c r="V287" s="252" t="s">
        <v>379</v>
      </c>
      <c r="W287" s="243">
        <v>0</v>
      </c>
      <c r="X287" s="243">
        <v>0</v>
      </c>
      <c r="Y287" s="243">
        <v>0</v>
      </c>
      <c r="Z287" s="243">
        <v>0</v>
      </c>
      <c r="AA287" s="243">
        <v>0</v>
      </c>
      <c r="AB287" s="243">
        <v>0</v>
      </c>
      <c r="AC287" s="243">
        <v>0</v>
      </c>
      <c r="AD287" s="243">
        <v>0</v>
      </c>
      <c r="AE287" s="243">
        <v>0</v>
      </c>
      <c r="AF287" s="243">
        <v>0</v>
      </c>
      <c r="AG287" s="243">
        <v>0</v>
      </c>
      <c r="AH287" s="243">
        <v>0</v>
      </c>
      <c r="AI287" s="243">
        <v>0</v>
      </c>
      <c r="AJ287" s="243">
        <v>0</v>
      </c>
      <c r="AK287" s="243">
        <v>0</v>
      </c>
      <c r="AL287" s="254">
        <f t="shared" si="77"/>
        <v>0</v>
      </c>
    </row>
    <row r="288" spans="1:38" ht="14.4" customHeight="1">
      <c r="A288" s="506"/>
      <c r="B288" s="252" t="s">
        <v>380</v>
      </c>
      <c r="C288" s="243">
        <v>0</v>
      </c>
      <c r="D288" s="243">
        <v>0</v>
      </c>
      <c r="E288" s="243">
        <v>0</v>
      </c>
      <c r="F288" s="243">
        <v>0</v>
      </c>
      <c r="G288" s="243">
        <v>0</v>
      </c>
      <c r="H288" s="243">
        <v>0</v>
      </c>
      <c r="I288" s="243">
        <v>0</v>
      </c>
      <c r="J288" s="243">
        <v>0</v>
      </c>
      <c r="K288" s="243">
        <v>0</v>
      </c>
      <c r="L288" s="243">
        <v>0</v>
      </c>
      <c r="M288" s="243">
        <v>0</v>
      </c>
      <c r="N288" s="243">
        <v>0</v>
      </c>
      <c r="O288" s="243">
        <v>0</v>
      </c>
      <c r="P288" s="243">
        <v>0</v>
      </c>
      <c r="Q288" s="243">
        <v>0</v>
      </c>
      <c r="R288" s="254">
        <f t="shared" si="76"/>
        <v>0</v>
      </c>
      <c r="U288" s="506"/>
      <c r="V288" s="252" t="s">
        <v>380</v>
      </c>
      <c r="W288" s="243">
        <v>0</v>
      </c>
      <c r="X288" s="243">
        <v>0</v>
      </c>
      <c r="Y288" s="243">
        <v>0</v>
      </c>
      <c r="Z288" s="243">
        <v>0</v>
      </c>
      <c r="AA288" s="243">
        <v>0</v>
      </c>
      <c r="AB288" s="243">
        <v>0</v>
      </c>
      <c r="AC288" s="243">
        <v>0</v>
      </c>
      <c r="AD288" s="243">
        <v>0</v>
      </c>
      <c r="AE288" s="243">
        <v>0</v>
      </c>
      <c r="AF288" s="243">
        <v>0</v>
      </c>
      <c r="AG288" s="243">
        <v>0</v>
      </c>
      <c r="AH288" s="243">
        <v>0</v>
      </c>
      <c r="AI288" s="243">
        <v>0</v>
      </c>
      <c r="AJ288" s="243">
        <v>0</v>
      </c>
      <c r="AK288" s="243">
        <v>0</v>
      </c>
      <c r="AL288" s="254">
        <f t="shared" si="77"/>
        <v>0</v>
      </c>
    </row>
    <row r="289" spans="1:38" ht="14.4" customHeight="1">
      <c r="A289" s="506"/>
      <c r="B289" s="252" t="s">
        <v>381</v>
      </c>
      <c r="C289" s="243">
        <v>0</v>
      </c>
      <c r="D289" s="243">
        <v>0</v>
      </c>
      <c r="E289" s="243">
        <v>0</v>
      </c>
      <c r="F289" s="243">
        <v>0</v>
      </c>
      <c r="G289" s="243">
        <v>0</v>
      </c>
      <c r="H289" s="243">
        <v>0</v>
      </c>
      <c r="I289" s="243">
        <v>0</v>
      </c>
      <c r="J289" s="243">
        <v>0</v>
      </c>
      <c r="K289" s="243">
        <v>0</v>
      </c>
      <c r="L289" s="243">
        <v>0</v>
      </c>
      <c r="M289" s="243">
        <v>0</v>
      </c>
      <c r="N289" s="243">
        <v>0</v>
      </c>
      <c r="O289" s="243">
        <v>0</v>
      </c>
      <c r="P289" s="243">
        <v>0</v>
      </c>
      <c r="Q289" s="243">
        <v>0</v>
      </c>
      <c r="R289" s="254">
        <f t="shared" si="76"/>
        <v>0</v>
      </c>
      <c r="U289" s="506"/>
      <c r="V289" s="252" t="s">
        <v>381</v>
      </c>
      <c r="W289" s="243">
        <v>0</v>
      </c>
      <c r="X289" s="243">
        <v>0</v>
      </c>
      <c r="Y289" s="243">
        <v>0</v>
      </c>
      <c r="Z289" s="243">
        <v>0</v>
      </c>
      <c r="AA289" s="243">
        <v>0</v>
      </c>
      <c r="AB289" s="243">
        <v>0</v>
      </c>
      <c r="AC289" s="243">
        <v>0</v>
      </c>
      <c r="AD289" s="243">
        <v>0</v>
      </c>
      <c r="AE289" s="243">
        <v>0</v>
      </c>
      <c r="AF289" s="243">
        <v>0</v>
      </c>
      <c r="AG289" s="243">
        <v>0</v>
      </c>
      <c r="AH289" s="243">
        <v>0</v>
      </c>
      <c r="AI289" s="243">
        <v>0</v>
      </c>
      <c r="AJ289" s="243">
        <v>0</v>
      </c>
      <c r="AK289" s="243">
        <v>0</v>
      </c>
      <c r="AL289" s="254">
        <f t="shared" si="77"/>
        <v>0</v>
      </c>
    </row>
    <row r="290" spans="1:38" ht="14.4" customHeight="1">
      <c r="A290" s="506"/>
      <c r="B290" s="252" t="s">
        <v>37</v>
      </c>
      <c r="C290" s="243">
        <v>0</v>
      </c>
      <c r="D290" s="243">
        <v>0</v>
      </c>
      <c r="E290" s="243">
        <v>0</v>
      </c>
      <c r="F290" s="243">
        <v>0</v>
      </c>
      <c r="G290" s="243">
        <v>0</v>
      </c>
      <c r="H290" s="243">
        <v>0</v>
      </c>
      <c r="I290" s="243">
        <v>0</v>
      </c>
      <c r="J290" s="243">
        <v>0</v>
      </c>
      <c r="K290" s="243">
        <v>0</v>
      </c>
      <c r="L290" s="243">
        <v>0</v>
      </c>
      <c r="M290" s="243">
        <v>0</v>
      </c>
      <c r="N290" s="243">
        <v>0</v>
      </c>
      <c r="O290" s="243">
        <v>0</v>
      </c>
      <c r="P290" s="243">
        <v>0</v>
      </c>
      <c r="Q290" s="243">
        <v>0</v>
      </c>
      <c r="R290" s="254">
        <f t="shared" si="76"/>
        <v>0</v>
      </c>
      <c r="U290" s="506"/>
      <c r="V290" s="252" t="s">
        <v>37</v>
      </c>
      <c r="W290" s="243">
        <v>0</v>
      </c>
      <c r="X290" s="243">
        <v>0</v>
      </c>
      <c r="Y290" s="243">
        <v>0</v>
      </c>
      <c r="Z290" s="243">
        <v>0</v>
      </c>
      <c r="AA290" s="243">
        <v>0</v>
      </c>
      <c r="AB290" s="243">
        <v>0</v>
      </c>
      <c r="AC290" s="243">
        <v>0</v>
      </c>
      <c r="AD290" s="243">
        <v>0</v>
      </c>
      <c r="AE290" s="243">
        <v>0</v>
      </c>
      <c r="AF290" s="243">
        <v>0</v>
      </c>
      <c r="AG290" s="243">
        <v>0</v>
      </c>
      <c r="AH290" s="243">
        <v>0</v>
      </c>
      <c r="AI290" s="243">
        <v>0</v>
      </c>
      <c r="AJ290" s="243">
        <v>0</v>
      </c>
      <c r="AK290" s="243">
        <v>0</v>
      </c>
      <c r="AL290" s="254">
        <f t="shared" si="77"/>
        <v>0</v>
      </c>
    </row>
    <row r="291" spans="1:38" ht="14.4" customHeight="1">
      <c r="A291" s="506"/>
      <c r="B291" s="252" t="s">
        <v>38</v>
      </c>
      <c r="C291" s="243">
        <v>0</v>
      </c>
      <c r="D291" s="243">
        <v>0</v>
      </c>
      <c r="E291" s="243">
        <v>0</v>
      </c>
      <c r="F291" s="243">
        <v>0</v>
      </c>
      <c r="G291" s="243">
        <v>0</v>
      </c>
      <c r="H291" s="243">
        <v>0</v>
      </c>
      <c r="I291" s="243">
        <v>0</v>
      </c>
      <c r="J291" s="243">
        <v>0</v>
      </c>
      <c r="K291" s="243">
        <v>0</v>
      </c>
      <c r="L291" s="243">
        <v>0</v>
      </c>
      <c r="M291" s="243">
        <v>0</v>
      </c>
      <c r="N291" s="243">
        <v>0</v>
      </c>
      <c r="O291" s="243">
        <f>O282*$F$17</f>
        <v>4.8456059575806218</v>
      </c>
      <c r="P291" s="243">
        <v>0</v>
      </c>
      <c r="Q291" s="243">
        <v>0</v>
      </c>
      <c r="R291" s="254">
        <f t="shared" si="76"/>
        <v>4.8456059575806218</v>
      </c>
      <c r="S291" s="259">
        <f>R303+R293</f>
        <v>3314.3898114611011</v>
      </c>
      <c r="U291" s="506"/>
      <c r="V291" s="252" t="s">
        <v>38</v>
      </c>
      <c r="W291" s="243">
        <v>0</v>
      </c>
      <c r="X291" s="243">
        <v>0</v>
      </c>
      <c r="Y291" s="243">
        <v>0</v>
      </c>
      <c r="Z291" s="243">
        <v>0</v>
      </c>
      <c r="AA291" s="243">
        <v>0</v>
      </c>
      <c r="AB291" s="243">
        <v>0</v>
      </c>
      <c r="AC291" s="243">
        <v>0</v>
      </c>
      <c r="AD291" s="243">
        <v>0</v>
      </c>
      <c r="AE291" s="243">
        <v>0</v>
      </c>
      <c r="AF291" s="243">
        <v>0</v>
      </c>
      <c r="AG291" s="243">
        <v>0</v>
      </c>
      <c r="AH291" s="243">
        <v>0</v>
      </c>
      <c r="AI291" s="243">
        <f>AI282*$F$17</f>
        <v>4.9680133942886444</v>
      </c>
      <c r="AJ291" s="243">
        <v>0</v>
      </c>
      <c r="AK291" s="243">
        <v>0</v>
      </c>
      <c r="AL291" s="254">
        <f t="shared" si="77"/>
        <v>4.9680133942886444</v>
      </c>
    </row>
    <row r="292" spans="1:38" ht="14.4" customHeight="1">
      <c r="A292" s="506"/>
      <c r="B292" s="252" t="s">
        <v>39</v>
      </c>
      <c r="C292" s="243">
        <v>0</v>
      </c>
      <c r="D292" s="243">
        <v>0</v>
      </c>
      <c r="E292" s="243">
        <v>0</v>
      </c>
      <c r="F292" s="243">
        <v>0</v>
      </c>
      <c r="G292" s="243">
        <v>0</v>
      </c>
      <c r="H292" s="243">
        <v>0</v>
      </c>
      <c r="I292" s="243">
        <v>0</v>
      </c>
      <c r="J292" s="243">
        <v>0</v>
      </c>
      <c r="K292" s="243">
        <v>0</v>
      </c>
      <c r="L292" s="243">
        <v>0</v>
      </c>
      <c r="M292" s="243">
        <v>0</v>
      </c>
      <c r="N292" s="243">
        <v>0</v>
      </c>
      <c r="O292" s="243">
        <f>O282*$F$18</f>
        <v>46.130341099000134</v>
      </c>
      <c r="P292" s="243">
        <f>P283*$R$18</f>
        <v>0</v>
      </c>
      <c r="Q292" s="243">
        <v>0</v>
      </c>
      <c r="R292" s="254">
        <f t="shared" si="76"/>
        <v>46.130341099000134</v>
      </c>
      <c r="U292" s="506"/>
      <c r="V292" s="252" t="s">
        <v>39</v>
      </c>
      <c r="W292" s="243">
        <v>0</v>
      </c>
      <c r="X292" s="243">
        <v>0</v>
      </c>
      <c r="Y292" s="243">
        <v>0</v>
      </c>
      <c r="Z292" s="243">
        <v>0</v>
      </c>
      <c r="AA292" s="243">
        <v>0</v>
      </c>
      <c r="AB292" s="243">
        <v>0</v>
      </c>
      <c r="AC292" s="243">
        <v>0</v>
      </c>
      <c r="AD292" s="243">
        <v>0</v>
      </c>
      <c r="AE292" s="243">
        <v>0</v>
      </c>
      <c r="AF292" s="243">
        <v>0</v>
      </c>
      <c r="AG292" s="243">
        <v>0</v>
      </c>
      <c r="AH292" s="243">
        <v>0</v>
      </c>
      <c r="AI292" s="243">
        <f>AI282*$F$18</f>
        <v>47.295664251115184</v>
      </c>
      <c r="AJ292" s="243">
        <f>AJ283*$R$18</f>
        <v>0</v>
      </c>
      <c r="AK292" s="243">
        <v>0</v>
      </c>
      <c r="AL292" s="254">
        <f t="shared" si="77"/>
        <v>47.295664251115184</v>
      </c>
    </row>
    <row r="293" spans="1:38" ht="14.4" customHeight="1">
      <c r="A293" s="506"/>
      <c r="B293" s="247" t="s">
        <v>40</v>
      </c>
      <c r="C293" s="248">
        <f>SUM(C281:C292)</f>
        <v>0</v>
      </c>
      <c r="D293" s="248">
        <f t="shared" ref="D293:N293" si="80">SUM(D281:D292)</f>
        <v>0</v>
      </c>
      <c r="E293" s="248">
        <f t="shared" si="80"/>
        <v>1038.172835213395</v>
      </c>
      <c r="F293" s="248">
        <f t="shared" si="80"/>
        <v>0</v>
      </c>
      <c r="G293" s="248">
        <f t="shared" si="80"/>
        <v>0</v>
      </c>
      <c r="H293" s="248">
        <f t="shared" si="80"/>
        <v>296.0456585985101</v>
      </c>
      <c r="I293" s="248">
        <f t="shared" si="80"/>
        <v>0</v>
      </c>
      <c r="J293" s="248">
        <f t="shared" si="80"/>
        <v>0</v>
      </c>
      <c r="K293" s="248">
        <f t="shared" si="80"/>
        <v>0</v>
      </c>
      <c r="L293" s="248">
        <f t="shared" si="80"/>
        <v>0</v>
      </c>
      <c r="M293" s="248">
        <f t="shared" si="80"/>
        <v>0</v>
      </c>
      <c r="N293" s="248">
        <f t="shared" si="80"/>
        <v>0</v>
      </c>
      <c r="O293" s="248">
        <f>-O303</f>
        <v>-701.8657590358232</v>
      </c>
      <c r="P293" s="248">
        <f>-P295</f>
        <v>0</v>
      </c>
      <c r="Q293" s="248">
        <f>SUM(Q281:Q292)</f>
        <v>0</v>
      </c>
      <c r="R293" s="248">
        <f t="shared" si="76"/>
        <v>632.35273477608189</v>
      </c>
      <c r="U293" s="506"/>
      <c r="V293" s="247" t="s">
        <v>40</v>
      </c>
      <c r="W293" s="248">
        <f>SUM(W281:W292)</f>
        <v>0</v>
      </c>
      <c r="X293" s="248">
        <f t="shared" ref="X293:AH293" si="81">SUM(X281:X292)</f>
        <v>0</v>
      </c>
      <c r="Y293" s="248">
        <f t="shared" si="81"/>
        <v>925.3977552531677</v>
      </c>
      <c r="Z293" s="248">
        <f t="shared" si="81"/>
        <v>0</v>
      </c>
      <c r="AA293" s="248">
        <f t="shared" si="81"/>
        <v>0</v>
      </c>
      <c r="AB293" s="248">
        <f t="shared" si="81"/>
        <v>292.91566623380453</v>
      </c>
      <c r="AC293" s="248">
        <f t="shared" si="81"/>
        <v>179.42240861375171</v>
      </c>
      <c r="AD293" s="248">
        <f t="shared" si="81"/>
        <v>0</v>
      </c>
      <c r="AE293" s="248">
        <f t="shared" si="81"/>
        <v>0</v>
      </c>
      <c r="AF293" s="248">
        <f t="shared" si="81"/>
        <v>0</v>
      </c>
      <c r="AG293" s="248">
        <f t="shared" si="81"/>
        <v>0</v>
      </c>
      <c r="AH293" s="248">
        <f t="shared" si="81"/>
        <v>0</v>
      </c>
      <c r="AI293" s="248">
        <f>-AI303</f>
        <v>-719.59596434529522</v>
      </c>
      <c r="AJ293" s="248">
        <f>-AJ295</f>
        <v>0</v>
      </c>
      <c r="AK293" s="248">
        <f>SUM(AK281:AK292)</f>
        <v>0</v>
      </c>
      <c r="AL293" s="248">
        <f t="shared" si="77"/>
        <v>678.13986575542867</v>
      </c>
    </row>
    <row r="294" spans="1:38" ht="14.4" customHeight="1">
      <c r="A294" s="506"/>
      <c r="B294" s="249"/>
      <c r="C294" s="250"/>
      <c r="D294" s="250"/>
      <c r="E294" s="257"/>
      <c r="F294" s="250"/>
      <c r="G294" s="250"/>
      <c r="H294" s="250"/>
      <c r="I294" s="257"/>
      <c r="J294" s="250"/>
      <c r="K294" s="250"/>
      <c r="L294" s="250"/>
      <c r="M294" s="258"/>
      <c r="N294" s="250"/>
      <c r="O294" s="250"/>
      <c r="P294" s="250"/>
      <c r="Q294" s="250"/>
      <c r="R294" s="250"/>
      <c r="U294" s="506"/>
      <c r="V294" s="249"/>
      <c r="W294" s="250"/>
      <c r="X294" s="250"/>
      <c r="Y294" s="257"/>
      <c r="Z294" s="250"/>
      <c r="AA294" s="250"/>
      <c r="AB294" s="250"/>
      <c r="AC294" s="257"/>
      <c r="AD294" s="250"/>
      <c r="AE294" s="250"/>
      <c r="AF294" s="250"/>
      <c r="AG294" s="258"/>
      <c r="AH294" s="250"/>
      <c r="AI294" s="250"/>
      <c r="AJ294" s="250"/>
      <c r="AK294" s="250"/>
      <c r="AL294" s="250"/>
    </row>
    <row r="295" spans="1:38" ht="14.4" customHeight="1">
      <c r="A295" s="506"/>
      <c r="B295" s="252" t="s">
        <v>41</v>
      </c>
      <c r="C295" s="243">
        <v>0</v>
      </c>
      <c r="D295" s="243">
        <v>0</v>
      </c>
      <c r="E295" s="243">
        <f>Industrie!$I$35</f>
        <v>0</v>
      </c>
      <c r="F295" s="243">
        <v>0</v>
      </c>
      <c r="G295" s="243">
        <v>0</v>
      </c>
      <c r="H295" s="243">
        <v>0</v>
      </c>
      <c r="I295" s="243">
        <v>0</v>
      </c>
      <c r="J295" s="243">
        <v>0</v>
      </c>
      <c r="K295" s="243">
        <v>0</v>
      </c>
      <c r="L295" s="243">
        <v>0</v>
      </c>
      <c r="M295" s="243">
        <v>0</v>
      </c>
      <c r="N295" s="243">
        <v>0</v>
      </c>
      <c r="O295" s="243">
        <f>Industrie!$I$36</f>
        <v>307.46991086346873</v>
      </c>
      <c r="P295" s="243">
        <f>Industrie!$I$39</f>
        <v>0</v>
      </c>
      <c r="Q295" s="243">
        <v>0</v>
      </c>
      <c r="R295" s="254">
        <f>SUM(C295:Q295)</f>
        <v>307.46991086346873</v>
      </c>
      <c r="U295" s="506"/>
      <c r="V295" s="252" t="s">
        <v>41</v>
      </c>
      <c r="W295" s="243">
        <v>0</v>
      </c>
      <c r="X295" s="243">
        <v>0</v>
      </c>
      <c r="Y295" s="243">
        <f>Industrie!$I$56</f>
        <v>0</v>
      </c>
      <c r="Z295" s="243">
        <v>0</v>
      </c>
      <c r="AA295" s="243">
        <v>0</v>
      </c>
      <c r="AB295" s="243">
        <v>0</v>
      </c>
      <c r="AC295" s="243">
        <f>Industrie!$I$62*$V$13/SUM($V$13:$AA$13)</f>
        <v>0</v>
      </c>
      <c r="AD295" s="243">
        <f>Industrie!$I$62*$W$13/SUM($V$13:$AA$13)</f>
        <v>0</v>
      </c>
      <c r="AE295" s="243">
        <f>Industrie!$I$62*$X$13/SUM($V$13:$AA$13)</f>
        <v>0</v>
      </c>
      <c r="AF295" s="243">
        <f>Industrie!$I$62*$Y$13/SUM($V$13:$AA$13)</f>
        <v>0</v>
      </c>
      <c r="AG295" s="243">
        <f>Industrie!$I$62*$Z$13/SUM($V$13:$AA$13)</f>
        <v>0</v>
      </c>
      <c r="AH295" s="243">
        <f>Industrie!$I$62*$AA$13/SUM($V$13:$AA$13)</f>
        <v>0</v>
      </c>
      <c r="AI295" s="243">
        <f>Industrie!$I$57</f>
        <v>207.64201772597886</v>
      </c>
      <c r="AJ295" s="243">
        <f>Industrie!$I$63</f>
        <v>0</v>
      </c>
      <c r="AK295" s="243">
        <v>0</v>
      </c>
      <c r="AL295" s="254">
        <f>SUM(W295:AK295)</f>
        <v>207.64201772597886</v>
      </c>
    </row>
    <row r="296" spans="1:38" ht="14.4" customHeight="1">
      <c r="A296" s="506"/>
      <c r="B296" s="252" t="s">
        <v>42</v>
      </c>
      <c r="C296" s="243">
        <v>0</v>
      </c>
      <c r="D296" s="243">
        <v>0</v>
      </c>
      <c r="E296" s="243">
        <f>Transports!$K$49+Transports!$I$106+Transports!$I$203</f>
        <v>1754.7304145531548</v>
      </c>
      <c r="F296" s="243">
        <v>0</v>
      </c>
      <c r="G296" s="243">
        <v>0</v>
      </c>
      <c r="H296" s="243">
        <v>0</v>
      </c>
      <c r="I296" s="243">
        <v>0</v>
      </c>
      <c r="J296" s="243">
        <v>0</v>
      </c>
      <c r="K296" s="243">
        <v>0</v>
      </c>
      <c r="L296" s="243">
        <v>0</v>
      </c>
      <c r="M296" s="243">
        <v>0</v>
      </c>
      <c r="N296" s="243">
        <v>0</v>
      </c>
      <c r="O296" s="243">
        <f>Transports!$K$50+Transports!$I$107</f>
        <v>54.822853426294905</v>
      </c>
      <c r="P296" s="243">
        <v>0</v>
      </c>
      <c r="Q296" s="243">
        <v>0</v>
      </c>
      <c r="R296" s="254">
        <f t="shared" ref="R296:R303" si="82">SUM(C296:Q296)</f>
        <v>1809.5532679794496</v>
      </c>
      <c r="U296" s="506"/>
      <c r="V296" s="252" t="s">
        <v>42</v>
      </c>
      <c r="W296" s="243">
        <v>0</v>
      </c>
      <c r="X296" s="243">
        <v>0</v>
      </c>
      <c r="Y296" s="243">
        <f>Transports!$K76+Transports!$I$150+Transports!$I$238</f>
        <v>277.4351769829882</v>
      </c>
      <c r="Z296" s="243">
        <v>0</v>
      </c>
      <c r="AA296" s="243">
        <v>0</v>
      </c>
      <c r="AB296" s="243">
        <v>0</v>
      </c>
      <c r="AC296" s="243">
        <v>0</v>
      </c>
      <c r="AD296" s="243">
        <v>0</v>
      </c>
      <c r="AE296" s="243">
        <f>Transports!$I$236+Transports!$I$237</f>
        <v>75.876348741892571</v>
      </c>
      <c r="AF296" s="243">
        <v>0</v>
      </c>
      <c r="AG296" s="243">
        <v>0</v>
      </c>
      <c r="AH296" s="243">
        <v>0</v>
      </c>
      <c r="AI296" s="243">
        <f>Transports!$K$77+Transports!$I$151</f>
        <v>188.15214661931634</v>
      </c>
      <c r="AJ296" s="243">
        <v>0</v>
      </c>
      <c r="AK296" s="243">
        <v>0</v>
      </c>
      <c r="AL296" s="254">
        <f t="shared" ref="AL296:AL303" si="83">SUM(W296:AK296)</f>
        <v>541.46367234419711</v>
      </c>
    </row>
    <row r="297" spans="1:38" ht="14.4" customHeight="1">
      <c r="A297" s="506"/>
      <c r="B297" s="252" t="s">
        <v>43</v>
      </c>
      <c r="C297" s="243">
        <v>0</v>
      </c>
      <c r="D297" s="243">
        <v>0</v>
      </c>
      <c r="E297" s="243">
        <f>'Résidentiel-tertiaire'!$I$172</f>
        <v>85.789071803852906</v>
      </c>
      <c r="F297" s="243">
        <v>0</v>
      </c>
      <c r="G297" s="243">
        <v>0</v>
      </c>
      <c r="H297" s="243">
        <v>0</v>
      </c>
      <c r="I297" s="243">
        <f>'Résidentiel-tertiaire'!$I$173*$I$51/SUM($I$51:$N$51)</f>
        <v>0</v>
      </c>
      <c r="J297" s="243">
        <f>'Résidentiel-tertiaire'!$I$173*$J$51/SUM($I$51:$N$51)</f>
        <v>0</v>
      </c>
      <c r="K297" s="243">
        <f>'Résidentiel-tertiaire'!$I$173*$K$51/SUM($I$51:$N$51)</f>
        <v>0</v>
      </c>
      <c r="L297" s="243">
        <f>'Résidentiel-tertiaire'!$I$173*$L$51/SUM($I$51:$N$51)</f>
        <v>0</v>
      </c>
      <c r="M297" s="243">
        <f>'Résidentiel-tertiaire'!$I$173*$M$51/SUM($I$51:$N$51)</f>
        <v>0</v>
      </c>
      <c r="N297" s="243">
        <f>'Résidentiel-tertiaire'!$I$173*$N$51/SUM($I$51:$N$51)</f>
        <v>20.897338003502632</v>
      </c>
      <c r="O297" s="243">
        <f>'Résidentiel-tertiaire'!$I$174</f>
        <v>229.87071803852893</v>
      </c>
      <c r="P297" s="243">
        <v>0</v>
      </c>
      <c r="Q297" s="243">
        <v>0</v>
      </c>
      <c r="R297" s="254">
        <f t="shared" si="82"/>
        <v>336.55712784588445</v>
      </c>
      <c r="U297" s="506"/>
      <c r="V297" s="252" t="s">
        <v>43</v>
      </c>
      <c r="W297" s="243">
        <v>0</v>
      </c>
      <c r="X297" s="243">
        <v>0</v>
      </c>
      <c r="Y297" s="243">
        <f>'Résidentiel-tertiaire'!$I$187</f>
        <v>0</v>
      </c>
      <c r="Z297" s="243">
        <v>0</v>
      </c>
      <c r="AA297" s="243">
        <v>0</v>
      </c>
      <c r="AB297" s="243">
        <v>0</v>
      </c>
      <c r="AC297" s="243">
        <f>'Résidentiel-tertiaire'!$I$188*$V$14/SUM($V$14:$AA$14)</f>
        <v>0</v>
      </c>
      <c r="AD297" s="243">
        <f>'Résidentiel-tertiaire'!$I$188*$W$14/SUM($V$14:$AA$14)</f>
        <v>0</v>
      </c>
      <c r="AE297" s="243">
        <f>'Résidentiel-tertiaire'!$I$188*$X$14/SUM($V$14:$AA$14)</f>
        <v>0</v>
      </c>
      <c r="AF297" s="243">
        <f>'Résidentiel-tertiaire'!$I$188*$Y$14/SUM($V$14:$AA$14)</f>
        <v>0</v>
      </c>
      <c r="AG297" s="243">
        <f>'Résidentiel-tertiaire'!$I$188*$Z$14/SUM($V$14:$AA$14)</f>
        <v>0</v>
      </c>
      <c r="AH297" s="243">
        <f>'Résidentiel-tertiaire'!$I$188*$AA$14/SUM($V$14:$AA$14)</f>
        <v>36.634500000000003</v>
      </c>
      <c r="AI297" s="243">
        <f>'Résidentiel-tertiaire'!$I$189</f>
        <v>212.48010000000002</v>
      </c>
      <c r="AJ297" s="243">
        <v>0</v>
      </c>
      <c r="AK297" s="243">
        <v>0</v>
      </c>
      <c r="AL297" s="254">
        <f t="shared" si="83"/>
        <v>249.11460000000002</v>
      </c>
    </row>
    <row r="298" spans="1:38" ht="14.4" customHeight="1">
      <c r="A298" s="506"/>
      <c r="B298" s="252" t="s">
        <v>44</v>
      </c>
      <c r="C298" s="243">
        <v>0</v>
      </c>
      <c r="D298" s="243">
        <v>0</v>
      </c>
      <c r="E298" s="243">
        <f>'Résidentiel-tertiaire'!$I$177</f>
        <v>37.395236427320484</v>
      </c>
      <c r="F298" s="243">
        <v>0</v>
      </c>
      <c r="G298" s="243">
        <v>0</v>
      </c>
      <c r="H298" s="243">
        <v>0</v>
      </c>
      <c r="I298" s="243">
        <v>0</v>
      </c>
      <c r="J298" s="243">
        <v>0</v>
      </c>
      <c r="K298" s="243">
        <v>0</v>
      </c>
      <c r="L298" s="243">
        <v>0</v>
      </c>
      <c r="M298" s="243">
        <v>0</v>
      </c>
      <c r="N298" s="243">
        <v>0</v>
      </c>
      <c r="O298" s="243">
        <f>'Résidentiel-tertiaire'!$I$180</f>
        <v>109.70227670753064</v>
      </c>
      <c r="P298" s="243">
        <v>0</v>
      </c>
      <c r="Q298" s="243">
        <v>0</v>
      </c>
      <c r="R298" s="254">
        <f t="shared" si="82"/>
        <v>147.09751313485111</v>
      </c>
      <c r="U298" s="506"/>
      <c r="V298" s="252" t="s">
        <v>44</v>
      </c>
      <c r="W298" s="243">
        <v>0</v>
      </c>
      <c r="X298" s="243">
        <v>0</v>
      </c>
      <c r="Y298" s="243">
        <f>'Résidentiel-tertiaire'!$I$192</f>
        <v>0</v>
      </c>
      <c r="Z298" s="243">
        <v>0</v>
      </c>
      <c r="AA298" s="243">
        <v>0</v>
      </c>
      <c r="AB298" s="243">
        <v>0</v>
      </c>
      <c r="AC298" s="243">
        <f>'Résidentiel-tertiaire'!$I$193*$V$15/SUM($V$15:$AA$15)</f>
        <v>0</v>
      </c>
      <c r="AD298" s="243">
        <f>'Résidentiel-tertiaire'!$I$193*$W$15/SUM($V$15:$AA$15)</f>
        <v>0</v>
      </c>
      <c r="AE298" s="243">
        <f>'Résidentiel-tertiaire'!$I$193*$X$15/SUM($V$15:$AA$15)</f>
        <v>0</v>
      </c>
      <c r="AF298" s="243">
        <f>'Résidentiel-tertiaire'!$I$193*$Y$15/SUM($V$15:$AA$15)</f>
        <v>0</v>
      </c>
      <c r="AG298" s="243">
        <f>'Résidentiel-tertiaire'!$I$193*$Z$15/SUM($V$15:$AA$15)</f>
        <v>0</v>
      </c>
      <c r="AH298" s="243">
        <f>'Résidentiel-tertiaire'!$I$193*$AA$15/SUM($V$15:$AA$15)</f>
        <v>0</v>
      </c>
      <c r="AI298" s="243">
        <f>'Résidentiel-tertiaire'!$I$194</f>
        <v>111.32169999999999</v>
      </c>
      <c r="AJ298" s="243">
        <v>0</v>
      </c>
      <c r="AK298" s="243">
        <v>0</v>
      </c>
      <c r="AL298" s="254">
        <f t="shared" si="83"/>
        <v>111.32169999999999</v>
      </c>
    </row>
    <row r="299" spans="1:38" ht="14.4" customHeight="1">
      <c r="A299" s="506"/>
      <c r="B299" s="252" t="s">
        <v>4</v>
      </c>
      <c r="C299" s="243">
        <v>0</v>
      </c>
      <c r="D299" s="243">
        <v>0</v>
      </c>
      <c r="E299" s="243">
        <f>Agriculture!$Y$27</f>
        <v>81.359256861365239</v>
      </c>
      <c r="F299" s="243">
        <v>0</v>
      </c>
      <c r="G299" s="243">
        <v>0</v>
      </c>
      <c r="H299" s="243">
        <v>0</v>
      </c>
      <c r="I299" s="243">
        <v>0</v>
      </c>
      <c r="J299" s="243">
        <v>0</v>
      </c>
      <c r="K299" s="243">
        <v>0</v>
      </c>
      <c r="L299" s="243">
        <v>0</v>
      </c>
      <c r="M299" s="243">
        <v>0</v>
      </c>
      <c r="N299" s="243">
        <v>0</v>
      </c>
      <c r="O299" s="243">
        <f>Agriculture!$Y$28</f>
        <v>0</v>
      </c>
      <c r="P299" s="243">
        <v>0</v>
      </c>
      <c r="Q299" s="243">
        <v>0</v>
      </c>
      <c r="R299" s="254">
        <f t="shared" si="82"/>
        <v>81.359256861365239</v>
      </c>
      <c r="U299" s="506"/>
      <c r="V299" s="252" t="s">
        <v>4</v>
      </c>
      <c r="W299" s="243">
        <v>0</v>
      </c>
      <c r="X299" s="243">
        <v>0</v>
      </c>
      <c r="Y299" s="243">
        <f>Agriculture!$AG$43</f>
        <v>0</v>
      </c>
      <c r="Z299" s="243">
        <v>0</v>
      </c>
      <c r="AA299" s="243">
        <v>0</v>
      </c>
      <c r="AB299" s="243">
        <v>0</v>
      </c>
      <c r="AC299" s="243">
        <v>0</v>
      </c>
      <c r="AD299" s="243">
        <v>0</v>
      </c>
      <c r="AE299" s="243">
        <f>Agriculture!$AG$45</f>
        <v>174.55815900000002</v>
      </c>
      <c r="AF299" s="243">
        <v>0</v>
      </c>
      <c r="AG299" s="243">
        <v>0</v>
      </c>
      <c r="AH299" s="243">
        <v>0</v>
      </c>
      <c r="AI299" s="243">
        <f>Agriculture!$AG$44</f>
        <v>0</v>
      </c>
      <c r="AJ299" s="243">
        <v>0</v>
      </c>
      <c r="AK299" s="243">
        <v>0</v>
      </c>
      <c r="AL299" s="254">
        <f t="shared" si="83"/>
        <v>174.55815900000002</v>
      </c>
    </row>
    <row r="300" spans="1:38" ht="14.4" customHeight="1">
      <c r="A300" s="506"/>
      <c r="B300" s="252" t="s">
        <v>382</v>
      </c>
      <c r="C300" s="243">
        <v>0</v>
      </c>
      <c r="D300" s="243">
        <v>0</v>
      </c>
      <c r="E300" s="243">
        <v>0</v>
      </c>
      <c r="F300" s="243">
        <v>0</v>
      </c>
      <c r="G300" s="243">
        <v>0</v>
      </c>
      <c r="H300" s="243">
        <v>0</v>
      </c>
      <c r="I300" s="243">
        <v>0</v>
      </c>
      <c r="J300" s="243">
        <v>0</v>
      </c>
      <c r="K300" s="243">
        <v>0</v>
      </c>
      <c r="L300" s="243">
        <v>0</v>
      </c>
      <c r="M300" s="243">
        <v>0</v>
      </c>
      <c r="N300" s="243">
        <v>0</v>
      </c>
      <c r="O300" s="243">
        <v>0</v>
      </c>
      <c r="P300" s="243">
        <v>0</v>
      </c>
      <c r="Q300" s="243">
        <v>0</v>
      </c>
      <c r="R300" s="254">
        <f t="shared" si="82"/>
        <v>0</v>
      </c>
      <c r="U300" s="506"/>
      <c r="V300" s="252" t="s">
        <v>382</v>
      </c>
      <c r="W300" s="243">
        <v>0</v>
      </c>
      <c r="X300" s="243">
        <v>0</v>
      </c>
      <c r="Y300" s="243">
        <v>0</v>
      </c>
      <c r="Z300" s="243">
        <v>0</v>
      </c>
      <c r="AA300" s="243">
        <v>0</v>
      </c>
      <c r="AB300" s="243">
        <v>0</v>
      </c>
      <c r="AC300" s="243">
        <v>0</v>
      </c>
      <c r="AD300" s="243">
        <v>0</v>
      </c>
      <c r="AE300" s="243">
        <v>0</v>
      </c>
      <c r="AF300" s="243">
        <v>0</v>
      </c>
      <c r="AG300" s="243">
        <v>0</v>
      </c>
      <c r="AH300" s="243">
        <v>0</v>
      </c>
      <c r="AI300" s="243">
        <v>0</v>
      </c>
      <c r="AJ300" s="243">
        <v>0</v>
      </c>
      <c r="AK300" s="243">
        <v>0</v>
      </c>
      <c r="AL300" s="254">
        <f t="shared" si="83"/>
        <v>0</v>
      </c>
    </row>
    <row r="301" spans="1:38" ht="14.4" customHeight="1">
      <c r="A301" s="506"/>
      <c r="B301" s="247" t="s">
        <v>45</v>
      </c>
      <c r="C301" s="248">
        <f>SUM(C295:C300)</f>
        <v>0</v>
      </c>
      <c r="D301" s="248">
        <f t="shared" ref="D301:Q301" si="84">SUM(D295:D300)</f>
        <v>0</v>
      </c>
      <c r="E301" s="248">
        <f t="shared" si="84"/>
        <v>1959.2739796456935</v>
      </c>
      <c r="F301" s="248">
        <f t="shared" si="84"/>
        <v>0</v>
      </c>
      <c r="G301" s="248">
        <f t="shared" si="84"/>
        <v>0</v>
      </c>
      <c r="H301" s="248">
        <f t="shared" si="84"/>
        <v>0</v>
      </c>
      <c r="I301" s="248">
        <f t="shared" si="84"/>
        <v>0</v>
      </c>
      <c r="J301" s="248">
        <f t="shared" si="84"/>
        <v>0</v>
      </c>
      <c r="K301" s="248">
        <f t="shared" si="84"/>
        <v>0</v>
      </c>
      <c r="L301" s="248">
        <f t="shared" si="84"/>
        <v>0</v>
      </c>
      <c r="M301" s="248">
        <f t="shared" si="84"/>
        <v>0</v>
      </c>
      <c r="N301" s="248">
        <f t="shared" si="84"/>
        <v>20.897338003502632</v>
      </c>
      <c r="O301" s="248">
        <f t="shared" si="84"/>
        <v>701.8657590358232</v>
      </c>
      <c r="P301" s="248">
        <f t="shared" si="84"/>
        <v>0</v>
      </c>
      <c r="Q301" s="248">
        <f t="shared" si="84"/>
        <v>0</v>
      </c>
      <c r="R301" s="248">
        <f t="shared" si="82"/>
        <v>2682.0370766850192</v>
      </c>
      <c r="U301" s="506"/>
      <c r="V301" s="247" t="s">
        <v>45</v>
      </c>
      <c r="W301" s="248">
        <f>SUM(W295:W300)</f>
        <v>0</v>
      </c>
      <c r="X301" s="248">
        <f t="shared" ref="X301:AK301" si="85">SUM(X295:X300)</f>
        <v>0</v>
      </c>
      <c r="Y301" s="248">
        <f t="shared" si="85"/>
        <v>277.4351769829882</v>
      </c>
      <c r="Z301" s="248">
        <f t="shared" si="85"/>
        <v>0</v>
      </c>
      <c r="AA301" s="248">
        <f t="shared" si="85"/>
        <v>0</v>
      </c>
      <c r="AB301" s="248">
        <f t="shared" si="85"/>
        <v>0</v>
      </c>
      <c r="AC301" s="248">
        <f t="shared" si="85"/>
        <v>0</v>
      </c>
      <c r="AD301" s="248">
        <f t="shared" si="85"/>
        <v>0</v>
      </c>
      <c r="AE301" s="248">
        <f t="shared" si="85"/>
        <v>250.43450774189259</v>
      </c>
      <c r="AF301" s="248">
        <f t="shared" si="85"/>
        <v>0</v>
      </c>
      <c r="AG301" s="248">
        <f t="shared" si="85"/>
        <v>0</v>
      </c>
      <c r="AH301" s="248">
        <f t="shared" si="85"/>
        <v>36.634500000000003</v>
      </c>
      <c r="AI301" s="248">
        <f t="shared" si="85"/>
        <v>719.59596434529522</v>
      </c>
      <c r="AJ301" s="248">
        <f t="shared" si="85"/>
        <v>0</v>
      </c>
      <c r="AK301" s="248">
        <f t="shared" si="85"/>
        <v>0</v>
      </c>
      <c r="AL301" s="248">
        <f t="shared" si="83"/>
        <v>1284.100149070176</v>
      </c>
    </row>
    <row r="302" spans="1:38" ht="14.4" customHeight="1">
      <c r="A302" s="506"/>
      <c r="B302" s="242" t="s">
        <v>46</v>
      </c>
      <c r="C302" s="243">
        <v>0</v>
      </c>
      <c r="D302" s="243">
        <v>0</v>
      </c>
      <c r="E302" s="243">
        <f>Industrie!$I$37</f>
        <v>0</v>
      </c>
      <c r="F302" s="243">
        <v>0</v>
      </c>
      <c r="G302" s="243">
        <v>0</v>
      </c>
      <c r="H302" s="243">
        <v>0</v>
      </c>
      <c r="I302" s="243">
        <v>0</v>
      </c>
      <c r="J302" s="243">
        <v>0</v>
      </c>
      <c r="K302" s="243">
        <v>0</v>
      </c>
      <c r="L302" s="243">
        <v>0</v>
      </c>
      <c r="M302" s="243">
        <v>0</v>
      </c>
      <c r="N302" s="243">
        <v>0</v>
      </c>
      <c r="O302" s="243">
        <v>0</v>
      </c>
      <c r="P302" s="243">
        <v>0</v>
      </c>
      <c r="Q302" s="243">
        <v>0</v>
      </c>
      <c r="R302" s="254">
        <f t="shared" si="82"/>
        <v>0</v>
      </c>
      <c r="U302" s="506"/>
      <c r="V302" s="242" t="s">
        <v>46</v>
      </c>
      <c r="W302" s="243">
        <v>0</v>
      </c>
      <c r="X302" s="243">
        <v>0</v>
      </c>
      <c r="Y302" s="243">
        <f>Industrie!$I$59</f>
        <v>0</v>
      </c>
      <c r="Z302" s="243">
        <v>0</v>
      </c>
      <c r="AA302" s="243">
        <v>0</v>
      </c>
      <c r="AB302" s="243">
        <v>0</v>
      </c>
      <c r="AC302" s="243">
        <v>0</v>
      </c>
      <c r="AD302" s="243">
        <v>0</v>
      </c>
      <c r="AE302" s="243">
        <v>0</v>
      </c>
      <c r="AF302" s="243">
        <v>0</v>
      </c>
      <c r="AG302" s="243">
        <v>0</v>
      </c>
      <c r="AH302" s="243">
        <v>0</v>
      </c>
      <c r="AI302" s="243">
        <v>0</v>
      </c>
      <c r="AJ302" s="243">
        <v>0</v>
      </c>
      <c r="AK302" s="243">
        <v>0</v>
      </c>
      <c r="AL302" s="254">
        <f t="shared" si="83"/>
        <v>0</v>
      </c>
    </row>
    <row r="303" spans="1:38" ht="14.4" customHeight="1">
      <c r="A303" s="506"/>
      <c r="B303" s="247" t="s">
        <v>47</v>
      </c>
      <c r="C303" s="248">
        <f>C302+C301</f>
        <v>0</v>
      </c>
      <c r="D303" s="248">
        <f t="shared" ref="D303:Q303" si="86">D302+D301</f>
        <v>0</v>
      </c>
      <c r="E303" s="248">
        <f t="shared" si="86"/>
        <v>1959.2739796456935</v>
      </c>
      <c r="F303" s="248">
        <f t="shared" si="86"/>
        <v>0</v>
      </c>
      <c r="G303" s="248">
        <f t="shared" si="86"/>
        <v>0</v>
      </c>
      <c r="H303" s="248">
        <f t="shared" si="86"/>
        <v>0</v>
      </c>
      <c r="I303" s="248">
        <f t="shared" si="86"/>
        <v>0</v>
      </c>
      <c r="J303" s="248">
        <f t="shared" si="86"/>
        <v>0</v>
      </c>
      <c r="K303" s="248">
        <f t="shared" si="86"/>
        <v>0</v>
      </c>
      <c r="L303" s="248">
        <f t="shared" si="86"/>
        <v>0</v>
      </c>
      <c r="M303" s="248">
        <f t="shared" si="86"/>
        <v>0</v>
      </c>
      <c r="N303" s="248">
        <f t="shared" si="86"/>
        <v>20.897338003502632</v>
      </c>
      <c r="O303" s="248">
        <f t="shared" si="86"/>
        <v>701.8657590358232</v>
      </c>
      <c r="P303" s="248">
        <f t="shared" si="86"/>
        <v>0</v>
      </c>
      <c r="Q303" s="248">
        <f t="shared" si="86"/>
        <v>0</v>
      </c>
      <c r="R303" s="248">
        <f t="shared" si="82"/>
        <v>2682.0370766850192</v>
      </c>
      <c r="U303" s="506"/>
      <c r="V303" s="247" t="s">
        <v>47</v>
      </c>
      <c r="W303" s="248">
        <f>W302+W301</f>
        <v>0</v>
      </c>
      <c r="X303" s="248">
        <f t="shared" ref="X303:AK303" si="87">X302+X301</f>
        <v>0</v>
      </c>
      <c r="Y303" s="248">
        <f t="shared" si="87"/>
        <v>277.4351769829882</v>
      </c>
      <c r="Z303" s="248">
        <f t="shared" si="87"/>
        <v>0</v>
      </c>
      <c r="AA303" s="248">
        <f t="shared" si="87"/>
        <v>0</v>
      </c>
      <c r="AB303" s="248">
        <f t="shared" si="87"/>
        <v>0</v>
      </c>
      <c r="AC303" s="248">
        <f t="shared" si="87"/>
        <v>0</v>
      </c>
      <c r="AD303" s="248">
        <f t="shared" si="87"/>
        <v>0</v>
      </c>
      <c r="AE303" s="248">
        <f t="shared" si="87"/>
        <v>250.43450774189259</v>
      </c>
      <c r="AF303" s="248">
        <f t="shared" si="87"/>
        <v>0</v>
      </c>
      <c r="AG303" s="248">
        <f t="shared" si="87"/>
        <v>0</v>
      </c>
      <c r="AH303" s="248">
        <f t="shared" si="87"/>
        <v>36.634500000000003</v>
      </c>
      <c r="AI303" s="248">
        <f t="shared" si="87"/>
        <v>719.59596434529522</v>
      </c>
      <c r="AJ303" s="248">
        <f t="shared" si="87"/>
        <v>0</v>
      </c>
      <c r="AK303" s="248">
        <f t="shared" si="87"/>
        <v>0</v>
      </c>
      <c r="AL303" s="248">
        <f t="shared" si="83"/>
        <v>1284.100149070176</v>
      </c>
    </row>
    <row r="309" spans="38:38">
      <c r="AL309" s="259">
        <f>AL303+AL293</f>
        <v>1962.2400148256047</v>
      </c>
    </row>
  </sheetData>
  <mergeCells count="187">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 ref="G271:G272"/>
    <mergeCell ref="H271:H272"/>
    <mergeCell ref="I271:N271"/>
    <mergeCell ref="O271:O272"/>
    <mergeCell ref="P271:P272"/>
    <mergeCell ref="Q271:Q272"/>
    <mergeCell ref="A271:A303"/>
    <mergeCell ref="B271:B272"/>
    <mergeCell ref="C271:C272"/>
    <mergeCell ref="D271:D272"/>
    <mergeCell ref="E271:E272"/>
    <mergeCell ref="F271:F272"/>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J148:AJ149"/>
    <mergeCell ref="AK148:AK149"/>
    <mergeCell ref="AL148:AL149"/>
    <mergeCell ref="V148:V149"/>
    <mergeCell ref="W148:W149"/>
    <mergeCell ref="X148:X149"/>
    <mergeCell ref="Y148:Y149"/>
    <mergeCell ref="Z148:Z149"/>
    <mergeCell ref="AA148:AA149"/>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I107:N107"/>
    <mergeCell ref="O107:O108"/>
    <mergeCell ref="P107:P108"/>
    <mergeCell ref="Q107:Q108"/>
    <mergeCell ref="A107:A139"/>
    <mergeCell ref="B107:B108"/>
    <mergeCell ref="C107:C108"/>
    <mergeCell ref="D107:D108"/>
    <mergeCell ref="E107:E108"/>
    <mergeCell ref="F107:F108"/>
    <mergeCell ref="AB66:AB67"/>
    <mergeCell ref="AC66:AH66"/>
    <mergeCell ref="AI66:AI67"/>
    <mergeCell ref="AJ66:AJ67"/>
    <mergeCell ref="AK66:AK67"/>
    <mergeCell ref="AL66:AL67"/>
    <mergeCell ref="V66:V67"/>
    <mergeCell ref="W66:W67"/>
    <mergeCell ref="X66:X67"/>
    <mergeCell ref="Y66:Y67"/>
    <mergeCell ref="Z66:Z67"/>
    <mergeCell ref="AA66:AA67"/>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s>
  <conditionalFormatting sqref="D44:F44 C45:F46 I26:M26 O48:R48 C48:H48 G44:H46 C40:H43 I40:Q46 O30:R32 D30:H32 I30:N31 P27:R29 F27:F29 C27:C32 C33:R35 C47:Q47 C36:H37 R36:R47 O36:Q37">
    <cfRule type="cellIs" dxfId="817" priority="1645" operator="equal">
      <formula>0</formula>
    </cfRule>
  </conditionalFormatting>
  <conditionalFormatting sqref="O27:O32">
    <cfRule type="cellIs" dxfId="816" priority="1646" operator="equal">
      <formula>0</formula>
    </cfRule>
  </conditionalFormatting>
  <conditionalFormatting sqref="C27:D32 G27:H32">
    <cfRule type="cellIs" dxfId="815" priority="1647" operator="equal">
      <formula>0</formula>
    </cfRule>
  </conditionalFormatting>
  <conditionalFormatting sqref="E27:E32">
    <cfRule type="cellIs" dxfId="814" priority="1648" operator="equal">
      <formula>0</formula>
    </cfRule>
  </conditionalFormatting>
  <conditionalFormatting sqref="C44">
    <cfRule type="cellIs" dxfId="813" priority="1649" operator="equal">
      <formula>0</formula>
    </cfRule>
  </conditionalFormatting>
  <conditionalFormatting sqref="N26">
    <cfRule type="cellIs" dxfId="812" priority="1650" operator="equal">
      <formula>0</formula>
    </cfRule>
  </conditionalFormatting>
  <conditionalFormatting sqref="I30:I32 I48">
    <cfRule type="cellIs" dxfId="811" priority="1651" operator="equal">
      <formula>0</formula>
    </cfRule>
  </conditionalFormatting>
  <conditionalFormatting sqref="I27:I32 J27:N27">
    <cfRule type="cellIs" dxfId="810" priority="1652" operator="equal">
      <formula>0</formula>
    </cfRule>
  </conditionalFormatting>
  <conditionalFormatting sqref="J30:J32 J48">
    <cfRule type="cellIs" dxfId="809" priority="1653" operator="equal">
      <formula>0</formula>
    </cfRule>
  </conditionalFormatting>
  <conditionalFormatting sqref="J27:J32">
    <cfRule type="cellIs" dxfId="808" priority="1654" operator="equal">
      <formula>0</formula>
    </cfRule>
  </conditionalFormatting>
  <conditionalFormatting sqref="K30:K32 K48">
    <cfRule type="cellIs" dxfId="807" priority="1655" operator="equal">
      <formula>0</formula>
    </cfRule>
  </conditionalFormatting>
  <conditionalFormatting sqref="K27:K32">
    <cfRule type="cellIs" dxfId="806" priority="1656" operator="equal">
      <formula>0</formula>
    </cfRule>
  </conditionalFormatting>
  <conditionalFormatting sqref="L30:L32 L48">
    <cfRule type="cellIs" dxfId="805" priority="1657" operator="equal">
      <formula>0</formula>
    </cfRule>
  </conditionalFormatting>
  <conditionalFormatting sqref="L27:L32">
    <cfRule type="cellIs" dxfId="804" priority="1658" operator="equal">
      <formula>0</formula>
    </cfRule>
  </conditionalFormatting>
  <conditionalFormatting sqref="M30:M32 M48">
    <cfRule type="cellIs" dxfId="803" priority="1659" operator="equal">
      <formula>0</formula>
    </cfRule>
  </conditionalFormatting>
  <conditionalFormatting sqref="M27:M32">
    <cfRule type="cellIs" dxfId="802" priority="1660" operator="equal">
      <formula>0</formula>
    </cfRule>
  </conditionalFormatting>
  <conditionalFormatting sqref="N30:N32 N48">
    <cfRule type="cellIs" dxfId="801" priority="1661" operator="equal">
      <formula>0</formula>
    </cfRule>
  </conditionalFormatting>
  <conditionalFormatting sqref="N27:N32">
    <cfRule type="cellIs" dxfId="800" priority="1662" operator="equal">
      <formula>0</formula>
    </cfRule>
  </conditionalFormatting>
  <conditionalFormatting sqref="C35:R35 C40:Q47 C36:H37 R36:R47 O36:Q37 C27:R33">
    <cfRule type="expression" dxfId="799" priority="1663">
      <formula>LEN(TRIM(C27))=0</formula>
    </cfRule>
  </conditionalFormatting>
  <conditionalFormatting sqref="K30:K31">
    <cfRule type="cellIs" dxfId="798" priority="1664" operator="equal">
      <formula>0</formula>
    </cfRule>
  </conditionalFormatting>
  <conditionalFormatting sqref="L30:L31">
    <cfRule type="cellIs" dxfId="797" priority="1665" operator="equal">
      <formula>0</formula>
    </cfRule>
  </conditionalFormatting>
  <conditionalFormatting sqref="C38:Q39">
    <cfRule type="cellIs" dxfId="796" priority="1666" operator="equal">
      <formula>0</formula>
    </cfRule>
  </conditionalFormatting>
  <conditionalFormatting sqref="O38:O39">
    <cfRule type="cellIs" dxfId="795" priority="1667" operator="equal">
      <formula>0</formula>
    </cfRule>
  </conditionalFormatting>
  <conditionalFormatting sqref="C38:Q39">
    <cfRule type="expression" dxfId="794" priority="1668">
      <formula>LEN(TRIM(C38))=0</formula>
    </cfRule>
  </conditionalFormatting>
  <conditionalFormatting sqref="M30:N30">
    <cfRule type="cellIs" dxfId="793" priority="1669" operator="equal">
      <formula>0</formula>
    </cfRule>
  </conditionalFormatting>
  <conditionalFormatting sqref="M31:N31">
    <cfRule type="cellIs" dxfId="792" priority="1670" operator="equal">
      <formula>0</formula>
    </cfRule>
  </conditionalFormatting>
  <conditionalFormatting sqref="C50:Q55 R49:R54 R56 C49:H49 O49:Q49">
    <cfRule type="cellIs" dxfId="791" priority="1671" operator="equal">
      <formula>0</formula>
    </cfRule>
  </conditionalFormatting>
  <conditionalFormatting sqref="C56:Q56">
    <cfRule type="cellIs" dxfId="790" priority="1672" operator="equal">
      <formula>0</formula>
    </cfRule>
  </conditionalFormatting>
  <conditionalFormatting sqref="C50:R54 C56:R56 C55:Q55 C49:H49 O49:R49">
    <cfRule type="expression" dxfId="789" priority="1673">
      <formula>LEN(TRIM(C49))=0</formula>
    </cfRule>
  </conditionalFormatting>
  <conditionalFormatting sqref="C56:Q56">
    <cfRule type="cellIs" dxfId="788" priority="1674" operator="equal">
      <formula>0</formula>
    </cfRule>
  </conditionalFormatting>
  <conditionalFormatting sqref="C57:Q57">
    <cfRule type="cellIs" dxfId="787" priority="1675" operator="equal">
      <formula>0</formula>
    </cfRule>
  </conditionalFormatting>
  <conditionalFormatting sqref="C57:Q57">
    <cfRule type="expression" dxfId="786" priority="1676">
      <formula>LEN(TRIM(C57))=0</formula>
    </cfRule>
  </conditionalFormatting>
  <conditionalFormatting sqref="R57">
    <cfRule type="cellIs" dxfId="785" priority="1643" operator="equal">
      <formula>0</formula>
    </cfRule>
  </conditionalFormatting>
  <conditionalFormatting sqref="R57">
    <cfRule type="expression" dxfId="784" priority="1644">
      <formula>LEN(TRIM(R57))=0</formula>
    </cfRule>
  </conditionalFormatting>
  <conditionalFormatting sqref="R55">
    <cfRule type="cellIs" dxfId="783" priority="1641" operator="equal">
      <formula>0</formula>
    </cfRule>
  </conditionalFormatting>
  <conditionalFormatting sqref="R55">
    <cfRule type="expression" dxfId="782" priority="1642">
      <formula>LEN(TRIM(R55))=0</formula>
    </cfRule>
  </conditionalFormatting>
  <conditionalFormatting sqref="I49:N49">
    <cfRule type="cellIs" dxfId="781" priority="1639" operator="equal">
      <formula>0</formula>
    </cfRule>
  </conditionalFormatting>
  <conditionalFormatting sqref="I49:N49">
    <cfRule type="expression" dxfId="780" priority="1640">
      <formula>LEN(TRIM(I49))=0</formula>
    </cfRule>
  </conditionalFormatting>
  <conditionalFormatting sqref="I36:N37">
    <cfRule type="cellIs" dxfId="779" priority="1637" operator="equal">
      <formula>0</formula>
    </cfRule>
  </conditionalFormatting>
  <conditionalFormatting sqref="I36:N37">
    <cfRule type="expression" dxfId="778" priority="1638">
      <formula>LEN(TRIM(I36))=0</formula>
    </cfRule>
  </conditionalFormatting>
  <conditionalFormatting sqref="AC26:AG26">
    <cfRule type="cellIs" dxfId="777" priority="1605" operator="equal">
      <formula>0</formula>
    </cfRule>
  </conditionalFormatting>
  <conditionalFormatting sqref="AH26">
    <cfRule type="cellIs" dxfId="776" priority="1610" operator="equal">
      <formula>0</formula>
    </cfRule>
  </conditionalFormatting>
  <conditionalFormatting sqref="AC190:AG190">
    <cfRule type="cellIs" dxfId="775" priority="1210" operator="equal">
      <formula>0</formula>
    </cfRule>
  </conditionalFormatting>
  <conditionalFormatting sqref="AH190">
    <cfRule type="cellIs" dxfId="774" priority="1215" operator="equal">
      <formula>0</formula>
    </cfRule>
  </conditionalFormatting>
  <conditionalFormatting sqref="W38:AK39">
    <cfRule type="cellIs" dxfId="773" priority="1089" operator="equal">
      <formula>0</formula>
    </cfRule>
  </conditionalFormatting>
  <conditionalFormatting sqref="I67:M67">
    <cfRule type="cellIs" dxfId="772" priority="1565" operator="equal">
      <formula>0</formula>
    </cfRule>
  </conditionalFormatting>
  <conditionalFormatting sqref="N67">
    <cfRule type="cellIs" dxfId="771" priority="1570" operator="equal">
      <formula>0</formula>
    </cfRule>
  </conditionalFormatting>
  <conditionalFormatting sqref="I108:M108">
    <cfRule type="cellIs" dxfId="770" priority="1525" operator="equal">
      <formula>0</formula>
    </cfRule>
  </conditionalFormatting>
  <conditionalFormatting sqref="N108">
    <cfRule type="cellIs" dxfId="769" priority="1530" operator="equal">
      <formula>0</formula>
    </cfRule>
  </conditionalFormatting>
  <conditionalFormatting sqref="I149:M149">
    <cfRule type="cellIs" dxfId="768" priority="1485" operator="equal">
      <formula>0</formula>
    </cfRule>
  </conditionalFormatting>
  <conditionalFormatting sqref="N149">
    <cfRule type="cellIs" dxfId="767" priority="1490" operator="equal">
      <formula>0</formula>
    </cfRule>
  </conditionalFormatting>
  <conditionalFormatting sqref="AC149:AG149">
    <cfRule type="cellIs" dxfId="766" priority="1250" operator="equal">
      <formula>0</formula>
    </cfRule>
  </conditionalFormatting>
  <conditionalFormatting sqref="AH149">
    <cfRule type="cellIs" dxfId="765" priority="1255" operator="equal">
      <formula>0</formula>
    </cfRule>
  </conditionalFormatting>
  <conditionalFormatting sqref="I190:M190">
    <cfRule type="cellIs" dxfId="764" priority="1445" operator="equal">
      <formula>0</formula>
    </cfRule>
  </conditionalFormatting>
  <conditionalFormatting sqref="N190">
    <cfRule type="cellIs" dxfId="763" priority="1450" operator="equal">
      <formula>0</formula>
    </cfRule>
  </conditionalFormatting>
  <conditionalFormatting sqref="I231:M231">
    <cfRule type="cellIs" dxfId="762" priority="1405" operator="equal">
      <formula>0</formula>
    </cfRule>
  </conditionalFormatting>
  <conditionalFormatting sqref="N231">
    <cfRule type="cellIs" dxfId="761" priority="1410" operator="equal">
      <formula>0</formula>
    </cfRule>
  </conditionalFormatting>
  <conditionalFormatting sqref="AC108:AG108">
    <cfRule type="cellIs" dxfId="760" priority="1290" operator="equal">
      <formula>0</formula>
    </cfRule>
  </conditionalFormatting>
  <conditionalFormatting sqref="AH108">
    <cfRule type="cellIs" dxfId="759" priority="1295" operator="equal">
      <formula>0</formula>
    </cfRule>
  </conditionalFormatting>
  <conditionalFormatting sqref="I272:M272">
    <cfRule type="cellIs" dxfId="758" priority="1365" operator="equal">
      <formula>0</formula>
    </cfRule>
  </conditionalFormatting>
  <conditionalFormatting sqref="N272">
    <cfRule type="cellIs" dxfId="757" priority="1370" operator="equal">
      <formula>0</formula>
    </cfRule>
  </conditionalFormatting>
  <conditionalFormatting sqref="AC67:AH67">
    <cfRule type="cellIs" dxfId="756" priority="1326" operator="equal">
      <formula>0</formula>
    </cfRule>
  </conditionalFormatting>
  <conditionalFormatting sqref="V68:V73">
    <cfRule type="cellIs" dxfId="755" priority="1328" operator="equal">
      <formula>0</formula>
    </cfRule>
  </conditionalFormatting>
  <conditionalFormatting sqref="V79:V80">
    <cfRule type="cellIs" dxfId="754" priority="1346" operator="equal">
      <formula>0</formula>
    </cfRule>
  </conditionalFormatting>
  <conditionalFormatting sqref="V90:V96">
    <cfRule type="cellIs" dxfId="753" priority="1351" operator="equal">
      <formula>0</formula>
    </cfRule>
  </conditionalFormatting>
  <conditionalFormatting sqref="V97">
    <cfRule type="cellIs" dxfId="752" priority="1352" operator="equal">
      <formula>0</formula>
    </cfRule>
  </conditionalFormatting>
  <conditionalFormatting sqref="V98">
    <cfRule type="cellIs" dxfId="751" priority="1355" operator="equal">
      <formula>0</formula>
    </cfRule>
  </conditionalFormatting>
  <conditionalFormatting sqref="D85:F85 C86:F87 O89:R89 C89:H89 G85:H87 C81:H84 I81:Q87 O71:R73 D71:H73 I71:N72 P68:R70 F68:F70 C68:C73 C76:R76 P75:R75 C75:N75 C88:Q88 R77:R88 C74:R74 R69:R74 C78:Q78 O77:Q77">
    <cfRule type="cellIs" dxfId="750" priority="1038" operator="equal">
      <formula>0</formula>
    </cfRule>
  </conditionalFormatting>
  <conditionalFormatting sqref="O68:O73">
    <cfRule type="cellIs" dxfId="749" priority="1039" operator="equal">
      <formula>0</formula>
    </cfRule>
  </conditionalFormatting>
  <conditionalFormatting sqref="C68:D73 G68:H73">
    <cfRule type="cellIs" dxfId="748" priority="1040" operator="equal">
      <formula>0</formula>
    </cfRule>
  </conditionalFormatting>
  <conditionalFormatting sqref="E68:E73">
    <cfRule type="cellIs" dxfId="747" priority="1041" operator="equal">
      <formula>0</formula>
    </cfRule>
  </conditionalFormatting>
  <conditionalFormatting sqref="C85">
    <cfRule type="cellIs" dxfId="746" priority="1042" operator="equal">
      <formula>0</formula>
    </cfRule>
  </conditionalFormatting>
  <conditionalFormatting sqref="I71:I73 I89">
    <cfRule type="cellIs" dxfId="745" priority="1043" operator="equal">
      <formula>0</formula>
    </cfRule>
  </conditionalFormatting>
  <conditionalFormatting sqref="I70:I73 J68:N68">
    <cfRule type="cellIs" dxfId="744" priority="1044" operator="equal">
      <formula>0</formula>
    </cfRule>
  </conditionalFormatting>
  <conditionalFormatting sqref="J71:J73 J89">
    <cfRule type="cellIs" dxfId="743" priority="1045" operator="equal">
      <formula>0</formula>
    </cfRule>
  </conditionalFormatting>
  <conditionalFormatting sqref="J68:J73">
    <cfRule type="cellIs" dxfId="742" priority="1046" operator="equal">
      <formula>0</formula>
    </cfRule>
  </conditionalFormatting>
  <conditionalFormatting sqref="K71:K73 K89">
    <cfRule type="cellIs" dxfId="741" priority="1047" operator="equal">
      <formula>0</formula>
    </cfRule>
  </conditionalFormatting>
  <conditionalFormatting sqref="K68:K73">
    <cfRule type="cellIs" dxfId="740" priority="1048" operator="equal">
      <formula>0</formula>
    </cfRule>
  </conditionalFormatting>
  <conditionalFormatting sqref="L68:L73">
    <cfRule type="cellIs" dxfId="739" priority="1050" operator="equal">
      <formula>0</formula>
    </cfRule>
  </conditionalFormatting>
  <conditionalFormatting sqref="M71:M73 M89">
    <cfRule type="cellIs" dxfId="738" priority="1051" operator="equal">
      <formula>0</formula>
    </cfRule>
  </conditionalFormatting>
  <conditionalFormatting sqref="M68:M73">
    <cfRule type="cellIs" dxfId="737" priority="1052" operator="equal">
      <formula>0</formula>
    </cfRule>
  </conditionalFormatting>
  <conditionalFormatting sqref="N71:N73 N89">
    <cfRule type="cellIs" dxfId="736" priority="1053" operator="equal">
      <formula>0</formula>
    </cfRule>
  </conditionalFormatting>
  <conditionalFormatting sqref="K71:K72">
    <cfRule type="cellIs" dxfId="735" priority="1056" operator="equal">
      <formula>0</formula>
    </cfRule>
  </conditionalFormatting>
  <conditionalFormatting sqref="L71:L72">
    <cfRule type="cellIs" dxfId="734" priority="1057" operator="equal">
      <formula>0</formula>
    </cfRule>
  </conditionalFormatting>
  <conditionalFormatting sqref="C79:Q80">
    <cfRule type="cellIs" dxfId="733" priority="1058" operator="equal">
      <formula>0</formula>
    </cfRule>
  </conditionalFormatting>
  <conditionalFormatting sqref="M71:N71">
    <cfRule type="cellIs" dxfId="732" priority="1061" operator="equal">
      <formula>0</formula>
    </cfRule>
  </conditionalFormatting>
  <conditionalFormatting sqref="N68:N73">
    <cfRule type="cellIs" dxfId="731" priority="1054" operator="equal">
      <formula>0</formula>
    </cfRule>
  </conditionalFormatting>
  <conditionalFormatting sqref="O79:O80">
    <cfRule type="cellIs" dxfId="730" priority="1059" operator="equal">
      <formula>0</formula>
    </cfRule>
  </conditionalFormatting>
  <conditionalFormatting sqref="M72:N72">
    <cfRule type="cellIs" dxfId="729" priority="1062" operator="equal">
      <formula>0</formula>
    </cfRule>
  </conditionalFormatting>
  <conditionalFormatting sqref="R90:R97 C90:Q96">
    <cfRule type="cellIs" dxfId="728" priority="1063" operator="equal">
      <formula>0</formula>
    </cfRule>
  </conditionalFormatting>
  <conditionalFormatting sqref="C97:Q97">
    <cfRule type="cellIs" dxfId="727" priority="1064" operator="equal">
      <formula>0</formula>
    </cfRule>
  </conditionalFormatting>
  <conditionalFormatting sqref="C97:Q97">
    <cfRule type="cellIs" dxfId="726" priority="1066" operator="equal">
      <formula>0</formula>
    </cfRule>
  </conditionalFormatting>
  <conditionalFormatting sqref="C98:Q98">
    <cfRule type="cellIs" dxfId="725" priority="1067" operator="equal">
      <formula>0</formula>
    </cfRule>
  </conditionalFormatting>
  <conditionalFormatting sqref="X44:Z44 W45:Z46 AI48:AL48 W48:AB48 AA44:AB46 W40:AB43 AC40:AK46 AI30:AL32 X30:AB32 AC30:AH31 AJ27:AL29 Z27:Z29 W27:W32 W47:AL47 AL36:AL46 W33:AL33 W35:AL35 AJ34:AL34 W34:AH34 W36:AK37">
    <cfRule type="cellIs" dxfId="724" priority="1069" operator="equal">
      <formula>0</formula>
    </cfRule>
  </conditionalFormatting>
  <conditionalFormatting sqref="AI27:AI32">
    <cfRule type="cellIs" dxfId="723" priority="1070" operator="equal">
      <formula>0</formula>
    </cfRule>
  </conditionalFormatting>
  <conditionalFormatting sqref="Y27:Y32">
    <cfRule type="cellIs" dxfId="722" priority="1072" operator="equal">
      <formula>0</formula>
    </cfRule>
  </conditionalFormatting>
  <conditionalFormatting sqref="W44">
    <cfRule type="cellIs" dxfId="721" priority="1073" operator="equal">
      <formula>0</formula>
    </cfRule>
  </conditionalFormatting>
  <conditionalFormatting sqref="AC30:AC32 AC48">
    <cfRule type="cellIs" dxfId="720" priority="1074" operator="equal">
      <formula>0</formula>
    </cfRule>
  </conditionalFormatting>
  <conditionalFormatting sqref="AC27:AC32 AD27:AH27">
    <cfRule type="cellIs" dxfId="719" priority="1075" operator="equal">
      <formula>0</formula>
    </cfRule>
  </conditionalFormatting>
  <conditionalFormatting sqref="AD27:AD32">
    <cfRule type="cellIs" dxfId="718" priority="1077" operator="equal">
      <formula>0</formula>
    </cfRule>
  </conditionalFormatting>
  <conditionalFormatting sqref="AE30:AE32 AE48">
    <cfRule type="cellIs" dxfId="717" priority="1078" operator="equal">
      <formula>0</formula>
    </cfRule>
  </conditionalFormatting>
  <conditionalFormatting sqref="AE27:AE32">
    <cfRule type="cellIs" dxfId="716" priority="1079" operator="equal">
      <formula>0</formula>
    </cfRule>
  </conditionalFormatting>
  <conditionalFormatting sqref="AF30:AF32 AF48">
    <cfRule type="cellIs" dxfId="715" priority="1080" operator="equal">
      <formula>0</formula>
    </cfRule>
  </conditionalFormatting>
  <conditionalFormatting sqref="AG30:AG32 AG48">
    <cfRule type="cellIs" dxfId="714" priority="1082" operator="equal">
      <formula>0</formula>
    </cfRule>
  </conditionalFormatting>
  <conditionalFormatting sqref="AG27:AG32">
    <cfRule type="cellIs" dxfId="713" priority="1083" operator="equal">
      <formula>0</formula>
    </cfRule>
  </conditionalFormatting>
  <conditionalFormatting sqref="L71:L73 L89">
    <cfRule type="cellIs" dxfId="712" priority="1049" operator="equal">
      <formula>0</formula>
    </cfRule>
  </conditionalFormatting>
  <conditionalFormatting sqref="AC231:AG231">
    <cfRule type="cellIs" dxfId="711" priority="1170" operator="equal">
      <formula>0</formula>
    </cfRule>
  </conditionalFormatting>
  <conditionalFormatting sqref="AD30:AD32 AD48">
    <cfRule type="cellIs" dxfId="710" priority="1076" operator="equal">
      <formula>0</formula>
    </cfRule>
  </conditionalFormatting>
  <conditionalFormatting sqref="AH231">
    <cfRule type="cellIs" dxfId="709" priority="1175" operator="equal">
      <formula>0</formula>
    </cfRule>
  </conditionalFormatting>
  <conditionalFormatting sqref="AF27:AF32">
    <cfRule type="cellIs" dxfId="708" priority="1081" operator="equal">
      <formula>0</formula>
    </cfRule>
  </conditionalFormatting>
  <conditionalFormatting sqref="AH30:AH32 AH48">
    <cfRule type="cellIs" dxfId="707" priority="1084" operator="equal">
      <formula>0</formula>
    </cfRule>
  </conditionalFormatting>
  <conditionalFormatting sqref="AH27:AH32">
    <cfRule type="cellIs" dxfId="706" priority="1085" operator="equal">
      <formula>0</formula>
    </cfRule>
  </conditionalFormatting>
  <conditionalFormatting sqref="AE30:AE31">
    <cfRule type="cellIs" dxfId="705" priority="1087" operator="equal">
      <formula>0</formula>
    </cfRule>
  </conditionalFormatting>
  <conditionalFormatting sqref="AF30:AF31">
    <cfRule type="cellIs" dxfId="704" priority="1088" operator="equal">
      <formula>0</formula>
    </cfRule>
  </conditionalFormatting>
  <conditionalFormatting sqref="AI38:AI39">
    <cfRule type="cellIs" dxfId="703" priority="1090" operator="equal">
      <formula>0</formula>
    </cfRule>
  </conditionalFormatting>
  <conditionalFormatting sqref="AG30:AH30">
    <cfRule type="cellIs" dxfId="702" priority="1092" operator="equal">
      <formula>0</formula>
    </cfRule>
  </conditionalFormatting>
  <conditionalFormatting sqref="AL49:AL56 W49:AK55">
    <cfRule type="cellIs" dxfId="701" priority="1094" operator="equal">
      <formula>0</formula>
    </cfRule>
  </conditionalFormatting>
  <conditionalFormatting sqref="W56:AK56">
    <cfRule type="cellIs" dxfId="700" priority="1095" operator="equal">
      <formula>0</formula>
    </cfRule>
  </conditionalFormatting>
  <conditionalFormatting sqref="W56:AK56">
    <cfRule type="cellIs" dxfId="699" priority="1097" operator="equal">
      <formula>0</formula>
    </cfRule>
  </conditionalFormatting>
  <conditionalFormatting sqref="W27:X32 AA27:AB32">
    <cfRule type="cellIs" dxfId="698" priority="1071" operator="equal">
      <formula>0</formula>
    </cfRule>
  </conditionalFormatting>
  <conditionalFormatting sqref="C98:Q98">
    <cfRule type="expression" dxfId="697" priority="1068">
      <formula>LEN(TRIM(C98))=0</formula>
    </cfRule>
  </conditionalFormatting>
  <conditionalFormatting sqref="AC272:AG272">
    <cfRule type="cellIs" dxfId="696" priority="1130" operator="equal">
      <formula>0</formula>
    </cfRule>
  </conditionalFormatting>
  <conditionalFormatting sqref="W57:AL57">
    <cfRule type="cellIs" dxfId="695" priority="1098" operator="equal">
      <formula>0</formula>
    </cfRule>
  </conditionalFormatting>
  <conditionalFormatting sqref="AH272">
    <cfRule type="cellIs" dxfId="694" priority="1135" operator="equal">
      <formula>0</formula>
    </cfRule>
  </conditionalFormatting>
  <conditionalFormatting sqref="AH67">
    <cfRule type="cellIs" dxfId="693" priority="1107" operator="equal">
      <formula>0</formula>
    </cfRule>
  </conditionalFormatting>
  <conditionalFormatting sqref="W49:AL56">
    <cfRule type="expression" dxfId="692" priority="1096">
      <formula>LEN(TRIM(W49))=0</formula>
    </cfRule>
  </conditionalFormatting>
  <conditionalFormatting sqref="AG31:AH31">
    <cfRule type="cellIs" dxfId="691" priority="1093" operator="equal">
      <formula>0</formula>
    </cfRule>
  </conditionalFormatting>
  <conditionalFormatting sqref="R98">
    <cfRule type="cellIs" dxfId="690" priority="695" operator="equal">
      <formula>0</formula>
    </cfRule>
  </conditionalFormatting>
  <conditionalFormatting sqref="W35:AL35 W40:AK46 W27:AL33 W47:AL47 AL36:AL46 W36:AK37">
    <cfRule type="expression" dxfId="689" priority="1086">
      <formula>LEN(TRIM(W27))=0</formula>
    </cfRule>
  </conditionalFormatting>
  <conditionalFormatting sqref="W38:AK39">
    <cfRule type="expression" dxfId="688" priority="1091">
      <formula>LEN(TRIM(W38))=0</formula>
    </cfRule>
  </conditionalFormatting>
  <conditionalFormatting sqref="W57:AL57">
    <cfRule type="expression" dxfId="687" priority="1099">
      <formula>LEN(TRIM(W57))=0</formula>
    </cfRule>
  </conditionalFormatting>
  <conditionalFormatting sqref="C76:R76 C81:Q88 R77:R88 C70:R74 C78:Q78 C68:H69 J68:R69 O77:Q77">
    <cfRule type="expression" dxfId="686" priority="1055">
      <formula>LEN(TRIM(C68))=0</formula>
    </cfRule>
  </conditionalFormatting>
  <conditionalFormatting sqref="C79:Q80">
    <cfRule type="expression" dxfId="685" priority="1060">
      <formula>LEN(TRIM(C79))=0</formula>
    </cfRule>
  </conditionalFormatting>
  <conditionalFormatting sqref="C90:R97">
    <cfRule type="expression" dxfId="684" priority="1065">
      <formula>LEN(TRIM(C90))=0</formula>
    </cfRule>
  </conditionalFormatting>
  <conditionalFormatting sqref="R98">
    <cfRule type="expression" dxfId="683" priority="696">
      <formula>LEN(TRIM(R98))=0</formula>
    </cfRule>
  </conditionalFormatting>
  <conditionalFormatting sqref="X85:Z85 W86:Z87 AI89:AL89 W89:AB89 AA85:AB87 W81:AB84 AC81:AK85 AI71:AL73 X73:AB73 AJ68:AL70 Z68:Z70 W68:W73 W76:AL76 AJ75:AL75 W75:AH75 W88:AK88 AL77:AL88 W74:AL74 AC86:AH87 AK86:AK87 W77:AK78 X71:X72 Z71:AB72 AF71:AH72">
    <cfRule type="cellIs" dxfId="682" priority="664" operator="equal">
      <formula>0</formula>
    </cfRule>
  </conditionalFormatting>
  <conditionalFormatting sqref="AI68:AI73">
    <cfRule type="cellIs" dxfId="681" priority="665" operator="equal">
      <formula>0</formula>
    </cfRule>
  </conditionalFormatting>
  <conditionalFormatting sqref="W68:X73 AA68:AB73">
    <cfRule type="cellIs" dxfId="680" priority="666" operator="equal">
      <formula>0</formula>
    </cfRule>
  </conditionalFormatting>
  <conditionalFormatting sqref="Y68 Y73">
    <cfRule type="cellIs" dxfId="679" priority="667" operator="equal">
      <formula>0</formula>
    </cfRule>
  </conditionalFormatting>
  <conditionalFormatting sqref="W85">
    <cfRule type="cellIs" dxfId="678" priority="668" operator="equal">
      <formula>0</formula>
    </cfRule>
  </conditionalFormatting>
  <conditionalFormatting sqref="AC73 AC89">
    <cfRule type="cellIs" dxfId="677" priority="669" operator="equal">
      <formula>0</formula>
    </cfRule>
  </conditionalFormatting>
  <conditionalFormatting sqref="AC73 AF68:AH68">
    <cfRule type="cellIs" dxfId="676" priority="670" operator="equal">
      <formula>0</formula>
    </cfRule>
  </conditionalFormatting>
  <conditionalFormatting sqref="AD73 AD89">
    <cfRule type="cellIs" dxfId="675" priority="671" operator="equal">
      <formula>0</formula>
    </cfRule>
  </conditionalFormatting>
  <conditionalFormatting sqref="AD73">
    <cfRule type="cellIs" dxfId="674" priority="672" operator="equal">
      <formula>0</formula>
    </cfRule>
  </conditionalFormatting>
  <conditionalFormatting sqref="AE73 AE89">
    <cfRule type="cellIs" dxfId="673" priority="673" operator="equal">
      <formula>0</formula>
    </cfRule>
  </conditionalFormatting>
  <conditionalFormatting sqref="AE73">
    <cfRule type="cellIs" dxfId="672" priority="674" operator="equal">
      <formula>0</formula>
    </cfRule>
  </conditionalFormatting>
  <conditionalFormatting sqref="AF68:AF73">
    <cfRule type="cellIs" dxfId="671" priority="676" operator="equal">
      <formula>0</formula>
    </cfRule>
  </conditionalFormatting>
  <conditionalFormatting sqref="AG71:AG73 AG89">
    <cfRule type="cellIs" dxfId="670" priority="677" operator="equal">
      <formula>0</formula>
    </cfRule>
  </conditionalFormatting>
  <conditionalFormatting sqref="AG68:AG73">
    <cfRule type="cellIs" dxfId="669" priority="678" operator="equal">
      <formula>0</formula>
    </cfRule>
  </conditionalFormatting>
  <conditionalFormatting sqref="AH71:AH73 AH89">
    <cfRule type="cellIs" dxfId="668" priority="679" operator="equal">
      <formula>0</formula>
    </cfRule>
  </conditionalFormatting>
  <conditionalFormatting sqref="AF71:AF72">
    <cfRule type="cellIs" dxfId="666" priority="683" operator="equal">
      <formula>0</formula>
    </cfRule>
  </conditionalFormatting>
  <conditionalFormatting sqref="W79:AK80">
    <cfRule type="cellIs" dxfId="665" priority="684" operator="equal">
      <formula>0</formula>
    </cfRule>
  </conditionalFormatting>
  <conditionalFormatting sqref="AG71:AH71">
    <cfRule type="cellIs" dxfId="664" priority="687" operator="equal">
      <formula>0</formula>
    </cfRule>
  </conditionalFormatting>
  <conditionalFormatting sqref="AH68:AH73">
    <cfRule type="cellIs" dxfId="663" priority="680" operator="equal">
      <formula>0</formula>
    </cfRule>
  </conditionalFormatting>
  <conditionalFormatting sqref="AI79:AI80">
    <cfRule type="cellIs" dxfId="662" priority="685" operator="equal">
      <formula>0</formula>
    </cfRule>
  </conditionalFormatting>
  <conditionalFormatting sqref="AG72:AH72">
    <cfRule type="cellIs" dxfId="661" priority="688" operator="equal">
      <formula>0</formula>
    </cfRule>
  </conditionalFormatting>
  <conditionalFormatting sqref="AL90:AL97 W90:AK90 W92:AK96 W91:X91 AJ91:AK91">
    <cfRule type="cellIs" dxfId="660" priority="689" operator="equal">
      <formula>0</formula>
    </cfRule>
  </conditionalFormatting>
  <conditionalFormatting sqref="W97:AK97">
    <cfRule type="cellIs" dxfId="659" priority="690" operator="equal">
      <formula>0</formula>
    </cfRule>
  </conditionalFormatting>
  <conditionalFormatting sqref="W97:AK97">
    <cfRule type="cellIs" dxfId="658" priority="692" operator="equal">
      <formula>0</formula>
    </cfRule>
  </conditionalFormatting>
  <conditionalFormatting sqref="W98:AK98">
    <cfRule type="cellIs" dxfId="657" priority="693" operator="equal">
      <formula>0</formula>
    </cfRule>
  </conditionalFormatting>
  <conditionalFormatting sqref="AF71:AF73 AF89">
    <cfRule type="cellIs" dxfId="656" priority="675" operator="equal">
      <formula>0</formula>
    </cfRule>
  </conditionalFormatting>
  <conditionalFormatting sqref="W98:AK98">
    <cfRule type="expression" dxfId="655" priority="694">
      <formula>LEN(TRIM(W98))=0</formula>
    </cfRule>
  </conditionalFormatting>
  <conditionalFormatting sqref="AL98">
    <cfRule type="cellIs" dxfId="654" priority="662" operator="equal">
      <formula>0</formula>
    </cfRule>
  </conditionalFormatting>
  <conditionalFormatting sqref="W76:AL76 W81:AK85 AL77:AL88 W73:AL74 W88:AK88 W86:AH87 AK86:AK87 W77:AK78 W68:AB68 W69:X72 Z69:AB72 AF68:AL72">
    <cfRule type="expression" dxfId="653" priority="681">
      <formula>LEN(TRIM(W68))=0</formula>
    </cfRule>
  </conditionalFormatting>
  <conditionalFormatting sqref="W79:AK80">
    <cfRule type="expression" dxfId="652" priority="686">
      <formula>LEN(TRIM(W79))=0</formula>
    </cfRule>
  </conditionalFormatting>
  <conditionalFormatting sqref="W90:AL90 W92:AL97 W91:X91 AJ91:AL91">
    <cfRule type="expression" dxfId="651" priority="691">
      <formula>LEN(TRIM(W90))=0</formula>
    </cfRule>
  </conditionalFormatting>
  <conditionalFormatting sqref="AL98">
    <cfRule type="expression" dxfId="650" priority="663">
      <formula>LEN(TRIM(AL98))=0</formula>
    </cfRule>
  </conditionalFormatting>
  <conditionalFormatting sqref="D126:F126 C127:F128 O130:R130 C130:H130 G126:H128 C122:H125 I122:Q126 O112:R114 D114:H114 P109:R111 F109:F111 C109:C114 C117:R117 P116:R116 C116:N116 C129:Q129 R118:R129 C115:R115 I127:N128 Q127:Q128 C119:Q119 O118:Q118 D112:D113 F112:N113">
    <cfRule type="cellIs" dxfId="649" priority="598" operator="equal">
      <formula>0</formula>
    </cfRule>
  </conditionalFormatting>
  <conditionalFormatting sqref="O109:O114">
    <cfRule type="cellIs" dxfId="648" priority="599" operator="equal">
      <formula>0</formula>
    </cfRule>
  </conditionalFormatting>
  <conditionalFormatting sqref="C109:D114 G109:H114">
    <cfRule type="cellIs" dxfId="647" priority="600" operator="equal">
      <formula>0</formula>
    </cfRule>
  </conditionalFormatting>
  <conditionalFormatting sqref="E109 E114">
    <cfRule type="cellIs" dxfId="646" priority="601" operator="equal">
      <formula>0</formula>
    </cfRule>
  </conditionalFormatting>
  <conditionalFormatting sqref="C126">
    <cfRule type="cellIs" dxfId="645" priority="602" operator="equal">
      <formula>0</formula>
    </cfRule>
  </conditionalFormatting>
  <conditionalFormatting sqref="I112:I114 I130">
    <cfRule type="cellIs" dxfId="644" priority="603" operator="equal">
      <formula>0</formula>
    </cfRule>
  </conditionalFormatting>
  <conditionalFormatting sqref="I111:I114 J109:N109">
    <cfRule type="cellIs" dxfId="643" priority="604" operator="equal">
      <formula>0</formula>
    </cfRule>
  </conditionalFormatting>
  <conditionalFormatting sqref="J112:J114 J130">
    <cfRule type="cellIs" dxfId="642" priority="605" operator="equal">
      <formula>0</formula>
    </cfRule>
  </conditionalFormatting>
  <conditionalFormatting sqref="J109:J114">
    <cfRule type="cellIs" dxfId="641" priority="606" operator="equal">
      <formula>0</formula>
    </cfRule>
  </conditionalFormatting>
  <conditionalFormatting sqref="K112:K114 K130">
    <cfRule type="cellIs" dxfId="640" priority="607" operator="equal">
      <formula>0</formula>
    </cfRule>
  </conditionalFormatting>
  <conditionalFormatting sqref="K109:K114">
    <cfRule type="cellIs" dxfId="639" priority="608" operator="equal">
      <formula>0</formula>
    </cfRule>
  </conditionalFormatting>
  <conditionalFormatting sqref="L109:L114">
    <cfRule type="cellIs" dxfId="638" priority="610" operator="equal">
      <formula>0</formula>
    </cfRule>
  </conditionalFormatting>
  <conditionalFormatting sqref="M112:M114 M130">
    <cfRule type="cellIs" dxfId="637" priority="611" operator="equal">
      <formula>0</formula>
    </cfRule>
  </conditionalFormatting>
  <conditionalFormatting sqref="M109:M114">
    <cfRule type="cellIs" dxfId="636" priority="612" operator="equal">
      <formula>0</formula>
    </cfRule>
  </conditionalFormatting>
  <conditionalFormatting sqref="N112:N114 N130">
    <cfRule type="cellIs" dxfId="635" priority="613" operator="equal">
      <formula>0</formula>
    </cfRule>
  </conditionalFormatting>
  <conditionalFormatting sqref="K112:K113">
    <cfRule type="cellIs" dxfId="634" priority="616" operator="equal">
      <formula>0</formula>
    </cfRule>
  </conditionalFormatting>
  <conditionalFormatting sqref="L112:L113">
    <cfRule type="cellIs" dxfId="633" priority="617" operator="equal">
      <formula>0</formula>
    </cfRule>
  </conditionalFormatting>
  <conditionalFormatting sqref="C120:Q121">
    <cfRule type="cellIs" dxfId="632" priority="618" operator="equal">
      <formula>0</formula>
    </cfRule>
  </conditionalFormatting>
  <conditionalFormatting sqref="M112:N112">
    <cfRule type="cellIs" dxfId="631" priority="621" operator="equal">
      <formula>0</formula>
    </cfRule>
  </conditionalFormatting>
  <conditionalFormatting sqref="N109:N114">
    <cfRule type="cellIs" dxfId="630" priority="614" operator="equal">
      <formula>0</formula>
    </cfRule>
  </conditionalFormatting>
  <conditionalFormatting sqref="O120:O121">
    <cfRule type="cellIs" dxfId="629" priority="619" operator="equal">
      <formula>0</formula>
    </cfRule>
  </conditionalFormatting>
  <conditionalFormatting sqref="M113:N113">
    <cfRule type="cellIs" dxfId="628" priority="622" operator="equal">
      <formula>0</formula>
    </cfRule>
  </conditionalFormatting>
  <conditionalFormatting sqref="R131:R138 C132:Q133 C135:Q137 C134:H134 O134:Q134 C131:H131 O131:Q131">
    <cfRule type="cellIs" dxfId="627" priority="623" operator="equal">
      <formula>0</formula>
    </cfRule>
  </conditionalFormatting>
  <conditionalFormatting sqref="C138:Q138">
    <cfRule type="cellIs" dxfId="626" priority="624" operator="equal">
      <formula>0</formula>
    </cfRule>
  </conditionalFormatting>
  <conditionalFormatting sqref="C138:Q138">
    <cfRule type="cellIs" dxfId="625" priority="626" operator="equal">
      <formula>0</formula>
    </cfRule>
  </conditionalFormatting>
  <conditionalFormatting sqref="C139:Q139">
    <cfRule type="cellIs" dxfId="624" priority="627" operator="equal">
      <formula>0</formula>
    </cfRule>
  </conditionalFormatting>
  <conditionalFormatting sqref="L112:L114 L130">
    <cfRule type="cellIs" dxfId="623" priority="609" operator="equal">
      <formula>0</formula>
    </cfRule>
  </conditionalFormatting>
  <conditionalFormatting sqref="C139:Q139">
    <cfRule type="expression" dxfId="622" priority="628">
      <formula>LEN(TRIM(C139))=0</formula>
    </cfRule>
  </conditionalFormatting>
  <conditionalFormatting sqref="R139">
    <cfRule type="cellIs" dxfId="621" priority="596" operator="equal">
      <formula>0</formula>
    </cfRule>
  </conditionalFormatting>
  <conditionalFormatting sqref="C117:R117 C122:Q126 R118:R129 C114:R115 C129:Q129 C127:N128 Q127:Q128 C119:Q119 C109:H109 J109:R110 O118:Q118 F110:H110 C110:D113 F111:R113">
    <cfRule type="expression" dxfId="620" priority="615">
      <formula>LEN(TRIM(C109))=0</formula>
    </cfRule>
  </conditionalFormatting>
  <conditionalFormatting sqref="C120:Q121">
    <cfRule type="expression" dxfId="619" priority="620">
      <formula>LEN(TRIM(C120))=0</formula>
    </cfRule>
  </conditionalFormatting>
  <conditionalFormatting sqref="C132:R133 C135:R138 C134:H134 O134:R134 C131:H131 O131:R131">
    <cfRule type="expression" dxfId="618" priority="625">
      <formula>LEN(TRIM(C131))=0</formula>
    </cfRule>
  </conditionalFormatting>
  <conditionalFormatting sqref="R139">
    <cfRule type="expression" dxfId="617" priority="597">
      <formula>LEN(TRIM(R139))=0</formula>
    </cfRule>
  </conditionalFormatting>
  <conditionalFormatting sqref="O127:P128">
    <cfRule type="cellIs" dxfId="616" priority="594" operator="equal">
      <formula>0</formula>
    </cfRule>
  </conditionalFormatting>
  <conditionalFormatting sqref="O127:P128">
    <cfRule type="expression" dxfId="615" priority="595">
      <formula>LEN(TRIM(O127))=0</formula>
    </cfRule>
  </conditionalFormatting>
  <conditionalFormatting sqref="D167:F167 C168:F169 O171:R171 C171:H171 G167:H169 C163:H166 I163:Q167 O153:R155 D155:H155 P150:R152 F150:F152 C150:C155 C158:R158 P157:R157 C157:N157 C170:Q170 R159:R170 C156:R156 I168:N169 Q168:Q169 C160:Q160 O159:Q159 D153:D154 F153:N154">
    <cfRule type="cellIs" dxfId="614" priority="563" operator="equal">
      <formula>0</formula>
    </cfRule>
  </conditionalFormatting>
  <conditionalFormatting sqref="O150:O155">
    <cfRule type="cellIs" dxfId="613" priority="564" operator="equal">
      <formula>0</formula>
    </cfRule>
  </conditionalFormatting>
  <conditionalFormatting sqref="C150:D155 G150:H155">
    <cfRule type="cellIs" dxfId="612" priority="565" operator="equal">
      <formula>0</formula>
    </cfRule>
  </conditionalFormatting>
  <conditionalFormatting sqref="E150 E155">
    <cfRule type="cellIs" dxfId="611" priority="566" operator="equal">
      <formula>0</formula>
    </cfRule>
  </conditionalFormatting>
  <conditionalFormatting sqref="C167">
    <cfRule type="cellIs" dxfId="610" priority="567" operator="equal">
      <formula>0</formula>
    </cfRule>
  </conditionalFormatting>
  <conditionalFormatting sqref="I153:I155 I171">
    <cfRule type="cellIs" dxfId="609" priority="568" operator="equal">
      <formula>0</formula>
    </cfRule>
  </conditionalFormatting>
  <conditionalFormatting sqref="I152:I155 J150:N150">
    <cfRule type="cellIs" dxfId="608" priority="569" operator="equal">
      <formula>0</formula>
    </cfRule>
  </conditionalFormatting>
  <conditionalFormatting sqref="J153:J155 J171">
    <cfRule type="cellIs" dxfId="607" priority="570" operator="equal">
      <formula>0</formula>
    </cfRule>
  </conditionalFormatting>
  <conditionalFormatting sqref="J150:J155">
    <cfRule type="cellIs" dxfId="606" priority="571" operator="equal">
      <formula>0</formula>
    </cfRule>
  </conditionalFormatting>
  <conditionalFormatting sqref="K153:K155 K171">
    <cfRule type="cellIs" dxfId="605" priority="572" operator="equal">
      <formula>0</formula>
    </cfRule>
  </conditionalFormatting>
  <conditionalFormatting sqref="K150:K155">
    <cfRule type="cellIs" dxfId="604" priority="573" operator="equal">
      <formula>0</formula>
    </cfRule>
  </conditionalFormatting>
  <conditionalFormatting sqref="L150:L155">
    <cfRule type="cellIs" dxfId="603" priority="575" operator="equal">
      <formula>0</formula>
    </cfRule>
  </conditionalFormatting>
  <conditionalFormatting sqref="M153:M155 M171">
    <cfRule type="cellIs" dxfId="602" priority="576" operator="equal">
      <formula>0</formula>
    </cfRule>
  </conditionalFormatting>
  <conditionalFormatting sqref="M150:M155">
    <cfRule type="cellIs" dxfId="601" priority="577" operator="equal">
      <formula>0</formula>
    </cfRule>
  </conditionalFormatting>
  <conditionalFormatting sqref="N153:N155 N171">
    <cfRule type="cellIs" dxfId="600" priority="578" operator="equal">
      <formula>0</formula>
    </cfRule>
  </conditionalFormatting>
  <conditionalFormatting sqref="K153:K154">
    <cfRule type="cellIs" dxfId="599" priority="581" operator="equal">
      <formula>0</formula>
    </cfRule>
  </conditionalFormatting>
  <conditionalFormatting sqref="L153:L154">
    <cfRule type="cellIs" dxfId="598" priority="582" operator="equal">
      <formula>0</formula>
    </cfRule>
  </conditionalFormatting>
  <conditionalFormatting sqref="C161:Q162">
    <cfRule type="cellIs" dxfId="597" priority="583" operator="equal">
      <formula>0</formula>
    </cfRule>
  </conditionalFormatting>
  <conditionalFormatting sqref="M153:N153">
    <cfRule type="cellIs" dxfId="596" priority="586" operator="equal">
      <formula>0</formula>
    </cfRule>
  </conditionalFormatting>
  <conditionalFormatting sqref="N150:N155">
    <cfRule type="cellIs" dxfId="595" priority="579" operator="equal">
      <formula>0</formula>
    </cfRule>
  </conditionalFormatting>
  <conditionalFormatting sqref="O161:O162">
    <cfRule type="cellIs" dxfId="594" priority="584" operator="equal">
      <formula>0</formula>
    </cfRule>
  </conditionalFormatting>
  <conditionalFormatting sqref="M154:N154">
    <cfRule type="cellIs" dxfId="593" priority="587" operator="equal">
      <formula>0</formula>
    </cfRule>
  </conditionalFormatting>
  <conditionalFormatting sqref="R172:R179 C173:Q174 C172:H172 O172:Q172 C176:Q178 C175:H175 O175:Q175">
    <cfRule type="cellIs" dxfId="592" priority="588" operator="equal">
      <formula>0</formula>
    </cfRule>
  </conditionalFormatting>
  <conditionalFormatting sqref="C179:Q179">
    <cfRule type="cellIs" dxfId="591" priority="589" operator="equal">
      <formula>0</formula>
    </cfRule>
  </conditionalFormatting>
  <conditionalFormatting sqref="C179:Q179">
    <cfRule type="cellIs" dxfId="590" priority="591" operator="equal">
      <formula>0</formula>
    </cfRule>
  </conditionalFormatting>
  <conditionalFormatting sqref="C180:Q180">
    <cfRule type="cellIs" dxfId="589" priority="592" operator="equal">
      <formula>0</formula>
    </cfRule>
  </conditionalFormatting>
  <conditionalFormatting sqref="L153:L155 L171">
    <cfRule type="cellIs" dxfId="588" priority="574" operator="equal">
      <formula>0</formula>
    </cfRule>
  </conditionalFormatting>
  <conditionalFormatting sqref="C180:Q180">
    <cfRule type="expression" dxfId="587" priority="593">
      <formula>LEN(TRIM(C180))=0</formula>
    </cfRule>
  </conditionalFormatting>
  <conditionalFormatting sqref="R180">
    <cfRule type="cellIs" dxfId="586" priority="561" operator="equal">
      <formula>0</formula>
    </cfRule>
  </conditionalFormatting>
  <conditionalFormatting sqref="C158:R158 C163:Q167 R159:R170 C155:R156 C170:Q170 C168:N169 Q168:Q169 C160:Q160 C150:H150 J150:R151 O159:Q159 F151:H151 C151:D154 F152:R154">
    <cfRule type="expression" dxfId="585" priority="580">
      <formula>LEN(TRIM(C150))=0</formula>
    </cfRule>
  </conditionalFormatting>
  <conditionalFormatting sqref="C161:Q162">
    <cfRule type="expression" dxfId="584" priority="585">
      <formula>LEN(TRIM(C161))=0</formula>
    </cfRule>
  </conditionalFormatting>
  <conditionalFormatting sqref="C173:R174 C172:H172 O172:R172 C176:R179 C175:H175 O175:R175">
    <cfRule type="expression" dxfId="583" priority="590">
      <formula>LEN(TRIM(C172))=0</formula>
    </cfRule>
  </conditionalFormatting>
  <conditionalFormatting sqref="R180">
    <cfRule type="expression" dxfId="582" priority="562">
      <formula>LEN(TRIM(R180))=0</formula>
    </cfRule>
  </conditionalFormatting>
  <conditionalFormatting sqref="O168:P169">
    <cfRule type="cellIs" dxfId="581" priority="559" operator="equal">
      <formula>0</formula>
    </cfRule>
  </conditionalFormatting>
  <conditionalFormatting sqref="O168:P169">
    <cfRule type="expression" dxfId="580" priority="560">
      <formula>LEN(TRIM(O168))=0</formula>
    </cfRule>
  </conditionalFormatting>
  <conditionalFormatting sqref="D208:F208 C209:F210 O212:R212 C212:H212 G208:H210 C204:H207 I204:Q208 O194:R196 D196:H196 P191:R193 F191:F193 C191:C196 C199:R199 P198:R198 C198:N198 C211:Q211 R200:R211 C197:R197 I209:N210 Q209:Q210 C201:Q201 O200:Q200 D194:D195 F194:N195">
    <cfRule type="cellIs" dxfId="579" priority="528" operator="equal">
      <formula>0</formula>
    </cfRule>
  </conditionalFormatting>
  <conditionalFormatting sqref="O191:O196">
    <cfRule type="cellIs" dxfId="578" priority="529" operator="equal">
      <formula>0</formula>
    </cfRule>
  </conditionalFormatting>
  <conditionalFormatting sqref="C191:D196 G191:H196">
    <cfRule type="cellIs" dxfId="577" priority="530" operator="equal">
      <formula>0</formula>
    </cfRule>
  </conditionalFormatting>
  <conditionalFormatting sqref="E191 E196">
    <cfRule type="cellIs" dxfId="576" priority="531" operator="equal">
      <formula>0</formula>
    </cfRule>
  </conditionalFormatting>
  <conditionalFormatting sqref="C208">
    <cfRule type="cellIs" dxfId="575" priority="532" operator="equal">
      <formula>0</formula>
    </cfRule>
  </conditionalFormatting>
  <conditionalFormatting sqref="I194:I196 I212">
    <cfRule type="cellIs" dxfId="574" priority="533" operator="equal">
      <formula>0</formula>
    </cfRule>
  </conditionalFormatting>
  <conditionalFormatting sqref="I193:I196 J191:N191">
    <cfRule type="cellIs" dxfId="573" priority="534" operator="equal">
      <formula>0</formula>
    </cfRule>
  </conditionalFormatting>
  <conditionalFormatting sqref="J194:J196 J212">
    <cfRule type="cellIs" dxfId="572" priority="535" operator="equal">
      <formula>0</formula>
    </cfRule>
  </conditionalFormatting>
  <conditionalFormatting sqref="J191:J196">
    <cfRule type="cellIs" dxfId="571" priority="536" operator="equal">
      <formula>0</formula>
    </cfRule>
  </conditionalFormatting>
  <conditionalFormatting sqref="K194:K196 K212">
    <cfRule type="cellIs" dxfId="570" priority="537" operator="equal">
      <formula>0</formula>
    </cfRule>
  </conditionalFormatting>
  <conditionalFormatting sqref="K191:K196">
    <cfRule type="cellIs" dxfId="569" priority="538" operator="equal">
      <formula>0</formula>
    </cfRule>
  </conditionalFormatting>
  <conditionalFormatting sqref="L191:L196">
    <cfRule type="cellIs" dxfId="568" priority="540" operator="equal">
      <formula>0</formula>
    </cfRule>
  </conditionalFormatting>
  <conditionalFormatting sqref="M194:M196 M212">
    <cfRule type="cellIs" dxfId="567" priority="541" operator="equal">
      <formula>0</formula>
    </cfRule>
  </conditionalFormatting>
  <conditionalFormatting sqref="M191:M196">
    <cfRule type="cellIs" dxfId="566" priority="542" operator="equal">
      <formula>0</formula>
    </cfRule>
  </conditionalFormatting>
  <conditionalFormatting sqref="N194:N196 N212">
    <cfRule type="cellIs" dxfId="565" priority="543" operator="equal">
      <formula>0</formula>
    </cfRule>
  </conditionalFormatting>
  <conditionalFormatting sqref="K194:K195">
    <cfRule type="cellIs" dxfId="564" priority="546" operator="equal">
      <formula>0</formula>
    </cfRule>
  </conditionalFormatting>
  <conditionalFormatting sqref="L194:L195">
    <cfRule type="cellIs" dxfId="563" priority="547" operator="equal">
      <formula>0</formula>
    </cfRule>
  </conditionalFormatting>
  <conditionalFormatting sqref="C202:Q203">
    <cfRule type="cellIs" dxfId="562" priority="548" operator="equal">
      <formula>0</formula>
    </cfRule>
  </conditionalFormatting>
  <conditionalFormatting sqref="M194:N194">
    <cfRule type="cellIs" dxfId="561" priority="551" operator="equal">
      <formula>0</formula>
    </cfRule>
  </conditionalFormatting>
  <conditionalFormatting sqref="N191:N196">
    <cfRule type="cellIs" dxfId="560" priority="544" operator="equal">
      <formula>0</formula>
    </cfRule>
  </conditionalFormatting>
  <conditionalFormatting sqref="O202:O203">
    <cfRule type="cellIs" dxfId="559" priority="549" operator="equal">
      <formula>0</formula>
    </cfRule>
  </conditionalFormatting>
  <conditionalFormatting sqref="M195:N195">
    <cfRule type="cellIs" dxfId="558" priority="552" operator="equal">
      <formula>0</formula>
    </cfRule>
  </conditionalFormatting>
  <conditionalFormatting sqref="R213:R220 C214:Q215 C213:H213 O213:Q213 C217:Q219 C216:H216 O216:Q216">
    <cfRule type="cellIs" dxfId="557" priority="553" operator="equal">
      <formula>0</formula>
    </cfRule>
  </conditionalFormatting>
  <conditionalFormatting sqref="C220:Q220">
    <cfRule type="cellIs" dxfId="556" priority="554" operator="equal">
      <formula>0</formula>
    </cfRule>
  </conditionalFormatting>
  <conditionalFormatting sqref="C220:Q220">
    <cfRule type="cellIs" dxfId="555" priority="556" operator="equal">
      <formula>0</formula>
    </cfRule>
  </conditionalFormatting>
  <conditionalFormatting sqref="C221:Q221">
    <cfRule type="cellIs" dxfId="554" priority="557" operator="equal">
      <formula>0</formula>
    </cfRule>
  </conditionalFormatting>
  <conditionalFormatting sqref="L194:L196 L212">
    <cfRule type="cellIs" dxfId="553" priority="539" operator="equal">
      <formula>0</formula>
    </cfRule>
  </conditionalFormatting>
  <conditionalFormatting sqref="C221:Q221">
    <cfRule type="expression" dxfId="552" priority="558">
      <formula>LEN(TRIM(C221))=0</formula>
    </cfRule>
  </conditionalFormatting>
  <conditionalFormatting sqref="R221">
    <cfRule type="cellIs" dxfId="551" priority="526" operator="equal">
      <formula>0</formula>
    </cfRule>
  </conditionalFormatting>
  <conditionalFormatting sqref="C199:R199 C204:Q208 R200:R211 C196:R197 C211:Q211 C209:N210 Q209:Q210 C201:Q201 C191:H191 J191:R192 O200:Q200 F192:H192 C192:D195 F193:R195">
    <cfRule type="expression" dxfId="550" priority="545">
      <formula>LEN(TRIM(C191))=0</formula>
    </cfRule>
  </conditionalFormatting>
  <conditionalFormatting sqref="C202:Q203">
    <cfRule type="expression" dxfId="549" priority="550">
      <formula>LEN(TRIM(C202))=0</formula>
    </cfRule>
  </conditionalFormatting>
  <conditionalFormatting sqref="C214:R215 C213:H213 O213:R213 C217:R220 C216:H216 O216:R216">
    <cfRule type="expression" dxfId="548" priority="555">
      <formula>LEN(TRIM(C213))=0</formula>
    </cfRule>
  </conditionalFormatting>
  <conditionalFormatting sqref="R221">
    <cfRule type="expression" dxfId="547" priority="527">
      <formula>LEN(TRIM(R221))=0</formula>
    </cfRule>
  </conditionalFormatting>
  <conditionalFormatting sqref="O209:P210">
    <cfRule type="cellIs" dxfId="546" priority="524" operator="equal">
      <formula>0</formula>
    </cfRule>
  </conditionalFormatting>
  <conditionalFormatting sqref="O209:P210">
    <cfRule type="expression" dxfId="545" priority="525">
      <formula>LEN(TRIM(O209))=0</formula>
    </cfRule>
  </conditionalFormatting>
  <conditionalFormatting sqref="D249:F249 C250:F251 O253:R253 C253:H253 G249:H251 C245:H248 I245:Q249 O235:R237 D237:H237 P232:R234 F232:F234 C232:C237 C240:R240 P239:R239 C239:N239 C252:Q252 R241:R252 C238:R238 I250:N251 Q250:Q251 C242:Q242 O241:Q241 D235:D236 F235:N236">
    <cfRule type="cellIs" dxfId="544" priority="493" operator="equal">
      <formula>0</formula>
    </cfRule>
  </conditionalFormatting>
  <conditionalFormatting sqref="O232:O237">
    <cfRule type="cellIs" dxfId="543" priority="494" operator="equal">
      <formula>0</formula>
    </cfRule>
  </conditionalFormatting>
  <conditionalFormatting sqref="C232:D237 G232:H237">
    <cfRule type="cellIs" dxfId="542" priority="495" operator="equal">
      <formula>0</formula>
    </cfRule>
  </conditionalFormatting>
  <conditionalFormatting sqref="E232 E237">
    <cfRule type="cellIs" dxfId="541" priority="496" operator="equal">
      <formula>0</formula>
    </cfRule>
  </conditionalFormatting>
  <conditionalFormatting sqref="C249">
    <cfRule type="cellIs" dxfId="540" priority="497" operator="equal">
      <formula>0</formula>
    </cfRule>
  </conditionalFormatting>
  <conditionalFormatting sqref="I235:I237 I253">
    <cfRule type="cellIs" dxfId="539" priority="498" operator="equal">
      <formula>0</formula>
    </cfRule>
  </conditionalFormatting>
  <conditionalFormatting sqref="I234:I237 J232:N232">
    <cfRule type="cellIs" dxfId="538" priority="499" operator="equal">
      <formula>0</formula>
    </cfRule>
  </conditionalFormatting>
  <conditionalFormatting sqref="J235:J237 J253">
    <cfRule type="cellIs" dxfId="537" priority="500" operator="equal">
      <formula>0</formula>
    </cfRule>
  </conditionalFormatting>
  <conditionalFormatting sqref="J232:J237">
    <cfRule type="cellIs" dxfId="536" priority="501" operator="equal">
      <formula>0</formula>
    </cfRule>
  </conditionalFormatting>
  <conditionalFormatting sqref="K235:K237 K253">
    <cfRule type="cellIs" dxfId="535" priority="502" operator="equal">
      <formula>0</formula>
    </cfRule>
  </conditionalFormatting>
  <conditionalFormatting sqref="K232:K237">
    <cfRule type="cellIs" dxfId="534" priority="503" operator="equal">
      <formula>0</formula>
    </cfRule>
  </conditionalFormatting>
  <conditionalFormatting sqref="L232:L237">
    <cfRule type="cellIs" dxfId="533" priority="505" operator="equal">
      <formula>0</formula>
    </cfRule>
  </conditionalFormatting>
  <conditionalFormatting sqref="M235:M237 M253">
    <cfRule type="cellIs" dxfId="532" priority="506" operator="equal">
      <formula>0</formula>
    </cfRule>
  </conditionalFormatting>
  <conditionalFormatting sqref="M232:M237">
    <cfRule type="cellIs" dxfId="531" priority="507" operator="equal">
      <formula>0</formula>
    </cfRule>
  </conditionalFormatting>
  <conditionalFormatting sqref="N235:N237 N253">
    <cfRule type="cellIs" dxfId="530" priority="508" operator="equal">
      <formula>0</formula>
    </cfRule>
  </conditionalFormatting>
  <conditionalFormatting sqref="K235:K236">
    <cfRule type="cellIs" dxfId="529" priority="511" operator="equal">
      <formula>0</formula>
    </cfRule>
  </conditionalFormatting>
  <conditionalFormatting sqref="L235:L236">
    <cfRule type="cellIs" dxfId="528" priority="512" operator="equal">
      <formula>0</formula>
    </cfRule>
  </conditionalFormatting>
  <conditionalFormatting sqref="C243:Q244">
    <cfRule type="cellIs" dxfId="527" priority="513" operator="equal">
      <formula>0</formula>
    </cfRule>
  </conditionalFormatting>
  <conditionalFormatting sqref="M235:N235">
    <cfRule type="cellIs" dxfId="526" priority="516" operator="equal">
      <formula>0</formula>
    </cfRule>
  </conditionalFormatting>
  <conditionalFormatting sqref="N232:N237">
    <cfRule type="cellIs" dxfId="525" priority="509" operator="equal">
      <formula>0</formula>
    </cfRule>
  </conditionalFormatting>
  <conditionalFormatting sqref="O243:O244">
    <cfRule type="cellIs" dxfId="524" priority="514" operator="equal">
      <formula>0</formula>
    </cfRule>
  </conditionalFormatting>
  <conditionalFormatting sqref="M236:N236">
    <cfRule type="cellIs" dxfId="523" priority="517" operator="equal">
      <formula>0</formula>
    </cfRule>
  </conditionalFormatting>
  <conditionalFormatting sqref="R254:R261 C255:Q256 C254:H254 O254:Q254 C258:Q260 C257:H257 O257:Q257">
    <cfRule type="cellIs" dxfId="522" priority="518" operator="equal">
      <formula>0</formula>
    </cfRule>
  </conditionalFormatting>
  <conditionalFormatting sqref="C261:Q261">
    <cfRule type="cellIs" dxfId="521" priority="519" operator="equal">
      <formula>0</formula>
    </cfRule>
  </conditionalFormatting>
  <conditionalFormatting sqref="C261:Q261">
    <cfRule type="cellIs" dxfId="520" priority="521" operator="equal">
      <formula>0</formula>
    </cfRule>
  </conditionalFormatting>
  <conditionalFormatting sqref="C262:Q262">
    <cfRule type="cellIs" dxfId="519" priority="522" operator="equal">
      <formula>0</formula>
    </cfRule>
  </conditionalFormatting>
  <conditionalFormatting sqref="L235:L237 L253">
    <cfRule type="cellIs" dxfId="518" priority="504" operator="equal">
      <formula>0</formula>
    </cfRule>
  </conditionalFormatting>
  <conditionalFormatting sqref="C262:Q262">
    <cfRule type="expression" dxfId="517" priority="523">
      <formula>LEN(TRIM(C262))=0</formula>
    </cfRule>
  </conditionalFormatting>
  <conditionalFormatting sqref="R262">
    <cfRule type="cellIs" dxfId="516" priority="491" operator="equal">
      <formula>0</formula>
    </cfRule>
  </conditionalFormatting>
  <conditionalFormatting sqref="C240:R240 C245:Q249 R241:R252 C237:R238 C252:Q252 C250:N251 Q250:Q251 C242:Q242 C232:H232 J232:R233 O241:Q241 F233:H233 C233:D236 F234:R236">
    <cfRule type="expression" dxfId="515" priority="510">
      <formula>LEN(TRIM(C232))=0</formula>
    </cfRule>
  </conditionalFormatting>
  <conditionalFormatting sqref="C243:Q244">
    <cfRule type="expression" dxfId="514" priority="515">
      <formula>LEN(TRIM(C243))=0</formula>
    </cfRule>
  </conditionalFormatting>
  <conditionalFormatting sqref="C255:R256 C254:H254 O254:R254 C258:R261 C257:H257 O257:R257">
    <cfRule type="expression" dxfId="513" priority="520">
      <formula>LEN(TRIM(C254))=0</formula>
    </cfRule>
  </conditionalFormatting>
  <conditionalFormatting sqref="R262">
    <cfRule type="expression" dxfId="512" priority="492">
      <formula>LEN(TRIM(R262))=0</formula>
    </cfRule>
  </conditionalFormatting>
  <conditionalFormatting sqref="O250:P251">
    <cfRule type="cellIs" dxfId="511" priority="489" operator="equal">
      <formula>0</formula>
    </cfRule>
  </conditionalFormatting>
  <conditionalFormatting sqref="O250:P251">
    <cfRule type="expression" dxfId="510" priority="490">
      <formula>LEN(TRIM(O250))=0</formula>
    </cfRule>
  </conditionalFormatting>
  <conditionalFormatting sqref="D290:F290 C291:F292 O294:R294 C294:H294 G290:H292 C286:H289 I286:Q290 O276:R278 D278:H278 P273:R275 F273:F275 C273:C278 C281:R281 P280:R280 C280:N280 C293:Q293 R282:R293 C279:R279 I291:N292 Q291:Q292 C283:Q283 O282:Q282 D276:D277 F276:N277">
    <cfRule type="cellIs" dxfId="509" priority="458" operator="equal">
      <formula>0</formula>
    </cfRule>
  </conditionalFormatting>
  <conditionalFormatting sqref="O273:O278">
    <cfRule type="cellIs" dxfId="508" priority="459" operator="equal">
      <formula>0</formula>
    </cfRule>
  </conditionalFormatting>
  <conditionalFormatting sqref="C273:D278 G273:H278">
    <cfRule type="cellIs" dxfId="507" priority="460" operator="equal">
      <formula>0</formula>
    </cfRule>
  </conditionalFormatting>
  <conditionalFormatting sqref="E273 E278">
    <cfRule type="cellIs" dxfId="506" priority="461" operator="equal">
      <formula>0</formula>
    </cfRule>
  </conditionalFormatting>
  <conditionalFormatting sqref="C290">
    <cfRule type="cellIs" dxfId="505" priority="462" operator="equal">
      <formula>0</formula>
    </cfRule>
  </conditionalFormatting>
  <conditionalFormatting sqref="I276:I278 I294">
    <cfRule type="cellIs" dxfId="504" priority="463" operator="equal">
      <formula>0</formula>
    </cfRule>
  </conditionalFormatting>
  <conditionalFormatting sqref="I275:I278 J273:N273">
    <cfRule type="cellIs" dxfId="503" priority="464" operator="equal">
      <formula>0</formula>
    </cfRule>
  </conditionalFormatting>
  <conditionalFormatting sqref="J276:J278 J294">
    <cfRule type="cellIs" dxfId="502" priority="465" operator="equal">
      <formula>0</formula>
    </cfRule>
  </conditionalFormatting>
  <conditionalFormatting sqref="J273:J278">
    <cfRule type="cellIs" dxfId="501" priority="466" operator="equal">
      <formula>0</formula>
    </cfRule>
  </conditionalFormatting>
  <conditionalFormatting sqref="K276:K278 K294">
    <cfRule type="cellIs" dxfId="500" priority="467" operator="equal">
      <formula>0</formula>
    </cfRule>
  </conditionalFormatting>
  <conditionalFormatting sqref="K273:K278">
    <cfRule type="cellIs" dxfId="499" priority="468" operator="equal">
      <formula>0</formula>
    </cfRule>
  </conditionalFormatting>
  <conditionalFormatting sqref="L273:L278">
    <cfRule type="cellIs" dxfId="498" priority="470" operator="equal">
      <formula>0</formula>
    </cfRule>
  </conditionalFormatting>
  <conditionalFormatting sqref="M276:M278 M294">
    <cfRule type="cellIs" dxfId="497" priority="471" operator="equal">
      <formula>0</formula>
    </cfRule>
  </conditionalFormatting>
  <conditionalFormatting sqref="M273:M278">
    <cfRule type="cellIs" dxfId="496" priority="472" operator="equal">
      <formula>0</formula>
    </cfRule>
  </conditionalFormatting>
  <conditionalFormatting sqref="N276:N278 N294">
    <cfRule type="cellIs" dxfId="495" priority="473" operator="equal">
      <formula>0</formula>
    </cfRule>
  </conditionalFormatting>
  <conditionalFormatting sqref="K276:K277">
    <cfRule type="cellIs" dxfId="494" priority="476" operator="equal">
      <formula>0</formula>
    </cfRule>
  </conditionalFormatting>
  <conditionalFormatting sqref="L276:L277">
    <cfRule type="cellIs" dxfId="493" priority="477" operator="equal">
      <formula>0</formula>
    </cfRule>
  </conditionalFormatting>
  <conditionalFormatting sqref="C284:Q285">
    <cfRule type="cellIs" dxfId="492" priority="478" operator="equal">
      <formula>0</formula>
    </cfRule>
  </conditionalFormatting>
  <conditionalFormatting sqref="M276:N276">
    <cfRule type="cellIs" dxfId="491" priority="481" operator="equal">
      <formula>0</formula>
    </cfRule>
  </conditionalFormatting>
  <conditionalFormatting sqref="N273:N278">
    <cfRule type="cellIs" dxfId="490" priority="474" operator="equal">
      <formula>0</formula>
    </cfRule>
  </conditionalFormatting>
  <conditionalFormatting sqref="O284:O285">
    <cfRule type="cellIs" dxfId="489" priority="479" operator="equal">
      <formula>0</formula>
    </cfRule>
  </conditionalFormatting>
  <conditionalFormatting sqref="M277:N277">
    <cfRule type="cellIs" dxfId="488" priority="482" operator="equal">
      <formula>0</formula>
    </cfRule>
  </conditionalFormatting>
  <conditionalFormatting sqref="R295:R302 C296:Q297 C295:H295 O295:Q295 C299:Q301 C298:H298 O298:Q298">
    <cfRule type="cellIs" dxfId="487" priority="483" operator="equal">
      <formula>0</formula>
    </cfRule>
  </conditionalFormatting>
  <conditionalFormatting sqref="C302:Q302">
    <cfRule type="cellIs" dxfId="486" priority="484" operator="equal">
      <formula>0</formula>
    </cfRule>
  </conditionalFormatting>
  <conditionalFormatting sqref="C302:Q302">
    <cfRule type="cellIs" dxfId="485" priority="486" operator="equal">
      <formula>0</formula>
    </cfRule>
  </conditionalFormatting>
  <conditionalFormatting sqref="C303:Q303">
    <cfRule type="cellIs" dxfId="484" priority="487" operator="equal">
      <formula>0</formula>
    </cfRule>
  </conditionalFormatting>
  <conditionalFormatting sqref="L276:L278 L294">
    <cfRule type="cellIs" dxfId="483" priority="469" operator="equal">
      <formula>0</formula>
    </cfRule>
  </conditionalFormatting>
  <conditionalFormatting sqref="C303:Q303">
    <cfRule type="expression" dxfId="482" priority="488">
      <formula>LEN(TRIM(C303))=0</formula>
    </cfRule>
  </conditionalFormatting>
  <conditionalFormatting sqref="R303">
    <cfRule type="cellIs" dxfId="481" priority="456" operator="equal">
      <formula>0</formula>
    </cfRule>
  </conditionalFormatting>
  <conditionalFormatting sqref="C281:R281 C286:Q290 R282:R293 C278:R279 C293:Q293 C291:N292 Q291:Q292 C283:Q283 C273:H273 J273:R274 O282:Q282 F274:H274 C274:D277 F275:R277">
    <cfRule type="expression" dxfId="480" priority="475">
      <formula>LEN(TRIM(C273))=0</formula>
    </cfRule>
  </conditionalFormatting>
  <conditionalFormatting sqref="C284:Q285">
    <cfRule type="expression" dxfId="479" priority="480">
      <formula>LEN(TRIM(C284))=0</formula>
    </cfRule>
  </conditionalFormatting>
  <conditionalFormatting sqref="C296:R297 C295:H295 O295:R295 C299:R302 C298:H298 O298:R298">
    <cfRule type="expression" dxfId="478" priority="485">
      <formula>LEN(TRIM(C295))=0</formula>
    </cfRule>
  </conditionalFormatting>
  <conditionalFormatting sqref="R303">
    <cfRule type="expression" dxfId="477" priority="457">
      <formula>LEN(TRIM(R303))=0</formula>
    </cfRule>
  </conditionalFormatting>
  <conditionalFormatting sqref="O291:P292">
    <cfRule type="cellIs" dxfId="476" priority="454" operator="equal">
      <formula>0</formula>
    </cfRule>
  </conditionalFormatting>
  <conditionalFormatting sqref="O291:P292">
    <cfRule type="expression" dxfId="475" priority="455">
      <formula>LEN(TRIM(O291))=0</formula>
    </cfRule>
  </conditionalFormatting>
  <conditionalFormatting sqref="AI86:AJ87">
    <cfRule type="cellIs" dxfId="474" priority="452" operator="equal">
      <formula>0</formula>
    </cfRule>
  </conditionalFormatting>
  <conditionalFormatting sqref="AI86:AJ87">
    <cfRule type="expression" dxfId="473" priority="453">
      <formula>LEN(TRIM(AI86))=0</formula>
    </cfRule>
  </conditionalFormatting>
  <conditionalFormatting sqref="X126:Z126 W127:Z128 AI130:AL130 W130:AB130 AA126:AB128 W122:AB125 AC122:AK126 AI112:AL114 X114:AB114 AJ109:AL111 Z109:Z111 W109:W114 W117:AL117 AJ116:AL116 W116:AH116 W129:AK129 AL118:AL129 W115:AL115 AC127:AH128 AK127:AK128 W119:AK119 AI118:AK118 X112:X113 Z112:AB113 AF112:AH113">
    <cfRule type="cellIs" dxfId="472" priority="421" operator="equal">
      <formula>0</formula>
    </cfRule>
  </conditionalFormatting>
  <conditionalFormatting sqref="AI109:AI114">
    <cfRule type="cellIs" dxfId="471" priority="422" operator="equal">
      <formula>0</formula>
    </cfRule>
  </conditionalFormatting>
  <conditionalFormatting sqref="W109:X114 AA109:AB114">
    <cfRule type="cellIs" dxfId="470" priority="423" operator="equal">
      <formula>0</formula>
    </cfRule>
  </conditionalFormatting>
  <conditionalFormatting sqref="Y109 Y114">
    <cfRule type="cellIs" dxfId="469" priority="424" operator="equal">
      <formula>0</formula>
    </cfRule>
  </conditionalFormatting>
  <conditionalFormatting sqref="W126">
    <cfRule type="cellIs" dxfId="468" priority="425" operator="equal">
      <formula>0</formula>
    </cfRule>
  </conditionalFormatting>
  <conditionalFormatting sqref="AC114 AC130">
    <cfRule type="cellIs" dxfId="467" priority="426" operator="equal">
      <formula>0</formula>
    </cfRule>
  </conditionalFormatting>
  <conditionalFormatting sqref="AC114 AF109:AH109">
    <cfRule type="cellIs" dxfId="466" priority="427" operator="equal">
      <formula>0</formula>
    </cfRule>
  </conditionalFormatting>
  <conditionalFormatting sqref="AD114 AD130">
    <cfRule type="cellIs" dxfId="465" priority="428" operator="equal">
      <formula>0</formula>
    </cfRule>
  </conditionalFormatting>
  <conditionalFormatting sqref="AD114">
    <cfRule type="cellIs" dxfId="464" priority="429" operator="equal">
      <formula>0</formula>
    </cfRule>
  </conditionalFormatting>
  <conditionalFormatting sqref="AE114 AE130">
    <cfRule type="cellIs" dxfId="463" priority="430" operator="equal">
      <formula>0</formula>
    </cfRule>
  </conditionalFormatting>
  <conditionalFormatting sqref="AE114">
    <cfRule type="cellIs" dxfId="462" priority="431" operator="equal">
      <formula>0</formula>
    </cfRule>
  </conditionalFormatting>
  <conditionalFormatting sqref="AF109:AF114">
    <cfRule type="cellIs" dxfId="461" priority="433" operator="equal">
      <formula>0</formula>
    </cfRule>
  </conditionalFormatting>
  <conditionalFormatting sqref="AG112:AG114 AG130">
    <cfRule type="cellIs" dxfId="460" priority="434" operator="equal">
      <formula>0</formula>
    </cfRule>
  </conditionalFormatting>
  <conditionalFormatting sqref="AG109:AG114">
    <cfRule type="cellIs" dxfId="459" priority="435" operator="equal">
      <formula>0</formula>
    </cfRule>
  </conditionalFormatting>
  <conditionalFormatting sqref="AH112:AH114 AH130">
    <cfRule type="cellIs" dxfId="458" priority="436" operator="equal">
      <formula>0</formula>
    </cfRule>
  </conditionalFormatting>
  <conditionalFormatting sqref="AF112:AF113">
    <cfRule type="cellIs" dxfId="456" priority="440" operator="equal">
      <formula>0</formula>
    </cfRule>
  </conditionalFormatting>
  <conditionalFormatting sqref="W120:AK121">
    <cfRule type="cellIs" dxfId="455" priority="441" operator="equal">
      <formula>0</formula>
    </cfRule>
  </conditionalFormatting>
  <conditionalFormatting sqref="AG112:AH112">
    <cfRule type="cellIs" dxfId="454" priority="444" operator="equal">
      <formula>0</formula>
    </cfRule>
  </conditionalFormatting>
  <conditionalFormatting sqref="AH109:AH114">
    <cfRule type="cellIs" dxfId="453" priority="437" operator="equal">
      <formula>0</formula>
    </cfRule>
  </conditionalFormatting>
  <conditionalFormatting sqref="AI120:AI121">
    <cfRule type="cellIs" dxfId="452" priority="442" operator="equal">
      <formula>0</formula>
    </cfRule>
  </conditionalFormatting>
  <conditionalFormatting sqref="AG113:AH113">
    <cfRule type="cellIs" dxfId="451" priority="445" operator="equal">
      <formula>0</formula>
    </cfRule>
  </conditionalFormatting>
  <conditionalFormatting sqref="AL131:AL138 W135:AK137 W131:AB131 AI131:AK131 AI133:AK134 AJ132:AK132 W133:AB134">
    <cfRule type="cellIs" dxfId="450" priority="446" operator="equal">
      <formula>0</formula>
    </cfRule>
  </conditionalFormatting>
  <conditionalFormatting sqref="W138:AK138">
    <cfRule type="cellIs" dxfId="449" priority="447" operator="equal">
      <formula>0</formula>
    </cfRule>
  </conditionalFormatting>
  <conditionalFormatting sqref="W138:AK138">
    <cfRule type="cellIs" dxfId="448" priority="449" operator="equal">
      <formula>0</formula>
    </cfRule>
  </conditionalFormatting>
  <conditionalFormatting sqref="W139:AK139">
    <cfRule type="cellIs" dxfId="447" priority="450" operator="equal">
      <formula>0</formula>
    </cfRule>
  </conditionalFormatting>
  <conditionalFormatting sqref="AF112:AF114 AF130">
    <cfRule type="cellIs" dxfId="446" priority="432" operator="equal">
      <formula>0</formula>
    </cfRule>
  </conditionalFormatting>
  <conditionalFormatting sqref="W139:AK139">
    <cfRule type="expression" dxfId="445" priority="451">
      <formula>LEN(TRIM(W139))=0</formula>
    </cfRule>
  </conditionalFormatting>
  <conditionalFormatting sqref="AL139">
    <cfRule type="cellIs" dxfId="444" priority="419" operator="equal">
      <formula>0</formula>
    </cfRule>
  </conditionalFormatting>
  <conditionalFormatting sqref="W117:AL117 W122:AK126 AL118:AL129 W114:AL115 W129:AK129 W127:AH128 AK127:AK128 W119:AK119 W109:AB109 AI118:AK118 W110:X113 Z110:AB113 AF109:AL113">
    <cfRule type="expression" dxfId="443" priority="438">
      <formula>LEN(TRIM(W109))=0</formula>
    </cfRule>
  </conditionalFormatting>
  <conditionalFormatting sqref="W120:AK121">
    <cfRule type="expression" dxfId="442" priority="443">
      <formula>LEN(TRIM(W120))=0</formula>
    </cfRule>
  </conditionalFormatting>
  <conditionalFormatting sqref="W135:AL138 W131:AB131 AI131:AL131 AI133:AL134 AJ132:AL132 W133:AB134">
    <cfRule type="expression" dxfId="441" priority="448">
      <formula>LEN(TRIM(W131))=0</formula>
    </cfRule>
  </conditionalFormatting>
  <conditionalFormatting sqref="AL139">
    <cfRule type="expression" dxfId="440" priority="420">
      <formula>LEN(TRIM(AL139))=0</formula>
    </cfRule>
  </conditionalFormatting>
  <conditionalFormatting sqref="AI127:AJ128">
    <cfRule type="cellIs" dxfId="439" priority="417" operator="equal">
      <formula>0</formula>
    </cfRule>
  </conditionalFormatting>
  <conditionalFormatting sqref="AI127:AJ128">
    <cfRule type="expression" dxfId="438" priority="418">
      <formula>LEN(TRIM(AI127))=0</formula>
    </cfRule>
  </conditionalFormatting>
  <conditionalFormatting sqref="X167:Z167 W168:Z169 AI171:AL171 W171:AB171 AA167:AB169 W163:AB166 AC163:AK167 AI153:AL155 X155:AB155 AJ150:AL152 Z150:Z152 W150:W155 W158:AL158 AJ157:AL157 W157:AH157 W170:AK170 AL159:AL170 W156:AL156 AC168:AH169 AK168:AK169 W160:AK160 AI159:AK159 X153:X154 Z153:AB154 AF153:AH154">
    <cfRule type="cellIs" dxfId="437" priority="386" operator="equal">
      <formula>0</formula>
    </cfRule>
  </conditionalFormatting>
  <conditionalFormatting sqref="AI150:AI155">
    <cfRule type="cellIs" dxfId="436" priority="387" operator="equal">
      <formula>0</formula>
    </cfRule>
  </conditionalFormatting>
  <conditionalFormatting sqref="W150:X155 AA150:AB155">
    <cfRule type="cellIs" dxfId="435" priority="388" operator="equal">
      <formula>0</formula>
    </cfRule>
  </conditionalFormatting>
  <conditionalFormatting sqref="Y150 Y155">
    <cfRule type="cellIs" dxfId="434" priority="389" operator="equal">
      <formula>0</formula>
    </cfRule>
  </conditionalFormatting>
  <conditionalFormatting sqref="W167">
    <cfRule type="cellIs" dxfId="433" priority="390" operator="equal">
      <formula>0</formula>
    </cfRule>
  </conditionalFormatting>
  <conditionalFormatting sqref="AC155 AC171">
    <cfRule type="cellIs" dxfId="432" priority="391" operator="equal">
      <formula>0</formula>
    </cfRule>
  </conditionalFormatting>
  <conditionalFormatting sqref="AC155 AF150:AH150">
    <cfRule type="cellIs" dxfId="431" priority="392" operator="equal">
      <formula>0</formula>
    </cfRule>
  </conditionalFormatting>
  <conditionalFormatting sqref="AD155 AD171">
    <cfRule type="cellIs" dxfId="430" priority="393" operator="equal">
      <formula>0</formula>
    </cfRule>
  </conditionalFormatting>
  <conditionalFormatting sqref="AD155">
    <cfRule type="cellIs" dxfId="429" priority="394" operator="equal">
      <formula>0</formula>
    </cfRule>
  </conditionalFormatting>
  <conditionalFormatting sqref="AE155 AE171">
    <cfRule type="cellIs" dxfId="428" priority="395" operator="equal">
      <formula>0</formula>
    </cfRule>
  </conditionalFormatting>
  <conditionalFormatting sqref="AE155">
    <cfRule type="cellIs" dxfId="427" priority="396" operator="equal">
      <formula>0</formula>
    </cfRule>
  </conditionalFormatting>
  <conditionalFormatting sqref="AF150:AF155">
    <cfRule type="cellIs" dxfId="426" priority="398" operator="equal">
      <formula>0</formula>
    </cfRule>
  </conditionalFormatting>
  <conditionalFormatting sqref="AG153:AG155 AG171">
    <cfRule type="cellIs" dxfId="425" priority="399" operator="equal">
      <formula>0</formula>
    </cfRule>
  </conditionalFormatting>
  <conditionalFormatting sqref="AG150:AG155">
    <cfRule type="cellIs" dxfId="424" priority="400" operator="equal">
      <formula>0</formula>
    </cfRule>
  </conditionalFormatting>
  <conditionalFormatting sqref="AH153:AH155 AH171">
    <cfRule type="cellIs" dxfId="423" priority="401" operator="equal">
      <formula>0</formula>
    </cfRule>
  </conditionalFormatting>
  <conditionalFormatting sqref="AF153:AF154">
    <cfRule type="cellIs" dxfId="421" priority="405" operator="equal">
      <formula>0</formula>
    </cfRule>
  </conditionalFormatting>
  <conditionalFormatting sqref="W161:AK162">
    <cfRule type="cellIs" dxfId="420" priority="406" operator="equal">
      <formula>0</formula>
    </cfRule>
  </conditionalFormatting>
  <conditionalFormatting sqref="AG153:AH153">
    <cfRule type="cellIs" dxfId="419" priority="409" operator="equal">
      <formula>0</formula>
    </cfRule>
  </conditionalFormatting>
  <conditionalFormatting sqref="AH150:AH155">
    <cfRule type="cellIs" dxfId="418" priority="402" operator="equal">
      <formula>0</formula>
    </cfRule>
  </conditionalFormatting>
  <conditionalFormatting sqref="AI161:AI162">
    <cfRule type="cellIs" dxfId="417" priority="407" operator="equal">
      <formula>0</formula>
    </cfRule>
  </conditionalFormatting>
  <conditionalFormatting sqref="AG154:AH154">
    <cfRule type="cellIs" dxfId="416" priority="410" operator="equal">
      <formula>0</formula>
    </cfRule>
  </conditionalFormatting>
  <conditionalFormatting sqref="AL172:AL179 W176:AK178 W172:AB172 AI172:AK172 AI174:AK175 AJ173:AK173 W174:AB175">
    <cfRule type="cellIs" dxfId="415" priority="411" operator="equal">
      <formula>0</formula>
    </cfRule>
  </conditionalFormatting>
  <conditionalFormatting sqref="W179:AK179">
    <cfRule type="cellIs" dxfId="414" priority="412" operator="equal">
      <formula>0</formula>
    </cfRule>
  </conditionalFormatting>
  <conditionalFormatting sqref="W179:AK179">
    <cfRule type="cellIs" dxfId="413" priority="414" operator="equal">
      <formula>0</formula>
    </cfRule>
  </conditionalFormatting>
  <conditionalFormatting sqref="W180:AK180">
    <cfRule type="cellIs" dxfId="412" priority="415" operator="equal">
      <formula>0</formula>
    </cfRule>
  </conditionalFormatting>
  <conditionalFormatting sqref="AF153:AF155 AF171">
    <cfRule type="cellIs" dxfId="411" priority="397" operator="equal">
      <formula>0</formula>
    </cfRule>
  </conditionalFormatting>
  <conditionalFormatting sqref="W180:AK180">
    <cfRule type="expression" dxfId="410" priority="416">
      <formula>LEN(TRIM(W180))=0</formula>
    </cfRule>
  </conditionalFormatting>
  <conditionalFormatting sqref="AL180">
    <cfRule type="cellIs" dxfId="409" priority="384" operator="equal">
      <formula>0</formula>
    </cfRule>
  </conditionalFormatting>
  <conditionalFormatting sqref="W158:AL158 W163:AK167 AL159:AL170 W155:AL156 W170:AK170 W168:AH169 AK168:AK169 W160:AK160 W150:AB150 AI159:AK159 W151:X154 Z151:AB154 AF150:AL154">
    <cfRule type="expression" dxfId="408" priority="403">
      <formula>LEN(TRIM(W150))=0</formula>
    </cfRule>
  </conditionalFormatting>
  <conditionalFormatting sqref="W161:AK162">
    <cfRule type="expression" dxfId="407" priority="408">
      <formula>LEN(TRIM(W161))=0</formula>
    </cfRule>
  </conditionalFormatting>
  <conditionalFormatting sqref="W176:AL179 W172:AB172 AI172:AL172 AI174:AL175 AJ173:AL173 W174:AB175">
    <cfRule type="expression" dxfId="406" priority="413">
      <formula>LEN(TRIM(W172))=0</formula>
    </cfRule>
  </conditionalFormatting>
  <conditionalFormatting sqref="AL180">
    <cfRule type="expression" dxfId="405" priority="385">
      <formula>LEN(TRIM(AL180))=0</formula>
    </cfRule>
  </conditionalFormatting>
  <conditionalFormatting sqref="AI168:AJ169">
    <cfRule type="cellIs" dxfId="404" priority="382" operator="equal">
      <formula>0</formula>
    </cfRule>
  </conditionalFormatting>
  <conditionalFormatting sqref="AI168:AJ169">
    <cfRule type="expression" dxfId="403" priority="383">
      <formula>LEN(TRIM(AI168))=0</formula>
    </cfRule>
  </conditionalFormatting>
  <conditionalFormatting sqref="X208:Z208 W209:Z210 AI212:AL212 W212:AB212 AA208:AB210 W204:AB207 AC204:AK208 AI194:AL196 X196:AB196 AJ191:AL193 Z191:Z193 W191:W196 W199:AL199 AJ198:AL198 W198:AH198 W211:AK211 AL200:AL211 W197:AL197 AC209:AH210 AK209:AK210 W201:AK201 AI200:AK200 X194:X195 Z194:AB195 AF194:AH195">
    <cfRule type="cellIs" dxfId="402" priority="351" operator="equal">
      <formula>0</formula>
    </cfRule>
  </conditionalFormatting>
  <conditionalFormatting sqref="AI191:AI196">
    <cfRule type="cellIs" dxfId="401" priority="352" operator="equal">
      <formula>0</formula>
    </cfRule>
  </conditionalFormatting>
  <conditionalFormatting sqref="W191:X196 AA191:AB196">
    <cfRule type="cellIs" dxfId="400" priority="353" operator="equal">
      <formula>0</formula>
    </cfRule>
  </conditionalFormatting>
  <conditionalFormatting sqref="Y191 Y196">
    <cfRule type="cellIs" dxfId="399" priority="354" operator="equal">
      <formula>0</formula>
    </cfRule>
  </conditionalFormatting>
  <conditionalFormatting sqref="W208">
    <cfRule type="cellIs" dxfId="398" priority="355" operator="equal">
      <formula>0</formula>
    </cfRule>
  </conditionalFormatting>
  <conditionalFormatting sqref="AC196 AC212">
    <cfRule type="cellIs" dxfId="397" priority="356" operator="equal">
      <formula>0</formula>
    </cfRule>
  </conditionalFormatting>
  <conditionalFormatting sqref="AC196 AF191:AH191">
    <cfRule type="cellIs" dxfId="396" priority="357" operator="equal">
      <formula>0</formula>
    </cfRule>
  </conditionalFormatting>
  <conditionalFormatting sqref="AD196 AD212">
    <cfRule type="cellIs" dxfId="395" priority="358" operator="equal">
      <formula>0</formula>
    </cfRule>
  </conditionalFormatting>
  <conditionalFormatting sqref="AD196">
    <cfRule type="cellIs" dxfId="394" priority="359" operator="equal">
      <formula>0</formula>
    </cfRule>
  </conditionalFormatting>
  <conditionalFormatting sqref="AE196 AE212">
    <cfRule type="cellIs" dxfId="393" priority="360" operator="equal">
      <formula>0</formula>
    </cfRule>
  </conditionalFormatting>
  <conditionalFormatting sqref="AE196">
    <cfRule type="cellIs" dxfId="392" priority="361" operator="equal">
      <formula>0</formula>
    </cfRule>
  </conditionalFormatting>
  <conditionalFormatting sqref="AF191:AF196">
    <cfRule type="cellIs" dxfId="391" priority="363" operator="equal">
      <formula>0</formula>
    </cfRule>
  </conditionalFormatting>
  <conditionalFormatting sqref="AG194:AG196 AG212">
    <cfRule type="cellIs" dxfId="390" priority="364" operator="equal">
      <formula>0</formula>
    </cfRule>
  </conditionalFormatting>
  <conditionalFormatting sqref="AG191:AG196">
    <cfRule type="cellIs" dxfId="389" priority="365" operator="equal">
      <formula>0</formula>
    </cfRule>
  </conditionalFormatting>
  <conditionalFormatting sqref="AH194:AH196 AH212">
    <cfRule type="cellIs" dxfId="388" priority="366" operator="equal">
      <formula>0</formula>
    </cfRule>
  </conditionalFormatting>
  <conditionalFormatting sqref="AF194:AF195">
    <cfRule type="cellIs" dxfId="386" priority="370" operator="equal">
      <formula>0</formula>
    </cfRule>
  </conditionalFormatting>
  <conditionalFormatting sqref="W202:AK203">
    <cfRule type="cellIs" dxfId="385" priority="371" operator="equal">
      <formula>0</formula>
    </cfRule>
  </conditionalFormatting>
  <conditionalFormatting sqref="AG194:AH194">
    <cfRule type="cellIs" dxfId="384" priority="374" operator="equal">
      <formula>0</formula>
    </cfRule>
  </conditionalFormatting>
  <conditionalFormatting sqref="AH191:AH196">
    <cfRule type="cellIs" dxfId="383" priority="367" operator="equal">
      <formula>0</formula>
    </cfRule>
  </conditionalFormatting>
  <conditionalFormatting sqref="AI202:AI203">
    <cfRule type="cellIs" dxfId="382" priority="372" operator="equal">
      <formula>0</formula>
    </cfRule>
  </conditionalFormatting>
  <conditionalFormatting sqref="AG195:AH195">
    <cfRule type="cellIs" dxfId="381" priority="375" operator="equal">
      <formula>0</formula>
    </cfRule>
  </conditionalFormatting>
  <conditionalFormatting sqref="AL213:AL220 W217:AK219 W213:AB213 AI213:AK213 AI215:AK216 AJ214:AK214 W215:AB216">
    <cfRule type="cellIs" dxfId="380" priority="376" operator="equal">
      <formula>0</formula>
    </cfRule>
  </conditionalFormatting>
  <conditionalFormatting sqref="W220:AK220">
    <cfRule type="cellIs" dxfId="379" priority="377" operator="equal">
      <formula>0</formula>
    </cfRule>
  </conditionalFormatting>
  <conditionalFormatting sqref="W220:AK220">
    <cfRule type="cellIs" dxfId="378" priority="379" operator="equal">
      <formula>0</formula>
    </cfRule>
  </conditionalFormatting>
  <conditionalFormatting sqref="W221:AK221">
    <cfRule type="cellIs" dxfId="377" priority="380" operator="equal">
      <formula>0</formula>
    </cfRule>
  </conditionalFormatting>
  <conditionalFormatting sqref="AF194:AF196 AF212">
    <cfRule type="cellIs" dxfId="376" priority="362" operator="equal">
      <formula>0</formula>
    </cfRule>
  </conditionalFormatting>
  <conditionalFormatting sqref="W221:AK221">
    <cfRule type="expression" dxfId="375" priority="381">
      <formula>LEN(TRIM(W221))=0</formula>
    </cfRule>
  </conditionalFormatting>
  <conditionalFormatting sqref="AL221">
    <cfRule type="cellIs" dxfId="374" priority="349" operator="equal">
      <formula>0</formula>
    </cfRule>
  </conditionalFormatting>
  <conditionalFormatting sqref="W199:AL199 W204:AK208 AL200:AL211 W196:AL197 W211:AK211 W209:AH210 AK209:AK210 W201:AK201 W191:AB191 AI200:AK200 W192:X195 Z192:AB195 AF191:AL195">
    <cfRule type="expression" dxfId="373" priority="368">
      <formula>LEN(TRIM(W191))=0</formula>
    </cfRule>
  </conditionalFormatting>
  <conditionalFormatting sqref="W202:AK203">
    <cfRule type="expression" dxfId="372" priority="373">
      <formula>LEN(TRIM(W202))=0</formula>
    </cfRule>
  </conditionalFormatting>
  <conditionalFormatting sqref="W217:AL220 W213:AB213 AI213:AL213 AI215:AL216 AJ214:AL214 W215:AB216">
    <cfRule type="expression" dxfId="371" priority="378">
      <formula>LEN(TRIM(W213))=0</formula>
    </cfRule>
  </conditionalFormatting>
  <conditionalFormatting sqref="AL221">
    <cfRule type="expression" dxfId="370" priority="350">
      <formula>LEN(TRIM(AL221))=0</formula>
    </cfRule>
  </conditionalFormatting>
  <conditionalFormatting sqref="AI209:AJ210">
    <cfRule type="cellIs" dxfId="369" priority="347" operator="equal">
      <formula>0</formula>
    </cfRule>
  </conditionalFormatting>
  <conditionalFormatting sqref="AI209:AJ210">
    <cfRule type="expression" dxfId="368" priority="348">
      <formula>LEN(TRIM(AI209))=0</formula>
    </cfRule>
  </conditionalFormatting>
  <conditionalFormatting sqref="X249:Z249 W250:Z251 AI253:AL253 W253:AB253 AA249:AB251 W245:AB248 AC245:AK249 AI235:AL237 X237:AB237 AJ232:AL234 Z232:Z234 W232:W237 W240:AL240 AJ239:AL239 W239:AH239 W252:AK252 AL241:AL252 W238:AL238 AC250:AH251 AK250:AK251 W242:AK242 AI241:AK241 X235:X236 Z235:AB236 AF235:AH236">
    <cfRule type="cellIs" dxfId="367" priority="316" operator="equal">
      <formula>0</formula>
    </cfRule>
  </conditionalFormatting>
  <conditionalFormatting sqref="AI232:AI237">
    <cfRule type="cellIs" dxfId="366" priority="317" operator="equal">
      <formula>0</formula>
    </cfRule>
  </conditionalFormatting>
  <conditionalFormatting sqref="W232:X237 AA232:AB237">
    <cfRule type="cellIs" dxfId="365" priority="318" operator="equal">
      <formula>0</formula>
    </cfRule>
  </conditionalFormatting>
  <conditionalFormatting sqref="Y232 Y237">
    <cfRule type="cellIs" dxfId="364" priority="319" operator="equal">
      <formula>0</formula>
    </cfRule>
  </conditionalFormatting>
  <conditionalFormatting sqref="W249">
    <cfRule type="cellIs" dxfId="363" priority="320" operator="equal">
      <formula>0</formula>
    </cfRule>
  </conditionalFormatting>
  <conditionalFormatting sqref="AC237 AC253">
    <cfRule type="cellIs" dxfId="362" priority="321" operator="equal">
      <formula>0</formula>
    </cfRule>
  </conditionalFormatting>
  <conditionalFormatting sqref="AC237 AF232:AH232">
    <cfRule type="cellIs" dxfId="361" priority="322" operator="equal">
      <formula>0</formula>
    </cfRule>
  </conditionalFormatting>
  <conditionalFormatting sqref="AD237 AD253">
    <cfRule type="cellIs" dxfId="360" priority="323" operator="equal">
      <formula>0</formula>
    </cfRule>
  </conditionalFormatting>
  <conditionalFormatting sqref="AD237">
    <cfRule type="cellIs" dxfId="359" priority="324" operator="equal">
      <formula>0</formula>
    </cfRule>
  </conditionalFormatting>
  <conditionalFormatting sqref="AE237 AE253">
    <cfRule type="cellIs" dxfId="358" priority="325" operator="equal">
      <formula>0</formula>
    </cfRule>
  </conditionalFormatting>
  <conditionalFormatting sqref="AE237">
    <cfRule type="cellIs" dxfId="357" priority="326" operator="equal">
      <formula>0</formula>
    </cfRule>
  </conditionalFormatting>
  <conditionalFormatting sqref="AF232:AF237">
    <cfRule type="cellIs" dxfId="356" priority="328" operator="equal">
      <formula>0</formula>
    </cfRule>
  </conditionalFormatting>
  <conditionalFormatting sqref="AG235:AG237 AG253">
    <cfRule type="cellIs" dxfId="355" priority="329" operator="equal">
      <formula>0</formula>
    </cfRule>
  </conditionalFormatting>
  <conditionalFormatting sqref="AG232:AG237">
    <cfRule type="cellIs" dxfId="354" priority="330" operator="equal">
      <formula>0</formula>
    </cfRule>
  </conditionalFormatting>
  <conditionalFormatting sqref="AH235:AH237 AH253">
    <cfRule type="cellIs" dxfId="353" priority="331" operator="equal">
      <formula>0</formula>
    </cfRule>
  </conditionalFormatting>
  <conditionalFormatting sqref="AF235:AF236">
    <cfRule type="cellIs" dxfId="351" priority="335" operator="equal">
      <formula>0</formula>
    </cfRule>
  </conditionalFormatting>
  <conditionalFormatting sqref="W243:AK244">
    <cfRule type="cellIs" dxfId="350" priority="336" operator="equal">
      <formula>0</formula>
    </cfRule>
  </conditionalFormatting>
  <conditionalFormatting sqref="AG235:AH235">
    <cfRule type="cellIs" dxfId="349" priority="339" operator="equal">
      <formula>0</formula>
    </cfRule>
  </conditionalFormatting>
  <conditionalFormatting sqref="AH232:AH237">
    <cfRule type="cellIs" dxfId="348" priority="332" operator="equal">
      <formula>0</formula>
    </cfRule>
  </conditionalFormatting>
  <conditionalFormatting sqref="AI243:AI244">
    <cfRule type="cellIs" dxfId="347" priority="337" operator="equal">
      <formula>0</formula>
    </cfRule>
  </conditionalFormatting>
  <conditionalFormatting sqref="AG236:AH236">
    <cfRule type="cellIs" dxfId="346" priority="340" operator="equal">
      <formula>0</formula>
    </cfRule>
  </conditionalFormatting>
  <conditionalFormatting sqref="AL254:AL261 W258:AK260 W254:AB254 AI254:AK254 AI256:AK257 AJ255:AK255 W256:AB257">
    <cfRule type="cellIs" dxfId="345" priority="341" operator="equal">
      <formula>0</formula>
    </cfRule>
  </conditionalFormatting>
  <conditionalFormatting sqref="W261:AK261">
    <cfRule type="cellIs" dxfId="344" priority="342" operator="equal">
      <formula>0</formula>
    </cfRule>
  </conditionalFormatting>
  <conditionalFormatting sqref="W261:AK261">
    <cfRule type="cellIs" dxfId="343" priority="344" operator="equal">
      <formula>0</formula>
    </cfRule>
  </conditionalFormatting>
  <conditionalFormatting sqref="W262:AK262">
    <cfRule type="cellIs" dxfId="342" priority="345" operator="equal">
      <formula>0</formula>
    </cfRule>
  </conditionalFormatting>
  <conditionalFormatting sqref="AF235:AF237 AF253">
    <cfRule type="cellIs" dxfId="341" priority="327" operator="equal">
      <formula>0</formula>
    </cfRule>
  </conditionalFormatting>
  <conditionalFormatting sqref="W262:AK262">
    <cfRule type="expression" dxfId="340" priority="346">
      <formula>LEN(TRIM(W262))=0</formula>
    </cfRule>
  </conditionalFormatting>
  <conditionalFormatting sqref="AL262">
    <cfRule type="cellIs" dxfId="339" priority="314" operator="equal">
      <formula>0</formula>
    </cfRule>
  </conditionalFormatting>
  <conditionalFormatting sqref="W240:AL240 W245:AK249 AL241:AL252 W237:AL238 W252:AK252 W250:AH251 AK250:AK251 W242:AK242 W232:AB232 AI241:AK241 W233:X236 Z233:AB236 AF232:AL236">
    <cfRule type="expression" dxfId="338" priority="333">
      <formula>LEN(TRIM(W232))=0</formula>
    </cfRule>
  </conditionalFormatting>
  <conditionalFormatting sqref="W243:AK244">
    <cfRule type="expression" dxfId="337" priority="338">
      <formula>LEN(TRIM(W243))=0</formula>
    </cfRule>
  </conditionalFormatting>
  <conditionalFormatting sqref="W258:AL261 W254:AB254 AI254:AL254 AI256:AL257 AJ255:AL255 W256:AB257">
    <cfRule type="expression" dxfId="336" priority="343">
      <formula>LEN(TRIM(W254))=0</formula>
    </cfRule>
  </conditionalFormatting>
  <conditionalFormatting sqref="AL262">
    <cfRule type="expression" dxfId="335" priority="315">
      <formula>LEN(TRIM(AL262))=0</formula>
    </cfRule>
  </conditionalFormatting>
  <conditionalFormatting sqref="AI250:AJ251">
    <cfRule type="cellIs" dxfId="334" priority="312" operator="equal">
      <formula>0</formula>
    </cfRule>
  </conditionalFormatting>
  <conditionalFormatting sqref="AI250:AJ251">
    <cfRule type="expression" dxfId="333" priority="313">
      <formula>LEN(TRIM(AI250))=0</formula>
    </cfRule>
  </conditionalFormatting>
  <conditionalFormatting sqref="X290:Z290 W291:Z292 AI294:AL294 W294:AB294 AA290:AB292 W286:AB289 AC286:AK290 AI276:AL278 X278:AB278 AJ273:AL275 Z273:Z275 W273:W278 W281:AL281 AJ280:AL280 W280:AH280 W293:AK293 AL282:AL293 W279:AL279 AC291:AH292 AK291:AK292 W283:AK283 AI282:AK282 X276:X277 Z276:AB277 AF276:AH277">
    <cfRule type="cellIs" dxfId="332" priority="281" operator="equal">
      <formula>0</formula>
    </cfRule>
  </conditionalFormatting>
  <conditionalFormatting sqref="AI273:AI278">
    <cfRule type="cellIs" dxfId="331" priority="282" operator="equal">
      <formula>0</formula>
    </cfRule>
  </conditionalFormatting>
  <conditionalFormatting sqref="W273:X278 AA273:AB278">
    <cfRule type="cellIs" dxfId="330" priority="283" operator="equal">
      <formula>0</formula>
    </cfRule>
  </conditionalFormatting>
  <conditionalFormatting sqref="Y273 Y278">
    <cfRule type="cellIs" dxfId="329" priority="284" operator="equal">
      <formula>0</formula>
    </cfRule>
  </conditionalFormatting>
  <conditionalFormatting sqref="W290">
    <cfRule type="cellIs" dxfId="328" priority="285" operator="equal">
      <formula>0</formula>
    </cfRule>
  </conditionalFormatting>
  <conditionalFormatting sqref="AC278 AC294">
    <cfRule type="cellIs" dxfId="327" priority="286" operator="equal">
      <formula>0</formula>
    </cfRule>
  </conditionalFormatting>
  <conditionalFormatting sqref="AC278 AF273:AH273">
    <cfRule type="cellIs" dxfId="326" priority="287" operator="equal">
      <formula>0</formula>
    </cfRule>
  </conditionalFormatting>
  <conditionalFormatting sqref="AD278 AD294">
    <cfRule type="cellIs" dxfId="325" priority="288" operator="equal">
      <formula>0</formula>
    </cfRule>
  </conditionalFormatting>
  <conditionalFormatting sqref="AD278">
    <cfRule type="cellIs" dxfId="324" priority="289" operator="equal">
      <formula>0</formula>
    </cfRule>
  </conditionalFormatting>
  <conditionalFormatting sqref="AE278 AE294">
    <cfRule type="cellIs" dxfId="323" priority="290" operator="equal">
      <formula>0</formula>
    </cfRule>
  </conditionalFormatting>
  <conditionalFormatting sqref="AE278">
    <cfRule type="cellIs" dxfId="322" priority="291" operator="equal">
      <formula>0</formula>
    </cfRule>
  </conditionalFormatting>
  <conditionalFormatting sqref="AF273:AF278">
    <cfRule type="cellIs" dxfId="321" priority="293" operator="equal">
      <formula>0</formula>
    </cfRule>
  </conditionalFormatting>
  <conditionalFormatting sqref="AG276:AG278 AG294">
    <cfRule type="cellIs" dxfId="320" priority="294" operator="equal">
      <formula>0</formula>
    </cfRule>
  </conditionalFormatting>
  <conditionalFormatting sqref="AG273:AG278">
    <cfRule type="cellIs" dxfId="319" priority="295" operator="equal">
      <formula>0</formula>
    </cfRule>
  </conditionalFormatting>
  <conditionalFormatting sqref="AH276:AH278 AH294">
    <cfRule type="cellIs" dxfId="318" priority="296" operator="equal">
      <formula>0</formula>
    </cfRule>
  </conditionalFormatting>
  <conditionalFormatting sqref="AF276:AF277">
    <cfRule type="cellIs" dxfId="316" priority="300" operator="equal">
      <formula>0</formula>
    </cfRule>
  </conditionalFormatting>
  <conditionalFormatting sqref="W284:AK285">
    <cfRule type="cellIs" dxfId="315" priority="301" operator="equal">
      <formula>0</formula>
    </cfRule>
  </conditionalFormatting>
  <conditionalFormatting sqref="AG276:AH276">
    <cfRule type="cellIs" dxfId="314" priority="304" operator="equal">
      <formula>0</formula>
    </cfRule>
  </conditionalFormatting>
  <conditionalFormatting sqref="AH273:AH278">
    <cfRule type="cellIs" dxfId="313" priority="297" operator="equal">
      <formula>0</formula>
    </cfRule>
  </conditionalFormatting>
  <conditionalFormatting sqref="AI284:AI285">
    <cfRule type="cellIs" dxfId="312" priority="302" operator="equal">
      <formula>0</formula>
    </cfRule>
  </conditionalFormatting>
  <conditionalFormatting sqref="AG277:AH277">
    <cfRule type="cellIs" dxfId="311" priority="305" operator="equal">
      <formula>0</formula>
    </cfRule>
  </conditionalFormatting>
  <conditionalFormatting sqref="AL295:AL302 W299:AK301 W295:AB295 AI295:AK295 AI297:AK298 AJ296:AK296 W297:AB298">
    <cfRule type="cellIs" dxfId="310" priority="306" operator="equal">
      <formula>0</formula>
    </cfRule>
  </conditionalFormatting>
  <conditionalFormatting sqref="W302:AK302">
    <cfRule type="cellIs" dxfId="309" priority="307" operator="equal">
      <formula>0</formula>
    </cfRule>
  </conditionalFormatting>
  <conditionalFormatting sqref="W302:AK302">
    <cfRule type="cellIs" dxfId="308" priority="309" operator="equal">
      <formula>0</formula>
    </cfRule>
  </conditionalFormatting>
  <conditionalFormatting sqref="W303:AK303">
    <cfRule type="cellIs" dxfId="307" priority="310" operator="equal">
      <formula>0</formula>
    </cfRule>
  </conditionalFormatting>
  <conditionalFormatting sqref="AF276:AF278 AF294">
    <cfRule type="cellIs" dxfId="306" priority="292" operator="equal">
      <formula>0</formula>
    </cfRule>
  </conditionalFormatting>
  <conditionalFormatting sqref="W303:AK303">
    <cfRule type="expression" dxfId="305" priority="311">
      <formula>LEN(TRIM(W303))=0</formula>
    </cfRule>
  </conditionalFormatting>
  <conditionalFormatting sqref="AL303">
    <cfRule type="cellIs" dxfId="304" priority="279" operator="equal">
      <formula>0</formula>
    </cfRule>
  </conditionalFormatting>
  <conditionalFormatting sqref="W281:AL281 W286:AK290 AL282:AL293 W278:AL279 W293:AK293 W291:AH292 AK291:AK292 W283:AK283 W273:AB273 AI282:AK282 W274:X277 Z274:AB277 AF273:AL277">
    <cfRule type="expression" dxfId="303" priority="298">
      <formula>LEN(TRIM(W273))=0</formula>
    </cfRule>
  </conditionalFormatting>
  <conditionalFormatting sqref="W284:AK285">
    <cfRule type="expression" dxfId="302" priority="303">
      <formula>LEN(TRIM(W284))=0</formula>
    </cfRule>
  </conditionalFormatting>
  <conditionalFormatting sqref="W299:AL302 W295:AB295 AI295:AL295 AI297:AL298 AJ296:AL296 W297:AB298">
    <cfRule type="expression" dxfId="301" priority="308">
      <formula>LEN(TRIM(W295))=0</formula>
    </cfRule>
  </conditionalFormatting>
  <conditionalFormatting sqref="AL303">
    <cfRule type="expression" dxfId="300" priority="280">
      <formula>LEN(TRIM(AL303))=0</formula>
    </cfRule>
  </conditionalFormatting>
  <conditionalFormatting sqref="AI291:AJ292">
    <cfRule type="cellIs" dxfId="299" priority="277" operator="equal">
      <formula>0</formula>
    </cfRule>
  </conditionalFormatting>
  <conditionalFormatting sqref="AI291:AJ292">
    <cfRule type="expression" dxfId="298" priority="278">
      <formula>LEN(TRIM(AI291))=0</formula>
    </cfRule>
  </conditionalFormatting>
  <conditionalFormatting sqref="I68:I69">
    <cfRule type="cellIs" dxfId="297" priority="275" operator="equal">
      <formula>0</formula>
    </cfRule>
  </conditionalFormatting>
  <conditionalFormatting sqref="I68:I69">
    <cfRule type="expression" dxfId="296" priority="276">
      <formula>LEN(TRIM(I68))=0</formula>
    </cfRule>
  </conditionalFormatting>
  <conditionalFormatting sqref="I109:I110">
    <cfRule type="cellIs" dxfId="295" priority="273" operator="equal">
      <formula>0</formula>
    </cfRule>
  </conditionalFormatting>
  <conditionalFormatting sqref="I109:I110">
    <cfRule type="expression" dxfId="294" priority="274">
      <formula>LEN(TRIM(I109))=0</formula>
    </cfRule>
  </conditionalFormatting>
  <conditionalFormatting sqref="I150:I151">
    <cfRule type="cellIs" dxfId="293" priority="271" operator="equal">
      <formula>0</formula>
    </cfRule>
  </conditionalFormatting>
  <conditionalFormatting sqref="I150:I151">
    <cfRule type="expression" dxfId="292" priority="272">
      <formula>LEN(TRIM(I150))=0</formula>
    </cfRule>
  </conditionalFormatting>
  <conditionalFormatting sqref="I191:I192">
    <cfRule type="cellIs" dxfId="291" priority="269" operator="equal">
      <formula>0</formula>
    </cfRule>
  </conditionalFormatting>
  <conditionalFormatting sqref="I191:I192">
    <cfRule type="expression" dxfId="290" priority="270">
      <formula>LEN(TRIM(I191))=0</formula>
    </cfRule>
  </conditionalFormatting>
  <conditionalFormatting sqref="I232:I233">
    <cfRule type="cellIs" dxfId="289" priority="267" operator="equal">
      <formula>0</formula>
    </cfRule>
  </conditionalFormatting>
  <conditionalFormatting sqref="I232:I233">
    <cfRule type="expression" dxfId="288" priority="268">
      <formula>LEN(TRIM(I232))=0</formula>
    </cfRule>
  </conditionalFormatting>
  <conditionalFormatting sqref="I273:I274">
    <cfRule type="cellIs" dxfId="287" priority="265" operator="equal">
      <formula>0</formula>
    </cfRule>
  </conditionalFormatting>
  <conditionalFormatting sqref="I273:I274">
    <cfRule type="expression" dxfId="286" priority="266">
      <formula>LEN(TRIM(I273))=0</formula>
    </cfRule>
  </conditionalFormatting>
  <conditionalFormatting sqref="I134:N134">
    <cfRule type="cellIs" dxfId="285" priority="251" operator="equal">
      <formula>0</formula>
    </cfRule>
  </conditionalFormatting>
  <conditionalFormatting sqref="I134:N134">
    <cfRule type="expression" dxfId="284" priority="252">
      <formula>LEN(TRIM(I134))=0</formula>
    </cfRule>
  </conditionalFormatting>
  <conditionalFormatting sqref="I131:N131">
    <cfRule type="cellIs" dxfId="283" priority="249" operator="equal">
      <formula>0</formula>
    </cfRule>
  </conditionalFormatting>
  <conditionalFormatting sqref="I131:N131">
    <cfRule type="expression" dxfId="282" priority="250">
      <formula>LEN(TRIM(I131))=0</formula>
    </cfRule>
  </conditionalFormatting>
  <conditionalFormatting sqref="I172:N172">
    <cfRule type="cellIs" dxfId="281" priority="247" operator="equal">
      <formula>0</formula>
    </cfRule>
  </conditionalFormatting>
  <conditionalFormatting sqref="I172:N172">
    <cfRule type="expression" dxfId="280" priority="248">
      <formula>LEN(TRIM(I172))=0</formula>
    </cfRule>
  </conditionalFormatting>
  <conditionalFormatting sqref="I175:N175">
    <cfRule type="cellIs" dxfId="279" priority="245" operator="equal">
      <formula>0</formula>
    </cfRule>
  </conditionalFormatting>
  <conditionalFormatting sqref="I175:N175">
    <cfRule type="expression" dxfId="278" priority="246">
      <formula>LEN(TRIM(I175))=0</formula>
    </cfRule>
  </conditionalFormatting>
  <conditionalFormatting sqref="I213:N213">
    <cfRule type="cellIs" dxfId="277" priority="243" operator="equal">
      <formula>0</formula>
    </cfRule>
  </conditionalFormatting>
  <conditionalFormatting sqref="I213:N213">
    <cfRule type="expression" dxfId="276" priority="244">
      <formula>LEN(TRIM(I213))=0</formula>
    </cfRule>
  </conditionalFormatting>
  <conditionalFormatting sqref="I216:N216">
    <cfRule type="cellIs" dxfId="275" priority="241" operator="equal">
      <formula>0</formula>
    </cfRule>
  </conditionalFormatting>
  <conditionalFormatting sqref="I216:N216">
    <cfRule type="expression" dxfId="274" priority="242">
      <formula>LEN(TRIM(I216))=0</formula>
    </cfRule>
  </conditionalFormatting>
  <conditionalFormatting sqref="I254:N254">
    <cfRule type="cellIs" dxfId="273" priority="239" operator="equal">
      <formula>0</formula>
    </cfRule>
  </conditionalFormatting>
  <conditionalFormatting sqref="I254:N254">
    <cfRule type="expression" dxfId="272" priority="240">
      <formula>LEN(TRIM(I254))=0</formula>
    </cfRule>
  </conditionalFormatting>
  <conditionalFormatting sqref="I257:N257">
    <cfRule type="cellIs" dxfId="271" priority="237" operator="equal">
      <formula>0</formula>
    </cfRule>
  </conditionalFormatting>
  <conditionalFormatting sqref="I257:N257">
    <cfRule type="expression" dxfId="270" priority="238">
      <formula>LEN(TRIM(I257))=0</formula>
    </cfRule>
  </conditionalFormatting>
  <conditionalFormatting sqref="I295:N295">
    <cfRule type="cellIs" dxfId="269" priority="235" operator="equal">
      <formula>0</formula>
    </cfRule>
  </conditionalFormatting>
  <conditionalFormatting sqref="I295:N295">
    <cfRule type="expression" dxfId="268" priority="236">
      <formula>LEN(TRIM(I295))=0</formula>
    </cfRule>
  </conditionalFormatting>
  <conditionalFormatting sqref="I298:N298">
    <cfRule type="cellIs" dxfId="267" priority="233" operator="equal">
      <formula>0</formula>
    </cfRule>
  </conditionalFormatting>
  <conditionalFormatting sqref="I298:N298">
    <cfRule type="expression" dxfId="266" priority="234">
      <formula>LEN(TRIM(I298))=0</formula>
    </cfRule>
  </conditionalFormatting>
  <conditionalFormatting sqref="C77:N77">
    <cfRule type="cellIs" dxfId="265" priority="231" operator="equal">
      <formula>0</formula>
    </cfRule>
  </conditionalFormatting>
  <conditionalFormatting sqref="C77:N77">
    <cfRule type="expression" dxfId="264" priority="232">
      <formula>LEN(TRIM(C77))=0</formula>
    </cfRule>
  </conditionalFormatting>
  <conditionalFormatting sqref="C118:N118">
    <cfRule type="cellIs" dxfId="263" priority="229" operator="equal">
      <formula>0</formula>
    </cfRule>
  </conditionalFormatting>
  <conditionalFormatting sqref="C118:N118">
    <cfRule type="expression" dxfId="262" priority="230">
      <formula>LEN(TRIM(C118))=0</formula>
    </cfRule>
  </conditionalFormatting>
  <conditionalFormatting sqref="C159:N159">
    <cfRule type="cellIs" dxfId="261" priority="227" operator="equal">
      <formula>0</formula>
    </cfRule>
  </conditionalFormatting>
  <conditionalFormatting sqref="C159:N159">
    <cfRule type="expression" dxfId="260" priority="228">
      <formula>LEN(TRIM(C159))=0</formula>
    </cfRule>
  </conditionalFormatting>
  <conditionalFormatting sqref="C200:N200">
    <cfRule type="cellIs" dxfId="259" priority="225" operator="equal">
      <formula>0</formula>
    </cfRule>
  </conditionalFormatting>
  <conditionalFormatting sqref="C200:N200">
    <cfRule type="expression" dxfId="258" priority="226">
      <formula>LEN(TRIM(C200))=0</formula>
    </cfRule>
  </conditionalFormatting>
  <conditionalFormatting sqref="C241:N241">
    <cfRule type="cellIs" dxfId="257" priority="223" operator="equal">
      <formula>0</formula>
    </cfRule>
  </conditionalFormatting>
  <conditionalFormatting sqref="C241:N241">
    <cfRule type="expression" dxfId="256" priority="224">
      <formula>LEN(TRIM(C241))=0</formula>
    </cfRule>
  </conditionalFormatting>
  <conditionalFormatting sqref="C282:N282">
    <cfRule type="cellIs" dxfId="255" priority="221" operator="equal">
      <formula>0</formula>
    </cfRule>
  </conditionalFormatting>
  <conditionalFormatting sqref="C282:N282">
    <cfRule type="expression" dxfId="254" priority="222">
      <formula>LEN(TRIM(C282))=0</formula>
    </cfRule>
  </conditionalFormatting>
  <conditionalFormatting sqref="E112:E113">
    <cfRule type="cellIs" dxfId="253" priority="218" operator="equal">
      <formula>0</formula>
    </cfRule>
  </conditionalFormatting>
  <conditionalFormatting sqref="E110:E113">
    <cfRule type="cellIs" dxfId="252" priority="219" operator="equal">
      <formula>0</formula>
    </cfRule>
  </conditionalFormatting>
  <conditionalFormatting sqref="E110:E113">
    <cfRule type="expression" dxfId="251" priority="220">
      <formula>LEN(TRIM(E110))=0</formula>
    </cfRule>
  </conditionalFormatting>
  <conditionalFormatting sqref="E153:E154">
    <cfRule type="cellIs" dxfId="250" priority="215" operator="equal">
      <formula>0</formula>
    </cfRule>
  </conditionalFormatting>
  <conditionalFormatting sqref="E151:E154">
    <cfRule type="cellIs" dxfId="249" priority="216" operator="equal">
      <formula>0</formula>
    </cfRule>
  </conditionalFormatting>
  <conditionalFormatting sqref="E151:E154">
    <cfRule type="expression" dxfId="248" priority="217">
      <formula>LEN(TRIM(E151))=0</formula>
    </cfRule>
  </conditionalFormatting>
  <conditionalFormatting sqref="E194:E195">
    <cfRule type="cellIs" dxfId="247" priority="212" operator="equal">
      <formula>0</formula>
    </cfRule>
  </conditionalFormatting>
  <conditionalFormatting sqref="E192:E195">
    <cfRule type="cellIs" dxfId="246" priority="213" operator="equal">
      <formula>0</formula>
    </cfRule>
  </conditionalFormatting>
  <conditionalFormatting sqref="E192:E195">
    <cfRule type="expression" dxfId="245" priority="214">
      <formula>LEN(TRIM(E192))=0</formula>
    </cfRule>
  </conditionalFormatting>
  <conditionalFormatting sqref="E235:E236">
    <cfRule type="cellIs" dxfId="244" priority="209" operator="equal">
      <formula>0</formula>
    </cfRule>
  </conditionalFormatting>
  <conditionalFormatting sqref="E233:E236">
    <cfRule type="cellIs" dxfId="243" priority="210" operator="equal">
      <formula>0</formula>
    </cfRule>
  </conditionalFormatting>
  <conditionalFormatting sqref="E233:E236">
    <cfRule type="expression" dxfId="242" priority="211">
      <formula>LEN(TRIM(E233))=0</formula>
    </cfRule>
  </conditionalFormatting>
  <conditionalFormatting sqref="E276:E277">
    <cfRule type="cellIs" dxfId="241" priority="206" operator="equal">
      <formula>0</formula>
    </cfRule>
  </conditionalFormatting>
  <conditionalFormatting sqref="E274:E277">
    <cfRule type="cellIs" dxfId="240" priority="207" operator="equal">
      <formula>0</formula>
    </cfRule>
  </conditionalFormatting>
  <conditionalFormatting sqref="E274:E277">
    <cfRule type="expression" dxfId="239" priority="208">
      <formula>LEN(TRIM(E274))=0</formula>
    </cfRule>
  </conditionalFormatting>
  <conditionalFormatting sqref="AC131:AH131 AC133:AH134">
    <cfRule type="cellIs" dxfId="238" priority="204" operator="equal">
      <formula>0</formula>
    </cfRule>
  </conditionalFormatting>
  <conditionalFormatting sqref="AC131:AH131 AC133:AH134">
    <cfRule type="expression" dxfId="237" priority="205">
      <formula>LEN(TRIM(AC131))=0</formula>
    </cfRule>
  </conditionalFormatting>
  <conditionalFormatting sqref="AC172:AH172 AC174:AH175">
    <cfRule type="cellIs" dxfId="236" priority="202" operator="equal">
      <formula>0</formula>
    </cfRule>
  </conditionalFormatting>
  <conditionalFormatting sqref="AC172:AH172 AC174:AH175">
    <cfRule type="expression" dxfId="235" priority="203">
      <formula>LEN(TRIM(AC172))=0</formula>
    </cfRule>
  </conditionalFormatting>
  <conditionalFormatting sqref="AC213:AH213 AC215:AH216">
    <cfRule type="cellIs" dxfId="234" priority="200" operator="equal">
      <formula>0</formula>
    </cfRule>
  </conditionalFormatting>
  <conditionalFormatting sqref="AC213:AH213 AC215:AH216">
    <cfRule type="expression" dxfId="233" priority="201">
      <formula>LEN(TRIM(AC213))=0</formula>
    </cfRule>
  </conditionalFormatting>
  <conditionalFormatting sqref="AC254:AH254 AC256:AH257">
    <cfRule type="cellIs" dxfId="232" priority="198" operator="equal">
      <formula>0</formula>
    </cfRule>
  </conditionalFormatting>
  <conditionalFormatting sqref="AC254:AH254 AC256:AH257">
    <cfRule type="expression" dxfId="231" priority="199">
      <formula>LEN(TRIM(AC254))=0</formula>
    </cfRule>
  </conditionalFormatting>
  <conditionalFormatting sqref="AC295:AH295 AC297:AH298">
    <cfRule type="cellIs" dxfId="230" priority="196" operator="equal">
      <formula>0</formula>
    </cfRule>
  </conditionalFormatting>
  <conditionalFormatting sqref="AC295:AH295 AC297:AH298">
    <cfRule type="expression" dxfId="229" priority="197">
      <formula>LEN(TRIM(AC295))=0</formula>
    </cfRule>
  </conditionalFormatting>
  <conditionalFormatting sqref="W118:AH118">
    <cfRule type="cellIs" dxfId="228" priority="194" operator="equal">
      <formula>0</formula>
    </cfRule>
  </conditionalFormatting>
  <conditionalFormatting sqref="W118:AH118">
    <cfRule type="expression" dxfId="227" priority="195">
      <formula>LEN(TRIM(W118))=0</formula>
    </cfRule>
  </conditionalFormatting>
  <conditionalFormatting sqref="W159:AH159">
    <cfRule type="cellIs" dxfId="226" priority="192" operator="equal">
      <formula>0</formula>
    </cfRule>
  </conditionalFormatting>
  <conditionalFormatting sqref="W159:AH159">
    <cfRule type="expression" dxfId="225" priority="193">
      <formula>LEN(TRIM(W159))=0</formula>
    </cfRule>
  </conditionalFormatting>
  <conditionalFormatting sqref="W200:AH200">
    <cfRule type="cellIs" dxfId="224" priority="190" operator="equal">
      <formula>0</formula>
    </cfRule>
  </conditionalFormatting>
  <conditionalFormatting sqref="W200:AH200">
    <cfRule type="expression" dxfId="223" priority="191">
      <formula>LEN(TRIM(W200))=0</formula>
    </cfRule>
  </conditionalFormatting>
  <conditionalFormatting sqref="W241:AH241">
    <cfRule type="cellIs" dxfId="222" priority="188" operator="equal">
      <formula>0</formula>
    </cfRule>
  </conditionalFormatting>
  <conditionalFormatting sqref="W241:AH241">
    <cfRule type="expression" dxfId="221" priority="189">
      <formula>LEN(TRIM(W241))=0</formula>
    </cfRule>
  </conditionalFormatting>
  <conditionalFormatting sqref="W282:AH282">
    <cfRule type="cellIs" dxfId="220" priority="186" operator="equal">
      <formula>0</formula>
    </cfRule>
  </conditionalFormatting>
  <conditionalFormatting sqref="W282:AH282">
    <cfRule type="expression" dxfId="219" priority="187">
      <formula>LEN(TRIM(W282))=0</formula>
    </cfRule>
  </conditionalFormatting>
  <conditionalFormatting sqref="Y91:AI91">
    <cfRule type="cellIs" dxfId="160" priority="160" operator="equal">
      <formula>0</formula>
    </cfRule>
  </conditionalFormatting>
  <conditionalFormatting sqref="Y91:AI91">
    <cfRule type="expression" dxfId="159" priority="161">
      <formula>LEN(TRIM(Y91))=0</formula>
    </cfRule>
  </conditionalFormatting>
  <conditionalFormatting sqref="W132:AI132">
    <cfRule type="cellIs" dxfId="158" priority="158" operator="equal">
      <formula>0</formula>
    </cfRule>
  </conditionalFormatting>
  <conditionalFormatting sqref="W132:AI132">
    <cfRule type="expression" dxfId="157" priority="159">
      <formula>LEN(TRIM(W132))=0</formula>
    </cfRule>
  </conditionalFormatting>
  <conditionalFormatting sqref="W173:AI173">
    <cfRule type="cellIs" dxfId="156" priority="156" operator="equal">
      <formula>0</formula>
    </cfRule>
  </conditionalFormatting>
  <conditionalFormatting sqref="W173:AI173">
    <cfRule type="expression" dxfId="155" priority="157">
      <formula>LEN(TRIM(W173))=0</formula>
    </cfRule>
  </conditionalFormatting>
  <conditionalFormatting sqref="W214:AI214">
    <cfRule type="cellIs" dxfId="154" priority="154" operator="equal">
      <formula>0</formula>
    </cfRule>
  </conditionalFormatting>
  <conditionalFormatting sqref="W214:AI214">
    <cfRule type="expression" dxfId="153" priority="155">
      <formula>LEN(TRIM(W214))=0</formula>
    </cfRule>
  </conditionalFormatting>
  <conditionalFormatting sqref="W255:AI255">
    <cfRule type="cellIs" dxfId="152" priority="152" operator="equal">
      <formula>0</formula>
    </cfRule>
  </conditionalFormatting>
  <conditionalFormatting sqref="W255:AI255">
    <cfRule type="expression" dxfId="151" priority="153">
      <formula>LEN(TRIM(W255))=0</formula>
    </cfRule>
  </conditionalFormatting>
  <conditionalFormatting sqref="W296:AI296">
    <cfRule type="cellIs" dxfId="150" priority="150" operator="equal">
      <formula>0</formula>
    </cfRule>
  </conditionalFormatting>
  <conditionalFormatting sqref="W296:AI296">
    <cfRule type="expression" dxfId="149" priority="151">
      <formula>LEN(TRIM(W296))=0</formula>
    </cfRule>
  </conditionalFormatting>
  <conditionalFormatting sqref="Y71:Y72">
    <cfRule type="cellIs" dxfId="148" priority="147" operator="equal">
      <formula>0</formula>
    </cfRule>
  </conditionalFormatting>
  <conditionalFormatting sqref="Y69:Y72">
    <cfRule type="cellIs" dxfId="147" priority="148" operator="equal">
      <formula>0</formula>
    </cfRule>
  </conditionalFormatting>
  <conditionalFormatting sqref="Y69:Y72">
    <cfRule type="expression" dxfId="146" priority="149">
      <formula>LEN(TRIM(Y69))=0</formula>
    </cfRule>
  </conditionalFormatting>
  <conditionalFormatting sqref="AC71:AE72">
    <cfRule type="cellIs" dxfId="145" priority="138" operator="equal">
      <formula>0</formula>
    </cfRule>
  </conditionalFormatting>
  <conditionalFormatting sqref="AC71:AC72">
    <cfRule type="cellIs" dxfId="144" priority="139" operator="equal">
      <formula>0</formula>
    </cfRule>
  </conditionalFormatting>
  <conditionalFormatting sqref="AC70:AC72 AD68:AE68">
    <cfRule type="cellIs" dxfId="143" priority="140" operator="equal">
      <formula>0</formula>
    </cfRule>
  </conditionalFormatting>
  <conditionalFormatting sqref="AD71:AD72">
    <cfRule type="cellIs" dxfId="142" priority="141" operator="equal">
      <formula>0</formula>
    </cfRule>
  </conditionalFormatting>
  <conditionalFormatting sqref="AD68:AD72">
    <cfRule type="cellIs" dxfId="141" priority="142" operator="equal">
      <formula>0</formula>
    </cfRule>
  </conditionalFormatting>
  <conditionalFormatting sqref="AE71:AE72">
    <cfRule type="cellIs" dxfId="140" priority="143" operator="equal">
      <formula>0</formula>
    </cfRule>
  </conditionalFormatting>
  <conditionalFormatting sqref="AE68:AE72">
    <cfRule type="cellIs" dxfId="139" priority="144" operator="equal">
      <formula>0</formula>
    </cfRule>
  </conditionalFormatting>
  <conditionalFormatting sqref="AE71:AE72">
    <cfRule type="cellIs" dxfId="138" priority="146" operator="equal">
      <formula>0</formula>
    </cfRule>
  </conditionalFormatting>
  <conditionalFormatting sqref="AC70:AE72 AD68:AE69">
    <cfRule type="expression" dxfId="137" priority="145">
      <formula>LEN(TRIM(AC68))=0</formula>
    </cfRule>
  </conditionalFormatting>
  <conditionalFormatting sqref="AC68:AC69">
    <cfRule type="cellIs" dxfId="136" priority="136" operator="equal">
      <formula>0</formula>
    </cfRule>
  </conditionalFormatting>
  <conditionalFormatting sqref="AC68:AC69">
    <cfRule type="expression" dxfId="135" priority="137">
      <formula>LEN(TRIM(AC68))=0</formula>
    </cfRule>
  </conditionalFormatting>
  <conditionalFormatting sqref="Y111">
    <cfRule type="cellIs" dxfId="134" priority="134" operator="equal">
      <formula>0</formula>
    </cfRule>
  </conditionalFormatting>
  <conditionalFormatting sqref="Y111">
    <cfRule type="expression" dxfId="133" priority="135">
      <formula>LEN(TRIM(Y111))=0</formula>
    </cfRule>
  </conditionalFormatting>
  <conditionalFormatting sqref="Y112:Y113">
    <cfRule type="cellIs" dxfId="132" priority="131" operator="equal">
      <formula>0</formula>
    </cfRule>
  </conditionalFormatting>
  <conditionalFormatting sqref="Y112:Y113">
    <cfRule type="cellIs" dxfId="131" priority="132" operator="equal">
      <formula>0</formula>
    </cfRule>
  </conditionalFormatting>
  <conditionalFormatting sqref="Y112:Y113">
    <cfRule type="expression" dxfId="130" priority="133">
      <formula>LEN(TRIM(Y112))=0</formula>
    </cfRule>
  </conditionalFormatting>
  <conditionalFormatting sqref="Y110">
    <cfRule type="cellIs" dxfId="129" priority="129" operator="equal">
      <formula>0</formula>
    </cfRule>
  </conditionalFormatting>
  <conditionalFormatting sqref="Y110">
    <cfRule type="expression" dxfId="128" priority="130">
      <formula>LEN(TRIM(Y110))=0</formula>
    </cfRule>
  </conditionalFormatting>
  <conditionalFormatting sqref="AC111">
    <cfRule type="cellIs" dxfId="127" priority="126" operator="equal">
      <formula>0</formula>
    </cfRule>
  </conditionalFormatting>
  <conditionalFormatting sqref="AE111">
    <cfRule type="cellIs" dxfId="126" priority="127" operator="equal">
      <formula>0</formula>
    </cfRule>
  </conditionalFormatting>
  <conditionalFormatting sqref="AE111 AC111">
    <cfRule type="expression" dxfId="125" priority="128">
      <formula>LEN(TRIM(AC111))=0</formula>
    </cfRule>
  </conditionalFormatting>
  <conditionalFormatting sqref="AD111">
    <cfRule type="cellIs" dxfId="124" priority="124" operator="equal">
      <formula>0</formula>
    </cfRule>
  </conditionalFormatting>
  <conditionalFormatting sqref="AD111">
    <cfRule type="expression" dxfId="123" priority="125">
      <formula>LEN(TRIM(AD111))=0</formula>
    </cfRule>
  </conditionalFormatting>
  <conditionalFormatting sqref="AC112:AE113">
    <cfRule type="cellIs" dxfId="122" priority="115" operator="equal">
      <formula>0</formula>
    </cfRule>
  </conditionalFormatting>
  <conditionalFormatting sqref="AC112:AC113">
    <cfRule type="cellIs" dxfId="121" priority="116" operator="equal">
      <formula>0</formula>
    </cfRule>
  </conditionalFormatting>
  <conditionalFormatting sqref="AC112:AC113">
    <cfRule type="cellIs" dxfId="120" priority="117" operator="equal">
      <formula>0</formula>
    </cfRule>
  </conditionalFormatting>
  <conditionalFormatting sqref="AD112:AD113">
    <cfRule type="cellIs" dxfId="119" priority="118" operator="equal">
      <formula>0</formula>
    </cfRule>
  </conditionalFormatting>
  <conditionalFormatting sqref="AD112:AD113">
    <cfRule type="cellIs" dxfId="118" priority="119" operator="equal">
      <formula>0</formula>
    </cfRule>
  </conditionalFormatting>
  <conditionalFormatting sqref="AE112:AE113">
    <cfRule type="cellIs" dxfId="117" priority="120" operator="equal">
      <formula>0</formula>
    </cfRule>
  </conditionalFormatting>
  <conditionalFormatting sqref="AE112:AE113">
    <cfRule type="cellIs" dxfId="116" priority="121" operator="equal">
      <formula>0</formula>
    </cfRule>
  </conditionalFormatting>
  <conditionalFormatting sqref="AE112:AE113">
    <cfRule type="cellIs" dxfId="115" priority="123" operator="equal">
      <formula>0</formula>
    </cfRule>
  </conditionalFormatting>
  <conditionalFormatting sqref="AC112:AE113">
    <cfRule type="expression" dxfId="114" priority="122">
      <formula>LEN(TRIM(AC112))=0</formula>
    </cfRule>
  </conditionalFormatting>
  <conditionalFormatting sqref="AD109:AE109">
    <cfRule type="cellIs" dxfId="113" priority="111" operator="equal">
      <formula>0</formula>
    </cfRule>
  </conditionalFormatting>
  <conditionalFormatting sqref="AD109:AD110">
    <cfRule type="cellIs" dxfId="112" priority="112" operator="equal">
      <formula>0</formula>
    </cfRule>
  </conditionalFormatting>
  <conditionalFormatting sqref="AE109:AE110">
    <cfRule type="cellIs" dxfId="111" priority="113" operator="equal">
      <formula>0</formula>
    </cfRule>
  </conditionalFormatting>
  <conditionalFormatting sqref="AD109:AE110">
    <cfRule type="expression" dxfId="110" priority="114">
      <formula>LEN(TRIM(AD109))=0</formula>
    </cfRule>
  </conditionalFormatting>
  <conditionalFormatting sqref="AC109:AC110">
    <cfRule type="cellIs" dxfId="109" priority="109" operator="equal">
      <formula>0</formula>
    </cfRule>
  </conditionalFormatting>
  <conditionalFormatting sqref="AC109:AC110">
    <cfRule type="expression" dxfId="108" priority="110">
      <formula>LEN(TRIM(AC109))=0</formula>
    </cfRule>
  </conditionalFormatting>
  <conditionalFormatting sqref="Y152">
    <cfRule type="cellIs" dxfId="107" priority="107" operator="equal">
      <formula>0</formula>
    </cfRule>
  </conditionalFormatting>
  <conditionalFormatting sqref="Y152">
    <cfRule type="expression" dxfId="106" priority="108">
      <formula>LEN(TRIM(Y152))=0</formula>
    </cfRule>
  </conditionalFormatting>
  <conditionalFormatting sqref="Y153:Y154">
    <cfRule type="cellIs" dxfId="105" priority="104" operator="equal">
      <formula>0</formula>
    </cfRule>
  </conditionalFormatting>
  <conditionalFormatting sqref="Y153:Y154">
    <cfRule type="cellIs" dxfId="104" priority="105" operator="equal">
      <formula>0</formula>
    </cfRule>
  </conditionalFormatting>
  <conditionalFormatting sqref="Y153:Y154">
    <cfRule type="expression" dxfId="103" priority="106">
      <formula>LEN(TRIM(Y153))=0</formula>
    </cfRule>
  </conditionalFormatting>
  <conditionalFormatting sqref="Y151">
    <cfRule type="cellIs" dxfId="102" priority="102" operator="equal">
      <formula>0</formula>
    </cfRule>
  </conditionalFormatting>
  <conditionalFormatting sqref="Y151">
    <cfRule type="expression" dxfId="101" priority="103">
      <formula>LEN(TRIM(Y151))=0</formula>
    </cfRule>
  </conditionalFormatting>
  <conditionalFormatting sqref="AC152">
    <cfRule type="cellIs" dxfId="100" priority="99" operator="equal">
      <formula>0</formula>
    </cfRule>
  </conditionalFormatting>
  <conditionalFormatting sqref="AE152">
    <cfRule type="cellIs" dxfId="99" priority="100" operator="equal">
      <formula>0</formula>
    </cfRule>
  </conditionalFormatting>
  <conditionalFormatting sqref="AE152 AC152">
    <cfRule type="expression" dxfId="98" priority="101">
      <formula>LEN(TRIM(AC152))=0</formula>
    </cfRule>
  </conditionalFormatting>
  <conditionalFormatting sqref="AD152">
    <cfRule type="cellIs" dxfId="97" priority="97" operator="equal">
      <formula>0</formula>
    </cfRule>
  </conditionalFormatting>
  <conditionalFormatting sqref="AD152">
    <cfRule type="expression" dxfId="96" priority="98">
      <formula>LEN(TRIM(AD152))=0</formula>
    </cfRule>
  </conditionalFormatting>
  <conditionalFormatting sqref="AC153:AE154">
    <cfRule type="cellIs" dxfId="95" priority="88" operator="equal">
      <formula>0</formula>
    </cfRule>
  </conditionalFormatting>
  <conditionalFormatting sqref="AC153:AC154">
    <cfRule type="cellIs" dxfId="94" priority="89" operator="equal">
      <formula>0</formula>
    </cfRule>
  </conditionalFormatting>
  <conditionalFormatting sqref="AC153:AC154">
    <cfRule type="cellIs" dxfId="93" priority="90" operator="equal">
      <formula>0</formula>
    </cfRule>
  </conditionalFormatting>
  <conditionalFormatting sqref="AD153:AD154">
    <cfRule type="cellIs" dxfId="92" priority="91" operator="equal">
      <formula>0</formula>
    </cfRule>
  </conditionalFormatting>
  <conditionalFormatting sqref="AD153:AD154">
    <cfRule type="cellIs" dxfId="91" priority="92" operator="equal">
      <formula>0</formula>
    </cfRule>
  </conditionalFormatting>
  <conditionalFormatting sqref="AE153:AE154">
    <cfRule type="cellIs" dxfId="90" priority="93" operator="equal">
      <formula>0</formula>
    </cfRule>
  </conditionalFormatting>
  <conditionalFormatting sqref="AE153:AE154">
    <cfRule type="cellIs" dxfId="89" priority="94" operator="equal">
      <formula>0</formula>
    </cfRule>
  </conditionalFormatting>
  <conditionalFormatting sqref="AE153:AE154">
    <cfRule type="cellIs" dxfId="88" priority="96" operator="equal">
      <formula>0</formula>
    </cfRule>
  </conditionalFormatting>
  <conditionalFormatting sqref="AC153:AE154">
    <cfRule type="expression" dxfId="87" priority="95">
      <formula>LEN(TRIM(AC153))=0</formula>
    </cfRule>
  </conditionalFormatting>
  <conditionalFormatting sqref="AD150:AE150">
    <cfRule type="cellIs" dxfId="86" priority="84" operator="equal">
      <formula>0</formula>
    </cfRule>
  </conditionalFormatting>
  <conditionalFormatting sqref="AD150:AD151">
    <cfRule type="cellIs" dxfId="85" priority="85" operator="equal">
      <formula>0</formula>
    </cfRule>
  </conditionalFormatting>
  <conditionalFormatting sqref="AE150:AE151">
    <cfRule type="cellIs" dxfId="84" priority="86" operator="equal">
      <formula>0</formula>
    </cfRule>
  </conditionalFormatting>
  <conditionalFormatting sqref="AD150:AE151">
    <cfRule type="expression" dxfId="83" priority="87">
      <formula>LEN(TRIM(AD150))=0</formula>
    </cfRule>
  </conditionalFormatting>
  <conditionalFormatting sqref="AC150:AC151">
    <cfRule type="cellIs" dxfId="82" priority="82" operator="equal">
      <formula>0</formula>
    </cfRule>
  </conditionalFormatting>
  <conditionalFormatting sqref="AC150:AC151">
    <cfRule type="expression" dxfId="81" priority="83">
      <formula>LEN(TRIM(AC150))=0</formula>
    </cfRule>
  </conditionalFormatting>
  <conditionalFormatting sqref="Y193">
    <cfRule type="cellIs" dxfId="80" priority="80" operator="equal">
      <formula>0</formula>
    </cfRule>
  </conditionalFormatting>
  <conditionalFormatting sqref="Y193">
    <cfRule type="expression" dxfId="79" priority="81">
      <formula>LEN(TRIM(Y193))=0</formula>
    </cfRule>
  </conditionalFormatting>
  <conditionalFormatting sqref="Y194:Y195">
    <cfRule type="cellIs" dxfId="78" priority="77" operator="equal">
      <formula>0</formula>
    </cfRule>
  </conditionalFormatting>
  <conditionalFormatting sqref="Y194:Y195">
    <cfRule type="cellIs" dxfId="77" priority="78" operator="equal">
      <formula>0</formula>
    </cfRule>
  </conditionalFormatting>
  <conditionalFormatting sqref="Y194:Y195">
    <cfRule type="expression" dxfId="76" priority="79">
      <formula>LEN(TRIM(Y194))=0</formula>
    </cfRule>
  </conditionalFormatting>
  <conditionalFormatting sqref="Y192">
    <cfRule type="cellIs" dxfId="75" priority="75" operator="equal">
      <formula>0</formula>
    </cfRule>
  </conditionalFormatting>
  <conditionalFormatting sqref="Y192">
    <cfRule type="expression" dxfId="74" priority="76">
      <formula>LEN(TRIM(Y192))=0</formula>
    </cfRule>
  </conditionalFormatting>
  <conditionalFormatting sqref="AC193">
    <cfRule type="cellIs" dxfId="73" priority="72" operator="equal">
      <formula>0</formula>
    </cfRule>
  </conditionalFormatting>
  <conditionalFormatting sqref="AE193">
    <cfRule type="cellIs" dxfId="72" priority="73" operator="equal">
      <formula>0</formula>
    </cfRule>
  </conditionalFormatting>
  <conditionalFormatting sqref="AE193 AC193">
    <cfRule type="expression" dxfId="71" priority="74">
      <formula>LEN(TRIM(AC193))=0</formula>
    </cfRule>
  </conditionalFormatting>
  <conditionalFormatting sqref="AD193">
    <cfRule type="cellIs" dxfId="70" priority="70" operator="equal">
      <formula>0</formula>
    </cfRule>
  </conditionalFormatting>
  <conditionalFormatting sqref="AD193">
    <cfRule type="expression" dxfId="69" priority="71">
      <formula>LEN(TRIM(AD193))=0</formula>
    </cfRule>
  </conditionalFormatting>
  <conditionalFormatting sqref="AC194:AE195">
    <cfRule type="cellIs" dxfId="68" priority="61" operator="equal">
      <formula>0</formula>
    </cfRule>
  </conditionalFormatting>
  <conditionalFormatting sqref="AC194:AC195">
    <cfRule type="cellIs" dxfId="67" priority="62" operator="equal">
      <formula>0</formula>
    </cfRule>
  </conditionalFormatting>
  <conditionalFormatting sqref="AC194:AC195">
    <cfRule type="cellIs" dxfId="66" priority="63" operator="equal">
      <formula>0</formula>
    </cfRule>
  </conditionalFormatting>
  <conditionalFormatting sqref="AD194:AD195">
    <cfRule type="cellIs" dxfId="65" priority="64" operator="equal">
      <formula>0</formula>
    </cfRule>
  </conditionalFormatting>
  <conditionalFormatting sqref="AD194:AD195">
    <cfRule type="cellIs" dxfId="64" priority="65" operator="equal">
      <formula>0</formula>
    </cfRule>
  </conditionalFormatting>
  <conditionalFormatting sqref="AE194:AE195">
    <cfRule type="cellIs" dxfId="63" priority="66" operator="equal">
      <formula>0</formula>
    </cfRule>
  </conditionalFormatting>
  <conditionalFormatting sqref="AE194:AE195">
    <cfRule type="cellIs" dxfId="62" priority="67" operator="equal">
      <formula>0</formula>
    </cfRule>
  </conditionalFormatting>
  <conditionalFormatting sqref="AE194:AE195">
    <cfRule type="cellIs" dxfId="61" priority="69" operator="equal">
      <formula>0</formula>
    </cfRule>
  </conditionalFormatting>
  <conditionalFormatting sqref="AC194:AE195">
    <cfRule type="expression" dxfId="60" priority="68">
      <formula>LEN(TRIM(AC194))=0</formula>
    </cfRule>
  </conditionalFormatting>
  <conditionalFormatting sqref="AD191:AE191">
    <cfRule type="cellIs" dxfId="59" priority="57" operator="equal">
      <formula>0</formula>
    </cfRule>
  </conditionalFormatting>
  <conditionalFormatting sqref="AD191:AD192">
    <cfRule type="cellIs" dxfId="58" priority="58" operator="equal">
      <formula>0</formula>
    </cfRule>
  </conditionalFormatting>
  <conditionalFormatting sqref="AE191:AE192">
    <cfRule type="cellIs" dxfId="57" priority="59" operator="equal">
      <formula>0</formula>
    </cfRule>
  </conditionalFormatting>
  <conditionalFormatting sqref="AD191:AE192">
    <cfRule type="expression" dxfId="56" priority="60">
      <formula>LEN(TRIM(AD191))=0</formula>
    </cfRule>
  </conditionalFormatting>
  <conditionalFormatting sqref="AC191:AC192">
    <cfRule type="cellIs" dxfId="55" priority="55" operator="equal">
      <formula>0</formula>
    </cfRule>
  </conditionalFormatting>
  <conditionalFormatting sqref="AC191:AC192">
    <cfRule type="expression" dxfId="54" priority="56">
      <formula>LEN(TRIM(AC191))=0</formula>
    </cfRule>
  </conditionalFormatting>
  <conditionalFormatting sqref="Y234">
    <cfRule type="cellIs" dxfId="53" priority="53" operator="equal">
      <formula>0</formula>
    </cfRule>
  </conditionalFormatting>
  <conditionalFormatting sqref="Y234">
    <cfRule type="expression" dxfId="52" priority="54">
      <formula>LEN(TRIM(Y234))=0</formula>
    </cfRule>
  </conditionalFormatting>
  <conditionalFormatting sqref="Y235:Y236">
    <cfRule type="cellIs" dxfId="51" priority="50" operator="equal">
      <formula>0</formula>
    </cfRule>
  </conditionalFormatting>
  <conditionalFormatting sqref="Y235:Y236">
    <cfRule type="cellIs" dxfId="50" priority="51" operator="equal">
      <formula>0</formula>
    </cfRule>
  </conditionalFormatting>
  <conditionalFormatting sqref="Y235:Y236">
    <cfRule type="expression" dxfId="49" priority="52">
      <formula>LEN(TRIM(Y235))=0</formula>
    </cfRule>
  </conditionalFormatting>
  <conditionalFormatting sqref="Y233">
    <cfRule type="cellIs" dxfId="48" priority="48" operator="equal">
      <formula>0</formula>
    </cfRule>
  </conditionalFormatting>
  <conditionalFormatting sqref="Y233">
    <cfRule type="expression" dxfId="47" priority="49">
      <formula>LEN(TRIM(Y233))=0</formula>
    </cfRule>
  </conditionalFormatting>
  <conditionalFormatting sqref="AC234">
    <cfRule type="cellIs" dxfId="46" priority="45" operator="equal">
      <formula>0</formula>
    </cfRule>
  </conditionalFormatting>
  <conditionalFormatting sqref="AE234">
    <cfRule type="cellIs" dxfId="45" priority="46" operator="equal">
      <formula>0</formula>
    </cfRule>
  </conditionalFormatting>
  <conditionalFormatting sqref="AE234 AC234">
    <cfRule type="expression" dxfId="44" priority="47">
      <formula>LEN(TRIM(AC234))=0</formula>
    </cfRule>
  </conditionalFormatting>
  <conditionalFormatting sqref="AD234">
    <cfRule type="cellIs" dxfId="43" priority="43" operator="equal">
      <formula>0</formula>
    </cfRule>
  </conditionalFormatting>
  <conditionalFormatting sqref="AD234">
    <cfRule type="expression" dxfId="42" priority="44">
      <formula>LEN(TRIM(AD234))=0</formula>
    </cfRule>
  </conditionalFormatting>
  <conditionalFormatting sqref="AC235:AE236">
    <cfRule type="cellIs" dxfId="41" priority="34" operator="equal">
      <formula>0</formula>
    </cfRule>
  </conditionalFormatting>
  <conditionalFormatting sqref="AC235:AC236">
    <cfRule type="cellIs" dxfId="40" priority="35" operator="equal">
      <formula>0</formula>
    </cfRule>
  </conditionalFormatting>
  <conditionalFormatting sqref="AC235:AC236">
    <cfRule type="cellIs" dxfId="39" priority="36" operator="equal">
      <formula>0</formula>
    </cfRule>
  </conditionalFormatting>
  <conditionalFormatting sqref="AD235:AD236">
    <cfRule type="cellIs" dxfId="38" priority="37" operator="equal">
      <formula>0</formula>
    </cfRule>
  </conditionalFormatting>
  <conditionalFormatting sqref="AD235:AD236">
    <cfRule type="cellIs" dxfId="37" priority="38" operator="equal">
      <formula>0</formula>
    </cfRule>
  </conditionalFormatting>
  <conditionalFormatting sqref="AE235:AE236">
    <cfRule type="cellIs" dxfId="36" priority="39" operator="equal">
      <formula>0</formula>
    </cfRule>
  </conditionalFormatting>
  <conditionalFormatting sqref="AE235:AE236">
    <cfRule type="cellIs" dxfId="35" priority="40" operator="equal">
      <formula>0</formula>
    </cfRule>
  </conditionalFormatting>
  <conditionalFormatting sqref="AE235:AE236">
    <cfRule type="cellIs" dxfId="34" priority="42" operator="equal">
      <formula>0</formula>
    </cfRule>
  </conditionalFormatting>
  <conditionalFormatting sqref="AC235:AE236">
    <cfRule type="expression" dxfId="33" priority="41">
      <formula>LEN(TRIM(AC235))=0</formula>
    </cfRule>
  </conditionalFormatting>
  <conditionalFormatting sqref="AD232:AE232">
    <cfRule type="cellIs" dxfId="32" priority="30" operator="equal">
      <formula>0</formula>
    </cfRule>
  </conditionalFormatting>
  <conditionalFormatting sqref="AD232:AD233">
    <cfRule type="cellIs" dxfId="31" priority="31" operator="equal">
      <formula>0</formula>
    </cfRule>
  </conditionalFormatting>
  <conditionalFormatting sqref="AE232:AE233">
    <cfRule type="cellIs" dxfId="30" priority="32" operator="equal">
      <formula>0</formula>
    </cfRule>
  </conditionalFormatting>
  <conditionalFormatting sqref="AD232:AE233">
    <cfRule type="expression" dxfId="29" priority="33">
      <formula>LEN(TRIM(AD232))=0</formula>
    </cfRule>
  </conditionalFormatting>
  <conditionalFormatting sqref="AC232:AC233">
    <cfRule type="cellIs" dxfId="28" priority="28" operator="equal">
      <formula>0</formula>
    </cfRule>
  </conditionalFormatting>
  <conditionalFormatting sqref="AC232:AC233">
    <cfRule type="expression" dxfId="27" priority="29">
      <formula>LEN(TRIM(AC232))=0</formula>
    </cfRule>
  </conditionalFormatting>
  <conditionalFormatting sqref="Y275">
    <cfRule type="cellIs" dxfId="26" priority="26" operator="equal">
      <formula>0</formula>
    </cfRule>
  </conditionalFormatting>
  <conditionalFormatting sqref="Y275">
    <cfRule type="expression" dxfId="25" priority="27">
      <formula>LEN(TRIM(Y275))=0</formula>
    </cfRule>
  </conditionalFormatting>
  <conditionalFormatting sqref="Y276:Y277">
    <cfRule type="cellIs" dxfId="24" priority="23" operator="equal">
      <formula>0</formula>
    </cfRule>
  </conditionalFormatting>
  <conditionalFormatting sqref="Y276:Y277">
    <cfRule type="cellIs" dxfId="23" priority="24" operator="equal">
      <formula>0</formula>
    </cfRule>
  </conditionalFormatting>
  <conditionalFormatting sqref="Y276:Y277">
    <cfRule type="expression" dxfId="22" priority="25">
      <formula>LEN(TRIM(Y276))=0</formula>
    </cfRule>
  </conditionalFormatting>
  <conditionalFormatting sqref="Y274">
    <cfRule type="cellIs" dxfId="21" priority="21" operator="equal">
      <formula>0</formula>
    </cfRule>
  </conditionalFormatting>
  <conditionalFormatting sqref="Y274">
    <cfRule type="expression" dxfId="20" priority="22">
      <formula>LEN(TRIM(Y274))=0</formula>
    </cfRule>
  </conditionalFormatting>
  <conditionalFormatting sqref="AC275">
    <cfRule type="cellIs" dxfId="19" priority="18" operator="equal">
      <formula>0</formula>
    </cfRule>
  </conditionalFormatting>
  <conditionalFormatting sqref="AE275">
    <cfRule type="cellIs" dxfId="18" priority="19" operator="equal">
      <formula>0</formula>
    </cfRule>
  </conditionalFormatting>
  <conditionalFormatting sqref="AE275 AC275">
    <cfRule type="expression" dxfId="17" priority="20">
      <formula>LEN(TRIM(AC275))=0</formula>
    </cfRule>
  </conditionalFormatting>
  <conditionalFormatting sqref="AD275">
    <cfRule type="cellIs" dxfId="16" priority="16" operator="equal">
      <formula>0</formula>
    </cfRule>
  </conditionalFormatting>
  <conditionalFormatting sqref="AD275">
    <cfRule type="expression" dxfId="15" priority="17">
      <formula>LEN(TRIM(AD275))=0</formula>
    </cfRule>
  </conditionalFormatting>
  <conditionalFormatting sqref="AC276:AE277">
    <cfRule type="cellIs" dxfId="14" priority="7" operator="equal">
      <formula>0</formula>
    </cfRule>
  </conditionalFormatting>
  <conditionalFormatting sqref="AC276:AC277">
    <cfRule type="cellIs" dxfId="13" priority="8" operator="equal">
      <formula>0</formula>
    </cfRule>
  </conditionalFormatting>
  <conditionalFormatting sqref="AC276:AC277">
    <cfRule type="cellIs" dxfId="12" priority="9" operator="equal">
      <formula>0</formula>
    </cfRule>
  </conditionalFormatting>
  <conditionalFormatting sqref="AD276:AD277">
    <cfRule type="cellIs" dxfId="11" priority="10" operator="equal">
      <formula>0</formula>
    </cfRule>
  </conditionalFormatting>
  <conditionalFormatting sqref="AD276:AD277">
    <cfRule type="cellIs" dxfId="10" priority="11" operator="equal">
      <formula>0</formula>
    </cfRule>
  </conditionalFormatting>
  <conditionalFormatting sqref="AE276:AE277">
    <cfRule type="cellIs" dxfId="9" priority="12" operator="equal">
      <formula>0</formula>
    </cfRule>
  </conditionalFormatting>
  <conditionalFormatting sqref="AE276:AE277">
    <cfRule type="cellIs" dxfId="8" priority="13" operator="equal">
      <formula>0</formula>
    </cfRule>
  </conditionalFormatting>
  <conditionalFormatting sqref="AE276:AE277">
    <cfRule type="cellIs" dxfId="7" priority="15" operator="equal">
      <formula>0</formula>
    </cfRule>
  </conditionalFormatting>
  <conditionalFormatting sqref="AC276:AE277">
    <cfRule type="expression" dxfId="6" priority="14">
      <formula>LEN(TRIM(AC276))=0</formula>
    </cfRule>
  </conditionalFormatting>
  <conditionalFormatting sqref="AD273:AE273">
    <cfRule type="cellIs" dxfId="5" priority="3" operator="equal">
      <formula>0</formula>
    </cfRule>
  </conditionalFormatting>
  <conditionalFormatting sqref="AD273:AD274">
    <cfRule type="cellIs" dxfId="4" priority="4" operator="equal">
      <formula>0</formula>
    </cfRule>
  </conditionalFormatting>
  <conditionalFormatting sqref="AE273:AE274">
    <cfRule type="cellIs" dxfId="3" priority="5" operator="equal">
      <formula>0</formula>
    </cfRule>
  </conditionalFormatting>
  <conditionalFormatting sqref="AD273:AE274">
    <cfRule type="expression" dxfId="2" priority="6">
      <formula>LEN(TRIM(AD273))=0</formula>
    </cfRule>
  </conditionalFormatting>
  <conditionalFormatting sqref="AC273:AC274">
    <cfRule type="cellIs" dxfId="1" priority="1" operator="equal">
      <formula>0</formula>
    </cfRule>
  </conditionalFormatting>
  <conditionalFormatting sqref="AC273:AC274">
    <cfRule type="expression" dxfId="0" priority="2">
      <formula>LEN(TRIM(AC273))=0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C22" sqref="C22"/>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519" t="s">
        <v>55</v>
      </c>
      <c r="B2" s="519"/>
      <c r="C2" s="519"/>
      <c r="D2" s="519"/>
      <c r="E2" s="519"/>
      <c r="F2" s="519"/>
      <c r="G2" s="519"/>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37" t="s">
        <v>389</v>
      </c>
      <c r="O4" t="s">
        <v>405</v>
      </c>
    </row>
    <row r="5" spans="1:19">
      <c r="A5" s="31" t="s">
        <v>57</v>
      </c>
      <c r="B5" s="32">
        <v>264916</v>
      </c>
      <c r="C5" s="32">
        <v>266639</v>
      </c>
      <c r="D5" s="32">
        <v>268154</v>
      </c>
      <c r="E5" s="32">
        <v>269715</v>
      </c>
      <c r="F5" s="32">
        <v>271440</v>
      </c>
      <c r="G5" s="32">
        <v>273043</v>
      </c>
      <c r="H5" s="32">
        <v>274571</v>
      </c>
      <c r="I5" s="32">
        <v>275822</v>
      </c>
      <c r="J5" s="32">
        <v>276866</v>
      </c>
      <c r="K5" s="32">
        <v>277940</v>
      </c>
      <c r="L5" s="32">
        <v>278890</v>
      </c>
      <c r="M5" s="311">
        <v>279448</v>
      </c>
      <c r="N5" s="312" t="s">
        <v>454</v>
      </c>
      <c r="O5" t="s">
        <v>405</v>
      </c>
    </row>
    <row r="6" spans="1:19">
      <c r="A6" s="30" t="s">
        <v>455</v>
      </c>
      <c r="B6" s="353">
        <v>4591.2092599999996</v>
      </c>
      <c r="C6" s="353">
        <v>4456.9951799999999</v>
      </c>
      <c r="D6" s="353">
        <v>4430.9669000000004</v>
      </c>
      <c r="E6" s="353">
        <v>4541.6331799999998</v>
      </c>
      <c r="F6" s="353">
        <v>4630.7796200000003</v>
      </c>
      <c r="G6" s="152">
        <v>4800.1645600000002</v>
      </c>
      <c r="H6" s="152">
        <v>4966.1388399999996</v>
      </c>
      <c r="I6" s="152">
        <v>5163.7141000000001</v>
      </c>
      <c r="J6" s="152">
        <v>5195.0469199999998</v>
      </c>
      <c r="K6" s="152">
        <v>5360.5267800000001</v>
      </c>
      <c r="L6" s="152">
        <v>5009.8740600000001</v>
      </c>
      <c r="M6" s="152">
        <v>5118.4788600000002</v>
      </c>
      <c r="N6" s="287"/>
      <c r="O6" t="s">
        <v>405</v>
      </c>
    </row>
    <row r="7" spans="1:19">
      <c r="A7" s="30" t="s">
        <v>456</v>
      </c>
      <c r="B7" s="278">
        <f>B6/B5*1000000</f>
        <v>17330.811502514003</v>
      </c>
      <c r="C7" s="278">
        <f t="shared" ref="C7:M7" si="0">C6/C5*1000000</f>
        <v>16715.466154613543</v>
      </c>
      <c r="D7" s="278">
        <f t="shared" si="0"/>
        <v>16523.963468753031</v>
      </c>
      <c r="E7" s="278">
        <f t="shared" si="0"/>
        <v>16838.637747251731</v>
      </c>
      <c r="F7" s="278">
        <f t="shared" si="0"/>
        <v>17060.048703212495</v>
      </c>
      <c r="G7" s="278">
        <f t="shared" si="0"/>
        <v>17580.251315726829</v>
      </c>
      <c r="H7" s="278">
        <f t="shared" si="0"/>
        <v>18086.902258432241</v>
      </c>
      <c r="I7" s="278">
        <f t="shared" si="0"/>
        <v>18721.182864311042</v>
      </c>
      <c r="J7" s="278">
        <f t="shared" si="0"/>
        <v>18763.759074787082</v>
      </c>
      <c r="K7" s="278">
        <f t="shared" si="0"/>
        <v>19286.633014319636</v>
      </c>
      <c r="L7" s="278">
        <f t="shared" si="0"/>
        <v>17963.620280397288</v>
      </c>
      <c r="M7" s="278">
        <f t="shared" si="0"/>
        <v>18316.391099596345</v>
      </c>
      <c r="N7" s="287"/>
      <c r="O7" t="s">
        <v>405</v>
      </c>
    </row>
    <row r="8" spans="1:19">
      <c r="A8" s="520" t="s">
        <v>457</v>
      </c>
      <c r="B8" s="521"/>
      <c r="C8" s="521"/>
      <c r="D8" s="521"/>
      <c r="E8" s="521"/>
      <c r="F8" s="521"/>
      <c r="G8" s="521"/>
      <c r="H8" s="521"/>
      <c r="I8" s="521"/>
      <c r="J8" s="521"/>
      <c r="K8" s="521"/>
      <c r="L8" s="521"/>
      <c r="M8" s="521"/>
      <c r="N8" s="522"/>
    </row>
    <row r="9" spans="1:19">
      <c r="B9" s="34"/>
    </row>
    <row r="10" spans="1:19">
      <c r="B10" s="310"/>
    </row>
    <row r="11" spans="1:19">
      <c r="A11" s="519" t="s">
        <v>59</v>
      </c>
      <c r="B11" s="519"/>
      <c r="C11" s="519"/>
      <c r="D11" s="519"/>
      <c r="E11" s="519"/>
      <c r="F11" s="519"/>
      <c r="G11" s="519"/>
      <c r="H11" s="519"/>
      <c r="M11" s="519" t="s">
        <v>65</v>
      </c>
      <c r="N11" s="519"/>
      <c r="O11" s="519"/>
      <c r="P11" s="519"/>
      <c r="Q11" s="313"/>
      <c r="R11" s="313"/>
      <c r="S11" s="313"/>
    </row>
    <row r="13" spans="1:19">
      <c r="A13" s="35"/>
      <c r="B13" s="314">
        <v>2020</v>
      </c>
      <c r="C13" s="314">
        <v>2025</v>
      </c>
      <c r="D13" s="314">
        <v>2030</v>
      </c>
      <c r="E13" s="314">
        <v>2035</v>
      </c>
      <c r="F13" s="314">
        <v>2040</v>
      </c>
      <c r="G13" s="314">
        <v>2045</v>
      </c>
      <c r="H13" s="314">
        <v>2050</v>
      </c>
      <c r="M13" s="35"/>
      <c r="N13" s="517">
        <v>2015</v>
      </c>
      <c r="O13" s="517"/>
      <c r="P13" s="517"/>
    </row>
    <row r="14" spans="1:19">
      <c r="A14" s="36"/>
      <c r="B14" s="30" t="s">
        <v>453</v>
      </c>
      <c r="C14" s="30" t="s">
        <v>453</v>
      </c>
      <c r="D14" s="30" t="s">
        <v>453</v>
      </c>
      <c r="E14" s="30" t="s">
        <v>453</v>
      </c>
      <c r="F14" s="30" t="s">
        <v>453</v>
      </c>
      <c r="G14" s="30" t="s">
        <v>453</v>
      </c>
      <c r="H14" s="30" t="s">
        <v>453</v>
      </c>
      <c r="M14" s="30"/>
      <c r="N14" s="30"/>
      <c r="O14" s="30"/>
      <c r="P14" s="37"/>
    </row>
    <row r="15" spans="1:19">
      <c r="A15" s="36" t="s">
        <v>62</v>
      </c>
      <c r="B15" s="38">
        <f>K5/1000000</f>
        <v>0.27794000000000002</v>
      </c>
      <c r="C15" s="38">
        <v>0.28815499999999999</v>
      </c>
      <c r="D15" s="38">
        <v>0.29580299999999998</v>
      </c>
      <c r="E15" s="38">
        <v>0.30345100000000003</v>
      </c>
      <c r="F15" s="38">
        <v>0.31109900000000001</v>
      </c>
      <c r="G15" s="38">
        <v>0.318747</v>
      </c>
      <c r="H15" s="38">
        <v>0.32639499999999999</v>
      </c>
      <c r="M15" s="30" t="s">
        <v>67</v>
      </c>
      <c r="N15" s="30"/>
      <c r="O15" s="30"/>
      <c r="P15" s="37"/>
    </row>
    <row r="16" spans="1:19">
      <c r="A16" s="41" t="s">
        <v>63</v>
      </c>
      <c r="B16" s="215">
        <f>K6</f>
        <v>5360.5267800000001</v>
      </c>
      <c r="C16" s="42">
        <f t="shared" ref="C16:H16" si="1">C17*C15</f>
        <v>5903.6793298107114</v>
      </c>
      <c r="D16" s="42">
        <f t="shared" si="1"/>
        <v>6356.4759659205911</v>
      </c>
      <c r="E16" s="42">
        <f t="shared" si="1"/>
        <v>6824.5842434018341</v>
      </c>
      <c r="F16" s="42">
        <f t="shared" si="1"/>
        <v>7308.0041622544413</v>
      </c>
      <c r="G16" s="42">
        <f t="shared" si="1"/>
        <v>7806.7357224784091</v>
      </c>
      <c r="H16" s="42">
        <f t="shared" si="1"/>
        <v>8320.7789240737402</v>
      </c>
      <c r="M16" s="30" t="s">
        <v>68</v>
      </c>
      <c r="N16" s="30"/>
      <c r="O16" s="30"/>
      <c r="P16" s="37"/>
    </row>
    <row r="17" spans="1:22">
      <c r="A17" s="41" t="s">
        <v>64</v>
      </c>
      <c r="B17" s="216">
        <f>K7</f>
        <v>19286.633014319636</v>
      </c>
      <c r="C17" s="315">
        <f>$B$17+($H$17-$B$17)*6/31</f>
        <v>20487.86010935334</v>
      </c>
      <c r="D17" s="315">
        <f>$B$17+($H$17-$B$17)*11/31</f>
        <v>21488.882688548092</v>
      </c>
      <c r="E17" s="315">
        <f>$B$17+($H$17-$B$17)*16/31</f>
        <v>22489.905267742844</v>
      </c>
      <c r="F17" s="315">
        <f>$B$17+($H$17-$B$17)*21/31</f>
        <v>23490.9278469376</v>
      </c>
      <c r="G17" s="315">
        <f>$B$17+($H$17-$B$17)*26/31</f>
        <v>24491.950426132353</v>
      </c>
      <c r="H17" s="315">
        <f>I24/2</f>
        <v>25492.973005327105</v>
      </c>
      <c r="I17">
        <v>42707</v>
      </c>
      <c r="M17" s="30" t="s">
        <v>69</v>
      </c>
      <c r="N17" s="30"/>
      <c r="O17" s="30"/>
      <c r="P17" s="37"/>
    </row>
    <row r="18" spans="1:22" ht="30.6" customHeight="1">
      <c r="A18" s="518" t="s">
        <v>539</v>
      </c>
      <c r="B18" s="518"/>
      <c r="C18" s="518"/>
      <c r="D18" s="518"/>
      <c r="E18" s="518"/>
      <c r="F18" s="518"/>
      <c r="G18" s="518"/>
      <c r="H18" s="518"/>
      <c r="I18" s="208"/>
      <c r="J18" s="208"/>
      <c r="K18" s="208"/>
      <c r="L18" s="208"/>
      <c r="M18" s="30" t="s">
        <v>70</v>
      </c>
      <c r="N18" s="44"/>
      <c r="O18" s="44"/>
      <c r="P18" s="45"/>
      <c r="T18" s="208"/>
      <c r="U18" s="208"/>
      <c r="V18" s="208"/>
    </row>
    <row r="19" spans="1:22">
      <c r="M19" s="30" t="s">
        <v>71</v>
      </c>
      <c r="N19" s="44"/>
      <c r="O19" s="44"/>
      <c r="P19" s="45"/>
    </row>
    <row r="20" spans="1:22">
      <c r="M20" s="30" t="s">
        <v>70</v>
      </c>
      <c r="N20" s="44"/>
      <c r="O20" s="44"/>
      <c r="P20" s="45"/>
    </row>
    <row r="21" spans="1:22">
      <c r="C21">
        <f>POWER(H17/B17,1/31)</f>
        <v>1.0090403151473621</v>
      </c>
      <c r="M21" s="30" t="s">
        <v>72</v>
      </c>
      <c r="N21" s="30"/>
      <c r="O21" s="30"/>
      <c r="P21" s="37"/>
    </row>
    <row r="22" spans="1:22">
      <c r="M22" s="30" t="s">
        <v>70</v>
      </c>
      <c r="N22" s="44"/>
      <c r="O22" s="30"/>
      <c r="P22" s="37"/>
    </row>
    <row r="23" spans="1:22">
      <c r="B23" s="523"/>
      <c r="C23" s="523"/>
      <c r="D23" s="523"/>
      <c r="E23" s="523"/>
      <c r="I23" s="355" t="s">
        <v>526</v>
      </c>
    </row>
    <row r="24" spans="1:22">
      <c r="H24">
        <v>2050</v>
      </c>
      <c r="I24" s="355">
        <v>50985.94601065421</v>
      </c>
    </row>
    <row r="25" spans="1:22">
      <c r="H25">
        <v>2019</v>
      </c>
      <c r="I25">
        <v>35068.554396423249</v>
      </c>
      <c r="M25" s="519" t="s">
        <v>73</v>
      </c>
      <c r="N25" s="519"/>
      <c r="O25" s="519"/>
      <c r="P25" s="519"/>
      <c r="Q25" s="313"/>
      <c r="R25" s="313"/>
      <c r="S25" s="313"/>
    </row>
    <row r="26" spans="1:22">
      <c r="H26" t="s">
        <v>527</v>
      </c>
      <c r="I26">
        <f>I25-B17</f>
        <v>15781.921382103614</v>
      </c>
    </row>
    <row r="27" spans="1:22">
      <c r="M27" s="35"/>
      <c r="N27" s="517">
        <v>2015</v>
      </c>
      <c r="O27" s="517"/>
      <c r="P27" s="517"/>
    </row>
    <row r="28" spans="1:22">
      <c r="M28" s="30"/>
      <c r="N28" s="30" t="s">
        <v>60</v>
      </c>
      <c r="O28" s="30" t="s">
        <v>61</v>
      </c>
      <c r="P28" s="37" t="s">
        <v>66</v>
      </c>
    </row>
    <row r="29" spans="1:22">
      <c r="M29" s="30" t="s">
        <v>67</v>
      </c>
      <c r="N29" s="30"/>
      <c r="O29" s="30"/>
      <c r="P29" s="37"/>
    </row>
    <row r="30" spans="1:22">
      <c r="M30" s="30" t="s">
        <v>68</v>
      </c>
      <c r="N30" s="30"/>
      <c r="O30" s="30"/>
      <c r="P30" s="37"/>
    </row>
    <row r="31" spans="1:22">
      <c r="M31" s="30" t="s">
        <v>69</v>
      </c>
      <c r="N31" s="30"/>
      <c r="O31" s="30"/>
      <c r="P31" s="37"/>
    </row>
    <row r="32" spans="1:22">
      <c r="M32" s="30" t="s">
        <v>70</v>
      </c>
      <c r="N32" s="44"/>
      <c r="O32" s="44"/>
      <c r="P32" s="45"/>
    </row>
    <row r="33" spans="13:16">
      <c r="M33" s="30" t="s">
        <v>71</v>
      </c>
      <c r="N33" s="44"/>
      <c r="O33" s="44"/>
      <c r="P33" s="45"/>
    </row>
    <row r="34" spans="13:16">
      <c r="M34" s="30" t="s">
        <v>70</v>
      </c>
      <c r="N34" s="44"/>
      <c r="O34" s="44"/>
      <c r="P34" s="45"/>
    </row>
    <row r="35" spans="13:16">
      <c r="M35" s="30" t="s">
        <v>72</v>
      </c>
      <c r="N35" s="121"/>
      <c r="O35" s="121"/>
      <c r="P35" s="217"/>
    </row>
    <row r="36" spans="13:16">
      <c r="M36" s="30" t="s">
        <v>70</v>
      </c>
      <c r="N36" s="44"/>
      <c r="O36" s="30"/>
      <c r="P36" s="37"/>
    </row>
  </sheetData>
  <mergeCells count="9">
    <mergeCell ref="N13:P13"/>
    <mergeCell ref="N27:P27"/>
    <mergeCell ref="A18:H18"/>
    <mergeCell ref="M25:P25"/>
    <mergeCell ref="A2:G2"/>
    <mergeCell ref="A8:N8"/>
    <mergeCell ref="M11:P11"/>
    <mergeCell ref="A11:H11"/>
    <mergeCell ref="B23:E23"/>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28" zoomScale="70" zoomScaleNormal="70" workbookViewId="0">
      <selection activeCell="R40" sqref="R40"/>
    </sheetView>
  </sheetViews>
  <sheetFormatPr baseColWidth="10" defaultColWidth="8.88671875" defaultRowHeight="14.4"/>
  <cols>
    <col min="1" max="1" width="22.5546875" customWidth="1"/>
    <col min="2" max="13" width="10.44140625" customWidth="1"/>
    <col min="14" max="14" width="10.44140625" style="327" customWidth="1"/>
    <col min="15" max="15" width="15.88671875" customWidth="1"/>
    <col min="16" max="1027" width="10.44140625" customWidth="1"/>
  </cols>
  <sheetData>
    <row r="2" spans="1:25" ht="25.8">
      <c r="A2" s="524" t="s">
        <v>426</v>
      </c>
      <c r="B2" s="524"/>
      <c r="C2" s="524"/>
      <c r="D2" s="524"/>
      <c r="E2" s="524"/>
      <c r="F2" s="524"/>
      <c r="G2" s="524"/>
      <c r="H2" s="524"/>
      <c r="I2" s="524"/>
      <c r="J2" s="524"/>
      <c r="P2" s="524" t="s">
        <v>598</v>
      </c>
      <c r="Q2" s="524"/>
      <c r="R2" s="524"/>
      <c r="S2" s="524"/>
      <c r="T2" s="524"/>
      <c r="U2" s="524"/>
      <c r="V2" s="524"/>
      <c r="W2" s="524"/>
      <c r="X2" s="524"/>
      <c r="Y2" s="524"/>
    </row>
    <row r="4" spans="1:25" ht="15.6">
      <c r="O4" s="425"/>
    </row>
    <row r="5" spans="1:25" ht="15.6">
      <c r="O5" s="425"/>
    </row>
    <row r="6" spans="1:25">
      <c r="A6" s="519" t="s">
        <v>55</v>
      </c>
      <c r="B6" s="519"/>
      <c r="C6" s="519"/>
      <c r="D6" s="519"/>
      <c r="E6" s="519"/>
      <c r="F6" s="519"/>
      <c r="G6" s="519"/>
      <c r="H6" s="519"/>
      <c r="I6" s="519"/>
      <c r="P6" t="s">
        <v>484</v>
      </c>
    </row>
    <row r="7" spans="1:25" ht="15.6">
      <c r="A7" s="527"/>
      <c r="B7" s="527"/>
      <c r="C7" s="527"/>
      <c r="D7" s="527"/>
      <c r="E7" s="527"/>
      <c r="F7" s="527"/>
      <c r="G7" s="527"/>
      <c r="H7" s="527"/>
      <c r="I7" s="527"/>
      <c r="J7" s="527"/>
      <c r="K7" s="527"/>
      <c r="L7" s="527"/>
      <c r="M7" s="263"/>
      <c r="N7" s="328"/>
      <c r="P7" s="475" t="s">
        <v>599</v>
      </c>
      <c r="Q7" s="237">
        <v>2020</v>
      </c>
      <c r="R7" s="237">
        <v>2025</v>
      </c>
      <c r="S7" s="237">
        <v>2030</v>
      </c>
      <c r="T7" s="237">
        <v>2035</v>
      </c>
      <c r="U7" s="237">
        <v>2040</v>
      </c>
      <c r="V7" s="237">
        <v>2045</v>
      </c>
      <c r="W7" s="237">
        <v>2050</v>
      </c>
    </row>
    <row r="8" spans="1:25" ht="15.6">
      <c r="A8" s="35"/>
      <c r="B8" s="30">
        <v>2010</v>
      </c>
      <c r="C8" s="30">
        <v>2011</v>
      </c>
      <c r="D8" s="30">
        <v>2012</v>
      </c>
      <c r="E8" s="30">
        <v>2013</v>
      </c>
      <c r="F8" s="30">
        <v>2014</v>
      </c>
      <c r="G8" s="30">
        <v>2015</v>
      </c>
      <c r="H8" s="30">
        <v>2016</v>
      </c>
      <c r="I8" s="30">
        <v>2017</v>
      </c>
      <c r="J8" s="30">
        <v>2018</v>
      </c>
      <c r="K8" s="30">
        <v>2019</v>
      </c>
      <c r="L8" s="30">
        <v>2020</v>
      </c>
      <c r="M8" s="167"/>
      <c r="N8" s="329"/>
      <c r="P8" s="475" t="s">
        <v>478</v>
      </c>
      <c r="Q8" s="237">
        <v>164</v>
      </c>
      <c r="R8" s="237">
        <v>166</v>
      </c>
      <c r="S8" s="237">
        <v>167</v>
      </c>
      <c r="T8" s="237">
        <v>167</v>
      </c>
      <c r="U8" s="237">
        <v>167</v>
      </c>
      <c r="V8" s="237">
        <v>167</v>
      </c>
      <c r="W8" s="237">
        <v>167</v>
      </c>
    </row>
    <row r="9" spans="1:25" ht="15.6">
      <c r="A9" s="526" t="s">
        <v>135</v>
      </c>
      <c r="B9" s="526"/>
      <c r="C9" s="526"/>
      <c r="D9" s="526"/>
      <c r="E9" s="526"/>
      <c r="F9" s="526"/>
      <c r="G9" s="526"/>
      <c r="H9" s="526"/>
      <c r="I9" s="526"/>
      <c r="J9" s="526"/>
      <c r="K9" s="526"/>
      <c r="L9" s="526"/>
      <c r="M9" s="320"/>
      <c r="N9" s="330"/>
      <c r="O9" s="425"/>
      <c r="P9" s="475" t="s">
        <v>423</v>
      </c>
      <c r="Q9" s="237">
        <v>41</v>
      </c>
      <c r="R9" s="237">
        <v>65</v>
      </c>
      <c r="S9" s="237">
        <v>89</v>
      </c>
      <c r="T9" s="237">
        <v>94</v>
      </c>
      <c r="U9" s="237">
        <v>99</v>
      </c>
      <c r="V9" s="237">
        <v>104</v>
      </c>
      <c r="W9" s="237">
        <v>109</v>
      </c>
    </row>
    <row r="10" spans="1:25" ht="15.6">
      <c r="A10" s="30" t="s">
        <v>136</v>
      </c>
      <c r="B10" s="30"/>
      <c r="C10" s="30"/>
      <c r="D10" s="30"/>
      <c r="E10" s="30"/>
      <c r="F10" s="30"/>
      <c r="G10" s="30"/>
      <c r="H10" s="30"/>
      <c r="I10" s="30"/>
      <c r="J10" s="30"/>
      <c r="K10" s="30"/>
      <c r="L10" s="30"/>
      <c r="M10" s="321"/>
      <c r="N10" s="329"/>
      <c r="O10" s="425"/>
      <c r="P10" s="475" t="s">
        <v>479</v>
      </c>
      <c r="Q10" s="237">
        <v>7.9000000000000001E-2</v>
      </c>
      <c r="R10" s="237">
        <v>7.9000000000000001E-2</v>
      </c>
      <c r="S10" s="237">
        <v>7.9000000000000001E-2</v>
      </c>
      <c r="T10" s="237">
        <v>7.9000000000000001E-2</v>
      </c>
      <c r="U10" s="237">
        <v>7.9000000000000001E-2</v>
      </c>
      <c r="V10" s="237">
        <v>7.9000000000000001E-2</v>
      </c>
      <c r="W10" s="237">
        <v>7.9000000000000001E-2</v>
      </c>
    </row>
    <row r="11" spans="1:25" ht="15.6">
      <c r="A11" s="30" t="s">
        <v>14</v>
      </c>
      <c r="B11" s="82"/>
      <c r="C11" s="82"/>
      <c r="D11" s="82"/>
      <c r="E11" s="82"/>
      <c r="F11" s="82"/>
      <c r="G11" s="82"/>
      <c r="H11" s="82"/>
      <c r="I11" s="82"/>
      <c r="J11" s="82"/>
      <c r="K11" s="226"/>
      <c r="L11" s="226"/>
      <c r="M11" s="322"/>
      <c r="N11" s="331"/>
      <c r="O11" s="425"/>
      <c r="P11" s="475" t="s">
        <v>480</v>
      </c>
      <c r="Q11" s="237">
        <v>446</v>
      </c>
      <c r="R11" s="237">
        <v>440</v>
      </c>
      <c r="S11" s="237">
        <v>428</v>
      </c>
      <c r="T11" s="237">
        <v>446</v>
      </c>
      <c r="U11" s="237">
        <v>464</v>
      </c>
      <c r="V11" s="237">
        <v>482</v>
      </c>
      <c r="W11" s="237">
        <v>500</v>
      </c>
    </row>
    <row r="12" spans="1:25" ht="15.6">
      <c r="A12" s="30" t="s">
        <v>16</v>
      </c>
      <c r="B12" s="82"/>
      <c r="C12" s="82"/>
      <c r="D12" s="82"/>
      <c r="E12" s="82"/>
      <c r="F12" s="82"/>
      <c r="G12" s="82"/>
      <c r="H12" s="82"/>
      <c r="I12" s="82">
        <v>0.70699999999999996</v>
      </c>
      <c r="J12" s="82">
        <v>0.71</v>
      </c>
      <c r="K12" s="82">
        <v>0.71199999999999997</v>
      </c>
      <c r="L12" s="226">
        <v>0.69799999999999995</v>
      </c>
      <c r="M12" s="322"/>
      <c r="N12" s="331"/>
      <c r="O12" s="425"/>
      <c r="P12" s="475" t="s">
        <v>481</v>
      </c>
      <c r="Q12" s="237">
        <f t="shared" ref="Q12:W12" si="0">SUM(Q8:Q11)</f>
        <v>651.07899999999995</v>
      </c>
      <c r="R12" s="237">
        <f t="shared" si="0"/>
        <v>671.07899999999995</v>
      </c>
      <c r="S12" s="237">
        <f t="shared" si="0"/>
        <v>684.07899999999995</v>
      </c>
      <c r="T12" s="237">
        <f t="shared" si="0"/>
        <v>707.07899999999995</v>
      </c>
      <c r="U12" s="237">
        <f t="shared" si="0"/>
        <v>730.07899999999995</v>
      </c>
      <c r="V12" s="237">
        <f t="shared" si="0"/>
        <v>753.07899999999995</v>
      </c>
      <c r="W12" s="237">
        <f t="shared" si="0"/>
        <v>776.07899999999995</v>
      </c>
    </row>
    <row r="13" spans="1:25" ht="15.6">
      <c r="A13" s="30" t="s">
        <v>27</v>
      </c>
      <c r="B13" s="82"/>
      <c r="C13" s="82"/>
      <c r="D13" s="82"/>
      <c r="E13" s="82"/>
      <c r="F13" s="82"/>
      <c r="G13" s="82"/>
      <c r="H13" s="82"/>
      <c r="I13" s="82">
        <v>4.9000000000000002E-2</v>
      </c>
      <c r="J13" s="82">
        <v>0.05</v>
      </c>
      <c r="K13" s="82">
        <v>5.8000000000000003E-2</v>
      </c>
      <c r="L13" s="226">
        <v>6.3E-2</v>
      </c>
      <c r="M13" s="322"/>
      <c r="N13" s="331"/>
      <c r="O13" s="425"/>
      <c r="P13" s="237"/>
      <c r="Q13" s="237"/>
      <c r="R13" s="237"/>
      <c r="S13" s="237"/>
      <c r="T13" s="237"/>
      <c r="U13" s="237"/>
      <c r="V13" s="237"/>
      <c r="W13" s="237"/>
    </row>
    <row r="14" spans="1:25" ht="15.6">
      <c r="A14" s="30" t="s">
        <v>137</v>
      </c>
      <c r="B14" s="82"/>
      <c r="C14" s="82"/>
      <c r="D14" s="82"/>
      <c r="E14" s="82"/>
      <c r="F14" s="82"/>
      <c r="G14" s="82"/>
      <c r="H14" s="82"/>
      <c r="I14" s="82"/>
      <c r="J14" s="82"/>
      <c r="K14" s="82"/>
      <c r="L14" s="82"/>
      <c r="M14" s="323"/>
      <c r="N14" s="332"/>
      <c r="O14" s="425"/>
      <c r="P14" s="475" t="s">
        <v>478</v>
      </c>
      <c r="Q14" s="338">
        <f t="shared" ref="Q14:W17" si="1">Q8/Q$12</f>
        <v>0.25188955564532112</v>
      </c>
      <c r="R14" s="338">
        <f t="shared" si="1"/>
        <v>0.24736282911549909</v>
      </c>
      <c r="S14" s="338">
        <f t="shared" si="1"/>
        <v>0.24412385119262542</v>
      </c>
      <c r="T14" s="338">
        <f t="shared" si="1"/>
        <v>0.23618294419718308</v>
      </c>
      <c r="U14" s="338">
        <f t="shared" si="1"/>
        <v>0.22874236897650804</v>
      </c>
      <c r="V14" s="338">
        <f t="shared" si="1"/>
        <v>0.22175628320534765</v>
      </c>
      <c r="W14" s="338">
        <f t="shared" si="1"/>
        <v>0.2151842789200584</v>
      </c>
    </row>
    <row r="15" spans="1:25" ht="15.6">
      <c r="A15" s="30" t="s">
        <v>7</v>
      </c>
      <c r="B15" s="82"/>
      <c r="C15" s="82"/>
      <c r="D15" s="82"/>
      <c r="E15" s="82"/>
      <c r="F15" s="82"/>
      <c r="G15" s="82"/>
      <c r="H15" s="82"/>
      <c r="I15" s="82"/>
      <c r="J15" s="82"/>
      <c r="K15" s="82"/>
      <c r="L15" s="82"/>
      <c r="M15" s="323"/>
      <c r="N15" s="332"/>
      <c r="O15" s="425"/>
      <c r="P15" s="475" t="s">
        <v>423</v>
      </c>
      <c r="Q15" s="338">
        <f t="shared" si="1"/>
        <v>6.2972388911330279E-2</v>
      </c>
      <c r="R15" s="338">
        <f t="shared" si="1"/>
        <v>9.6858939111490613E-2</v>
      </c>
      <c r="S15" s="338">
        <f t="shared" si="1"/>
        <v>0.13010193267151896</v>
      </c>
      <c r="T15" s="338">
        <f t="shared" si="1"/>
        <v>0.13294129793134857</v>
      </c>
      <c r="U15" s="338">
        <f t="shared" si="1"/>
        <v>0.13560176364475626</v>
      </c>
      <c r="V15" s="338">
        <f t="shared" si="1"/>
        <v>0.13809972127758177</v>
      </c>
      <c r="W15" s="338">
        <f t="shared" si="1"/>
        <v>0.14044961917536747</v>
      </c>
    </row>
    <row r="16" spans="1:25" ht="15.6">
      <c r="A16" s="30" t="s">
        <v>357</v>
      </c>
      <c r="B16" s="82"/>
      <c r="C16" s="82"/>
      <c r="D16" s="82"/>
      <c r="E16" s="82"/>
      <c r="F16" s="82"/>
      <c r="G16" s="82"/>
      <c r="H16" s="82"/>
      <c r="I16" s="82"/>
      <c r="J16" s="82"/>
      <c r="K16" s="82"/>
      <c r="L16" s="226"/>
      <c r="M16" s="322"/>
      <c r="N16" s="331"/>
      <c r="O16" s="425"/>
      <c r="P16" s="475" t="s">
        <v>479</v>
      </c>
      <c r="Q16" s="338">
        <f t="shared" si="1"/>
        <v>1.2133704204866077E-4</v>
      </c>
      <c r="R16" s="338">
        <f t="shared" si="1"/>
        <v>1.1772086445858089E-4</v>
      </c>
      <c r="S16" s="338">
        <f t="shared" si="1"/>
        <v>1.1548373798932581E-4</v>
      </c>
      <c r="T16" s="338">
        <f t="shared" si="1"/>
        <v>1.1172726102740996E-4</v>
      </c>
      <c r="U16" s="338">
        <f t="shared" si="1"/>
        <v>1.0820746795894692E-4</v>
      </c>
      <c r="V16" s="338">
        <f t="shared" si="1"/>
        <v>1.0490267289354769E-4</v>
      </c>
      <c r="W16" s="338">
        <f t="shared" si="1"/>
        <v>1.0179376068673422E-4</v>
      </c>
    </row>
    <row r="17" spans="1:23" ht="15.6">
      <c r="A17" s="30" t="s">
        <v>356</v>
      </c>
      <c r="B17" s="82"/>
      <c r="C17" s="82"/>
      <c r="D17" s="82"/>
      <c r="E17" s="82"/>
      <c r="F17" s="82"/>
      <c r="G17" s="82"/>
      <c r="H17" s="82"/>
      <c r="I17" s="82"/>
      <c r="J17" s="82"/>
      <c r="K17" s="226"/>
      <c r="L17" s="82"/>
      <c r="M17" s="323"/>
      <c r="N17" s="332"/>
      <c r="P17" s="475" t="s">
        <v>480</v>
      </c>
      <c r="Q17" s="338">
        <f t="shared" si="1"/>
        <v>0.68501671840130007</v>
      </c>
      <c r="R17" s="338">
        <f t="shared" si="1"/>
        <v>0.65566051090855182</v>
      </c>
      <c r="S17" s="338">
        <f t="shared" si="1"/>
        <v>0.6256587323978664</v>
      </c>
      <c r="T17" s="338">
        <f t="shared" si="1"/>
        <v>0.63076403061044106</v>
      </c>
      <c r="U17" s="338">
        <f t="shared" si="1"/>
        <v>0.63554765991077677</v>
      </c>
      <c r="V17" s="338">
        <f t="shared" si="1"/>
        <v>0.64003909284417704</v>
      </c>
      <c r="W17" s="338">
        <f t="shared" si="1"/>
        <v>0.64426430814388747</v>
      </c>
    </row>
    <row r="18" spans="1:23" ht="15.6">
      <c r="A18" s="30" t="s">
        <v>26</v>
      </c>
      <c r="B18" s="82"/>
      <c r="C18" s="82"/>
      <c r="D18" s="82"/>
      <c r="E18" s="82"/>
      <c r="F18" s="82"/>
      <c r="G18" s="82"/>
      <c r="H18" s="82"/>
      <c r="I18" s="82"/>
      <c r="J18" s="82"/>
      <c r="K18" s="226"/>
      <c r="L18" s="226"/>
      <c r="M18" s="322"/>
      <c r="N18" s="331"/>
      <c r="U18" s="425"/>
    </row>
    <row r="19" spans="1:23" ht="15.6">
      <c r="A19" s="30" t="s">
        <v>25</v>
      </c>
      <c r="B19" s="82"/>
      <c r="C19" s="82"/>
      <c r="D19" s="82"/>
      <c r="E19" s="82"/>
      <c r="F19" s="82"/>
      <c r="G19" s="82"/>
      <c r="H19" s="82"/>
      <c r="I19" s="82">
        <v>0.24399999999999999</v>
      </c>
      <c r="J19" s="82">
        <v>0.24</v>
      </c>
      <c r="K19" s="226">
        <v>0.23</v>
      </c>
      <c r="L19" s="226">
        <v>0.23899999999999999</v>
      </c>
      <c r="M19" s="322"/>
      <c r="N19" s="331"/>
      <c r="P19" s="476" t="s">
        <v>600</v>
      </c>
    </row>
    <row r="20" spans="1:23" ht="15.6">
      <c r="A20" s="30" t="s">
        <v>383</v>
      </c>
      <c r="B20" s="82"/>
      <c r="C20" s="82"/>
      <c r="D20" s="82"/>
      <c r="E20" s="82"/>
      <c r="F20" s="82"/>
      <c r="G20" s="82"/>
      <c r="H20" s="82"/>
      <c r="I20" s="82"/>
      <c r="J20" s="82"/>
      <c r="K20" s="226"/>
      <c r="L20" s="82"/>
      <c r="M20" s="323"/>
      <c r="N20" s="332"/>
      <c r="P20" s="475" t="s">
        <v>477</v>
      </c>
      <c r="Q20" s="237">
        <v>2020</v>
      </c>
      <c r="R20" s="237">
        <v>2025</v>
      </c>
      <c r="S20" s="237">
        <v>2030</v>
      </c>
      <c r="T20" s="237">
        <v>2035</v>
      </c>
      <c r="U20" s="237">
        <v>2040</v>
      </c>
      <c r="V20" s="237">
        <v>2045</v>
      </c>
      <c r="W20" s="237">
        <v>2050</v>
      </c>
    </row>
    <row r="21" spans="1:23" ht="15.6">
      <c r="A21" s="72" t="s">
        <v>23</v>
      </c>
      <c r="B21" s="227">
        <f>SUM(B10:B20)</f>
        <v>0</v>
      </c>
      <c r="C21" s="227">
        <f t="shared" ref="C21:K21" si="2">SUM(C10:C20)</f>
        <v>0</v>
      </c>
      <c r="D21" s="227">
        <f t="shared" si="2"/>
        <v>0</v>
      </c>
      <c r="E21" s="227">
        <f t="shared" si="2"/>
        <v>0</v>
      </c>
      <c r="F21" s="227">
        <f t="shared" si="2"/>
        <v>0</v>
      </c>
      <c r="G21" s="227">
        <f t="shared" si="2"/>
        <v>0</v>
      </c>
      <c r="H21" s="227">
        <f t="shared" si="2"/>
        <v>0</v>
      </c>
      <c r="I21" s="227">
        <f t="shared" si="2"/>
        <v>1</v>
      </c>
      <c r="J21" s="227">
        <f t="shared" si="2"/>
        <v>1</v>
      </c>
      <c r="K21" s="227">
        <f t="shared" si="2"/>
        <v>1</v>
      </c>
      <c r="L21" s="261">
        <f>SUM(L11:L20)</f>
        <v>0.99999999999999989</v>
      </c>
      <c r="M21" s="322"/>
      <c r="N21" s="331"/>
      <c r="O21" s="425"/>
      <c r="P21" s="475" t="s">
        <v>478</v>
      </c>
      <c r="Q21" s="237">
        <v>164</v>
      </c>
      <c r="R21" s="237">
        <v>166</v>
      </c>
      <c r="S21" s="237">
        <v>167</v>
      </c>
      <c r="T21" s="237">
        <v>167</v>
      </c>
      <c r="U21" s="237">
        <v>167</v>
      </c>
      <c r="V21" s="237">
        <v>167</v>
      </c>
      <c r="W21" s="237">
        <v>167</v>
      </c>
    </row>
    <row r="22" spans="1:23" ht="15.6">
      <c r="A22" s="30" t="s">
        <v>139</v>
      </c>
      <c r="B22" s="226">
        <f>SUM(B13:B20)</f>
        <v>0</v>
      </c>
      <c r="C22" s="226">
        <f t="shared" ref="C22:L22" si="3">SUM(C13:C20)</f>
        <v>0</v>
      </c>
      <c r="D22" s="226">
        <f t="shared" si="3"/>
        <v>0</v>
      </c>
      <c r="E22" s="226">
        <f t="shared" si="3"/>
        <v>0</v>
      </c>
      <c r="F22" s="226">
        <f t="shared" si="3"/>
        <v>0</v>
      </c>
      <c r="G22" s="226">
        <f t="shared" si="3"/>
        <v>0</v>
      </c>
      <c r="H22" s="226">
        <f t="shared" si="3"/>
        <v>0</v>
      </c>
      <c r="I22" s="226">
        <f t="shared" si="3"/>
        <v>0.29299999999999998</v>
      </c>
      <c r="J22" s="226">
        <f t="shared" si="3"/>
        <v>0.28999999999999998</v>
      </c>
      <c r="K22" s="226">
        <f t="shared" si="3"/>
        <v>0.28800000000000003</v>
      </c>
      <c r="L22" s="226">
        <f t="shared" si="3"/>
        <v>0.30199999999999999</v>
      </c>
      <c r="M22" s="322"/>
      <c r="N22" s="331"/>
      <c r="O22" s="425"/>
      <c r="P22" s="475" t="s">
        <v>423</v>
      </c>
      <c r="Q22" s="237">
        <v>41</v>
      </c>
      <c r="R22" s="237">
        <v>51</v>
      </c>
      <c r="S22" s="237">
        <v>60</v>
      </c>
      <c r="T22" s="237">
        <v>63</v>
      </c>
      <c r="U22" s="237">
        <v>67</v>
      </c>
      <c r="V22" s="237">
        <v>70</v>
      </c>
      <c r="W22" s="237">
        <v>73</v>
      </c>
    </row>
    <row r="23" spans="1:23" ht="15.6">
      <c r="A23" s="528"/>
      <c r="B23" s="528"/>
      <c r="C23" s="528"/>
      <c r="D23" s="528"/>
      <c r="E23" s="528"/>
      <c r="F23" s="528"/>
      <c r="G23" s="528"/>
      <c r="H23" s="528"/>
      <c r="I23" s="528"/>
      <c r="J23" s="528"/>
      <c r="K23" s="528"/>
      <c r="L23" s="528"/>
      <c r="M23" s="324"/>
      <c r="N23" s="333"/>
      <c r="O23" s="425"/>
      <c r="P23" s="475" t="s">
        <v>479</v>
      </c>
      <c r="Q23" s="237">
        <v>7.9000000000000001E-2</v>
      </c>
      <c r="R23" s="237">
        <v>7.9000000000000001E-2</v>
      </c>
      <c r="S23" s="237">
        <v>7.9000000000000001E-2</v>
      </c>
      <c r="T23" s="237">
        <v>7.9000000000000001E-2</v>
      </c>
      <c r="U23" s="237">
        <v>7.9000000000000001E-2</v>
      </c>
      <c r="V23" s="237">
        <v>7.9000000000000001E-2</v>
      </c>
      <c r="W23" s="237">
        <v>7.9000000000000001E-2</v>
      </c>
    </row>
    <row r="24" spans="1:23" ht="15.6">
      <c r="O24" s="425"/>
      <c r="P24" s="475" t="s">
        <v>480</v>
      </c>
      <c r="Q24" s="237">
        <v>446</v>
      </c>
      <c r="R24" s="237">
        <v>457</v>
      </c>
      <c r="S24" s="237">
        <v>461</v>
      </c>
      <c r="T24" s="237">
        <v>481</v>
      </c>
      <c r="U24" s="237">
        <v>500</v>
      </c>
      <c r="V24" s="237">
        <v>520</v>
      </c>
      <c r="W24" s="237">
        <v>540</v>
      </c>
    </row>
    <row r="25" spans="1:23" ht="15.6">
      <c r="A25" s="519" t="s">
        <v>424</v>
      </c>
      <c r="B25" s="519"/>
      <c r="C25" s="519"/>
      <c r="D25" s="519"/>
      <c r="E25" s="519"/>
      <c r="F25" s="519"/>
      <c r="G25" s="519"/>
      <c r="H25" s="519"/>
      <c r="I25" s="519"/>
      <c r="O25" s="425"/>
      <c r="P25" s="475" t="s">
        <v>481</v>
      </c>
      <c r="Q25" s="237">
        <f>SUM(Q21:Q24)</f>
        <v>651.07899999999995</v>
      </c>
      <c r="R25" s="237">
        <f t="shared" ref="R25:W25" si="4">SUM(R21:R24)</f>
        <v>674.07899999999995</v>
      </c>
      <c r="S25" s="237">
        <f t="shared" si="4"/>
        <v>688.07899999999995</v>
      </c>
      <c r="T25" s="237">
        <f t="shared" si="4"/>
        <v>711.07899999999995</v>
      </c>
      <c r="U25" s="237">
        <f t="shared" si="4"/>
        <v>734.07899999999995</v>
      </c>
      <c r="V25" s="237">
        <f t="shared" si="4"/>
        <v>757.07899999999995</v>
      </c>
      <c r="W25" s="237">
        <f t="shared" si="4"/>
        <v>780.07899999999995</v>
      </c>
    </row>
    <row r="26" spans="1:23" ht="15.6">
      <c r="O26" s="425"/>
      <c r="P26" s="237"/>
      <c r="Q26" s="237"/>
      <c r="R26" s="237"/>
      <c r="S26" s="237"/>
      <c r="T26" s="237"/>
      <c r="U26" s="237"/>
      <c r="V26" s="237"/>
      <c r="W26" s="237"/>
    </row>
    <row r="27" spans="1:23" ht="15.6">
      <c r="A27" s="228"/>
      <c r="B27" s="228">
        <v>2015</v>
      </c>
      <c r="C27" s="228">
        <v>2020</v>
      </c>
      <c r="D27" s="228">
        <v>2025</v>
      </c>
      <c r="E27" s="228">
        <v>2030</v>
      </c>
      <c r="F27" s="228">
        <v>2035</v>
      </c>
      <c r="G27" s="228">
        <v>2040</v>
      </c>
      <c r="H27" s="228">
        <v>2045</v>
      </c>
      <c r="I27" s="228">
        <v>2050</v>
      </c>
      <c r="O27" s="425"/>
      <c r="P27" s="475" t="s">
        <v>478</v>
      </c>
      <c r="Q27" s="338">
        <f t="shared" ref="Q27:W30" si="5">Q21/Q$25</f>
        <v>0.25188955564532112</v>
      </c>
      <c r="R27" s="338">
        <f t="shared" si="5"/>
        <v>0.24626193665727608</v>
      </c>
      <c r="S27" s="338">
        <f t="shared" si="5"/>
        <v>0.24270468943246343</v>
      </c>
      <c r="T27" s="338">
        <f t="shared" si="5"/>
        <v>0.23485435514197439</v>
      </c>
      <c r="U27" s="338">
        <f t="shared" si="5"/>
        <v>0.22749595070830253</v>
      </c>
      <c r="V27" s="338">
        <f t="shared" si="5"/>
        <v>0.22058464176129572</v>
      </c>
      <c r="W27" s="338">
        <f t="shared" si="5"/>
        <v>0.21408088155174029</v>
      </c>
    </row>
    <row r="28" spans="1:23" s="343" customFormat="1" ht="15.6">
      <c r="A28" s="529" t="s">
        <v>443</v>
      </c>
      <c r="B28" s="529"/>
      <c r="C28" s="529"/>
      <c r="D28" s="529"/>
      <c r="E28" s="529"/>
      <c r="F28" s="529"/>
      <c r="G28" s="529"/>
      <c r="H28" s="529"/>
      <c r="I28" s="529"/>
      <c r="N28" s="327"/>
      <c r="O28" s="425"/>
      <c r="P28" s="475" t="s">
        <v>423</v>
      </c>
      <c r="Q28" s="338">
        <f t="shared" si="5"/>
        <v>6.2972388911330279E-2</v>
      </c>
      <c r="R28" s="338">
        <f t="shared" si="5"/>
        <v>7.5658787768199287E-2</v>
      </c>
      <c r="S28" s="338">
        <f t="shared" si="5"/>
        <v>8.7199289616453929E-2</v>
      </c>
      <c r="T28" s="338">
        <f t="shared" si="5"/>
        <v>8.8597750742181958E-2</v>
      </c>
      <c r="U28" s="338">
        <f t="shared" si="5"/>
        <v>9.1270830523690241E-2</v>
      </c>
      <c r="V28" s="338">
        <f t="shared" si="5"/>
        <v>9.2460628283177845E-2</v>
      </c>
      <c r="W28" s="338">
        <f t="shared" si="5"/>
        <v>9.358026558848527E-2</v>
      </c>
    </row>
    <row r="29" spans="1:23" s="343" customFormat="1" ht="15.6">
      <c r="A29" s="228"/>
      <c r="B29" s="228"/>
      <c r="C29" s="228">
        <f>-'Bilan d''énergie'!O47</f>
        <v>651.39629999999988</v>
      </c>
      <c r="D29" s="228">
        <f>-'Bilan d''énergie'!O88</f>
        <v>672.75342494822166</v>
      </c>
      <c r="E29" s="237">
        <f>-'Bilan d''énergie'!O129</f>
        <v>688.3816257085582</v>
      </c>
      <c r="F29" s="237">
        <f>-'Bilan d''énergie'!O170</f>
        <v>703.95492339170573</v>
      </c>
      <c r="G29" s="237">
        <f>-'Bilan d''énergie'!O211</f>
        <v>718.77609147919134</v>
      </c>
      <c r="H29" s="237">
        <f>-'Bilan d''énergie'!O252</f>
        <v>718.35341814462254</v>
      </c>
      <c r="I29" s="237">
        <f>-'Bilan d''énergie'!O293</f>
        <v>701.8657590358232</v>
      </c>
      <c r="N29" s="327"/>
      <c r="O29" s="425"/>
      <c r="P29" s="475" t="s">
        <v>479</v>
      </c>
      <c r="Q29" s="338">
        <f t="shared" si="5"/>
        <v>1.2133704204866077E-4</v>
      </c>
      <c r="R29" s="338">
        <f t="shared" si="5"/>
        <v>1.171969457585832E-4</v>
      </c>
      <c r="S29" s="338">
        <f t="shared" si="5"/>
        <v>1.1481239799499767E-4</v>
      </c>
      <c r="T29" s="338">
        <f t="shared" si="5"/>
        <v>1.1109876680368848E-4</v>
      </c>
      <c r="U29" s="338">
        <f t="shared" si="5"/>
        <v>1.0761784494584372E-4</v>
      </c>
      <c r="V29" s="338">
        <f t="shared" si="5"/>
        <v>1.0434842334815786E-4</v>
      </c>
      <c r="W29" s="338">
        <f t="shared" si="5"/>
        <v>1.0127179426699091E-4</v>
      </c>
    </row>
    <row r="30" spans="1:23" ht="15.6">
      <c r="A30" s="529" t="s">
        <v>142</v>
      </c>
      <c r="B30" s="529"/>
      <c r="C30" s="529"/>
      <c r="D30" s="529"/>
      <c r="E30" s="529"/>
      <c r="F30" s="529"/>
      <c r="G30" s="529"/>
      <c r="H30" s="529"/>
      <c r="I30" s="529"/>
      <c r="J30" s="76"/>
      <c r="K30" s="76"/>
      <c r="L30" s="76"/>
      <c r="M30" s="194"/>
      <c r="N30" s="334"/>
      <c r="O30" s="425"/>
      <c r="P30" s="475" t="s">
        <v>480</v>
      </c>
      <c r="Q30" s="338">
        <f t="shared" si="5"/>
        <v>0.68501671840130007</v>
      </c>
      <c r="R30" s="338">
        <f t="shared" si="5"/>
        <v>0.67796207862876612</v>
      </c>
      <c r="S30" s="338">
        <f t="shared" si="5"/>
        <v>0.66998120855308774</v>
      </c>
      <c r="T30" s="338">
        <f t="shared" si="5"/>
        <v>0.67643679534904</v>
      </c>
      <c r="U30" s="338">
        <f t="shared" si="5"/>
        <v>0.68112560092306151</v>
      </c>
      <c r="V30" s="338">
        <f t="shared" si="5"/>
        <v>0.68685038153217837</v>
      </c>
      <c r="W30" s="338">
        <f t="shared" si="5"/>
        <v>0.69223758106550748</v>
      </c>
    </row>
    <row r="31" spans="1:23" ht="15.6">
      <c r="A31" s="30" t="s">
        <v>136</v>
      </c>
      <c r="B31" s="338">
        <f>G10</f>
        <v>0</v>
      </c>
      <c r="C31" s="338">
        <f>K10</f>
        <v>0</v>
      </c>
      <c r="D31" s="82">
        <v>0</v>
      </c>
      <c r="E31" s="82">
        <v>0</v>
      </c>
      <c r="F31" s="82">
        <v>0</v>
      </c>
      <c r="G31" s="82">
        <v>0</v>
      </c>
      <c r="H31" s="82">
        <v>0</v>
      </c>
      <c r="I31" s="82">
        <v>0</v>
      </c>
      <c r="J31" s="35"/>
      <c r="K31" s="35"/>
      <c r="L31" s="321"/>
      <c r="M31" s="321"/>
      <c r="N31" s="329"/>
      <c r="O31" s="425"/>
    </row>
    <row r="32" spans="1:23" ht="15.6">
      <c r="A32" s="30" t="s">
        <v>14</v>
      </c>
      <c r="B32" s="338">
        <f t="shared" ref="B32:B41" si="6">G11</f>
        <v>0</v>
      </c>
      <c r="C32" s="338">
        <f t="shared" ref="C32:C41" si="7">K11</f>
        <v>0</v>
      </c>
      <c r="D32" s="77">
        <v>0</v>
      </c>
      <c r="E32" s="154">
        <v>0</v>
      </c>
      <c r="F32" s="154">
        <v>0</v>
      </c>
      <c r="G32" s="154">
        <v>0</v>
      </c>
      <c r="H32" s="154">
        <v>0</v>
      </c>
      <c r="I32" s="154">
        <v>0</v>
      </c>
      <c r="J32" s="35"/>
      <c r="K32" s="35"/>
      <c r="L32" s="321"/>
      <c r="M32" s="321"/>
      <c r="N32" s="329"/>
      <c r="O32" s="425"/>
    </row>
    <row r="33" spans="1:37">
      <c r="A33" s="30" t="s">
        <v>16</v>
      </c>
      <c r="B33" s="338">
        <f t="shared" si="6"/>
        <v>0</v>
      </c>
      <c r="C33" s="338">
        <f t="shared" si="7"/>
        <v>0.71199999999999997</v>
      </c>
      <c r="D33" s="144">
        <f t="shared" ref="D33:I33" si="8">1-SUM(D34:D41)</f>
        <v>0.65663496991073833</v>
      </c>
      <c r="E33" s="144">
        <f t="shared" si="8"/>
        <v>0.62811325805435814</v>
      </c>
      <c r="F33" s="144">
        <f t="shared" si="8"/>
        <v>0.62923762399091809</v>
      </c>
      <c r="G33" s="144">
        <f t="shared" si="8"/>
        <v>0.62992647758693465</v>
      </c>
      <c r="H33" s="144">
        <f t="shared" si="8"/>
        <v>0.62274836709214221</v>
      </c>
      <c r="I33" s="144">
        <f t="shared" si="8"/>
        <v>0.6067624094112376</v>
      </c>
      <c r="J33" s="35"/>
      <c r="K33" s="35"/>
      <c r="L33" s="321"/>
      <c r="M33" s="321"/>
      <c r="N33" s="329"/>
    </row>
    <row r="34" spans="1:37">
      <c r="A34" s="30" t="s">
        <v>27</v>
      </c>
      <c r="B34" s="338">
        <f t="shared" si="6"/>
        <v>0</v>
      </c>
      <c r="C34" s="338">
        <f t="shared" si="7"/>
        <v>5.8000000000000003E-2</v>
      </c>
      <c r="D34" s="82">
        <f t="shared" ref="D34:I34" si="9">R15*R12/D29</f>
        <v>9.6617865609532519E-2</v>
      </c>
      <c r="E34" s="82">
        <f t="shared" si="9"/>
        <v>0.12928875012953958</v>
      </c>
      <c r="F34" s="82">
        <f t="shared" si="9"/>
        <v>0.13353127718334751</v>
      </c>
      <c r="G34" s="82">
        <f t="shared" si="9"/>
        <v>0.13773413052215588</v>
      </c>
      <c r="H34" s="82">
        <f t="shared" si="9"/>
        <v>0.14477553440006349</v>
      </c>
      <c r="I34" s="82">
        <f t="shared" si="9"/>
        <v>0.15530035280498225</v>
      </c>
      <c r="J34" s="35"/>
      <c r="K34" s="35"/>
      <c r="L34" s="35"/>
      <c r="M34" s="167"/>
      <c r="N34" s="329"/>
      <c r="P34" t="s">
        <v>615</v>
      </c>
    </row>
    <row r="35" spans="1:37" ht="15.6">
      <c r="A35" s="30" t="s">
        <v>137</v>
      </c>
      <c r="B35" s="338">
        <f t="shared" si="6"/>
        <v>0</v>
      </c>
      <c r="C35" s="338">
        <f t="shared" si="7"/>
        <v>0</v>
      </c>
      <c r="D35" s="82">
        <v>0</v>
      </c>
      <c r="E35" s="82">
        <v>0</v>
      </c>
      <c r="F35" s="82">
        <v>0</v>
      </c>
      <c r="G35" s="82">
        <v>0</v>
      </c>
      <c r="H35" s="82">
        <v>0</v>
      </c>
      <c r="I35" s="82">
        <v>0</v>
      </c>
      <c r="J35" s="81"/>
      <c r="K35" s="35"/>
      <c r="L35" s="35"/>
      <c r="M35" s="167"/>
      <c r="N35" s="329"/>
      <c r="P35" s="475" t="s">
        <v>477</v>
      </c>
      <c r="Q35" s="237">
        <v>2020</v>
      </c>
      <c r="R35" s="237">
        <v>2025</v>
      </c>
      <c r="S35" s="237">
        <v>2030</v>
      </c>
      <c r="T35" s="237">
        <v>2035</v>
      </c>
      <c r="U35" s="237">
        <v>2040</v>
      </c>
      <c r="V35" s="237">
        <v>2045</v>
      </c>
      <c r="W35" s="237">
        <v>2050</v>
      </c>
    </row>
    <row r="36" spans="1:37" ht="15.6">
      <c r="A36" s="30" t="s">
        <v>7</v>
      </c>
      <c r="B36" s="338">
        <f t="shared" si="6"/>
        <v>0</v>
      </c>
      <c r="C36" s="338">
        <f t="shared" si="7"/>
        <v>0</v>
      </c>
      <c r="D36" s="82">
        <v>0</v>
      </c>
      <c r="E36" s="82">
        <v>0</v>
      </c>
      <c r="F36" s="82">
        <v>0</v>
      </c>
      <c r="G36" s="82">
        <v>0</v>
      </c>
      <c r="H36" s="82">
        <v>0</v>
      </c>
      <c r="I36" s="82">
        <v>0</v>
      </c>
      <c r="J36" s="159"/>
      <c r="K36" s="167"/>
      <c r="L36" s="167"/>
      <c r="M36" s="167"/>
      <c r="N36" s="329"/>
      <c r="P36" s="475" t="s">
        <v>478</v>
      </c>
      <c r="Q36" s="237">
        <v>164</v>
      </c>
      <c r="R36" s="237">
        <v>191</v>
      </c>
      <c r="S36" s="237">
        <v>217</v>
      </c>
      <c r="T36" s="237">
        <v>225</v>
      </c>
      <c r="U36" s="237">
        <v>232</v>
      </c>
      <c r="V36" s="237">
        <v>240</v>
      </c>
      <c r="W36" s="237">
        <v>247</v>
      </c>
    </row>
    <row r="37" spans="1:37" ht="15.6">
      <c r="A37" s="30" t="s">
        <v>357</v>
      </c>
      <c r="B37" s="338">
        <f t="shared" si="6"/>
        <v>0</v>
      </c>
      <c r="C37" s="338">
        <f t="shared" si="7"/>
        <v>0</v>
      </c>
      <c r="D37" s="82">
        <v>0</v>
      </c>
      <c r="E37" s="82">
        <v>0</v>
      </c>
      <c r="F37" s="82">
        <v>0</v>
      </c>
      <c r="G37" s="82">
        <v>0</v>
      </c>
      <c r="H37" s="82">
        <v>0</v>
      </c>
      <c r="I37" s="82">
        <v>0</v>
      </c>
      <c r="J37" s="159"/>
      <c r="K37" s="167"/>
      <c r="L37" s="167"/>
      <c r="M37" s="167"/>
      <c r="N37" s="329"/>
      <c r="P37" s="475" t="s">
        <v>423</v>
      </c>
      <c r="Q37" s="237">
        <v>41</v>
      </c>
      <c r="R37" s="237">
        <v>87</v>
      </c>
      <c r="S37" s="237">
        <v>133</v>
      </c>
      <c r="T37" s="237">
        <v>152</v>
      </c>
      <c r="U37" s="237">
        <v>171</v>
      </c>
      <c r="V37" s="237">
        <v>189</v>
      </c>
      <c r="W37" s="237">
        <v>208</v>
      </c>
    </row>
    <row r="38" spans="1:37" ht="15.6">
      <c r="A38" s="30" t="s">
        <v>356</v>
      </c>
      <c r="B38" s="338">
        <f t="shared" si="6"/>
        <v>0</v>
      </c>
      <c r="C38" s="338">
        <f t="shared" si="7"/>
        <v>0</v>
      </c>
      <c r="D38" s="82">
        <v>0</v>
      </c>
      <c r="E38" s="82">
        <v>0</v>
      </c>
      <c r="F38" s="82">
        <v>0</v>
      </c>
      <c r="G38" s="82">
        <v>0</v>
      </c>
      <c r="H38" s="82">
        <v>0</v>
      </c>
      <c r="I38" s="82">
        <v>0</v>
      </c>
      <c r="J38" s="35"/>
      <c r="K38" s="35"/>
      <c r="L38" s="35"/>
      <c r="M38" s="167"/>
      <c r="N38" s="329"/>
      <c r="P38" s="475" t="s">
        <v>479</v>
      </c>
      <c r="Q38" s="237">
        <v>7.9000000000000001E-2</v>
      </c>
      <c r="R38" s="237">
        <v>11.593</v>
      </c>
      <c r="S38" s="237">
        <v>23.106000000000002</v>
      </c>
      <c r="T38" s="237">
        <v>29.128</v>
      </c>
      <c r="U38" s="237">
        <v>35.149000000000001</v>
      </c>
      <c r="V38" s="237">
        <v>41.170999999999999</v>
      </c>
      <c r="W38" s="237">
        <v>47.192</v>
      </c>
    </row>
    <row r="39" spans="1:37" ht="15.6">
      <c r="A39" s="30" t="s">
        <v>26</v>
      </c>
      <c r="B39" s="338">
        <f t="shared" si="6"/>
        <v>0</v>
      </c>
      <c r="C39" s="338">
        <f t="shared" si="7"/>
        <v>0</v>
      </c>
      <c r="D39" s="82">
        <v>0</v>
      </c>
      <c r="E39" s="82">
        <v>0</v>
      </c>
      <c r="F39" s="82">
        <v>0</v>
      </c>
      <c r="G39" s="82">
        <v>0</v>
      </c>
      <c r="H39" s="82">
        <v>0</v>
      </c>
      <c r="I39" s="82">
        <v>0</v>
      </c>
      <c r="J39" s="81"/>
      <c r="K39" s="35"/>
      <c r="L39" s="35"/>
      <c r="M39" s="167"/>
      <c r="N39" s="329"/>
      <c r="P39" s="475" t="s">
        <v>480</v>
      </c>
      <c r="Q39" s="237">
        <v>446</v>
      </c>
      <c r="R39" s="237">
        <v>274</v>
      </c>
      <c r="S39" s="237">
        <v>124</v>
      </c>
      <c r="T39" s="237">
        <v>93</v>
      </c>
      <c r="U39" s="237">
        <v>61</v>
      </c>
      <c r="V39" s="237">
        <v>31</v>
      </c>
      <c r="W39" s="237">
        <v>0</v>
      </c>
    </row>
    <row r="40" spans="1:37" ht="15.6">
      <c r="A40" s="30" t="s">
        <v>25</v>
      </c>
      <c r="B40" s="338">
        <f t="shared" si="6"/>
        <v>0</v>
      </c>
      <c r="C40" s="338">
        <f t="shared" si="7"/>
        <v>0.23</v>
      </c>
      <c r="D40" s="82">
        <f t="shared" ref="D40:I40" si="10">R14*R12/D29</f>
        <v>0.24674716447972919</v>
      </c>
      <c r="E40" s="82">
        <f t="shared" si="10"/>
        <v>0.24259799181610231</v>
      </c>
      <c r="F40" s="82">
        <f t="shared" si="10"/>
        <v>0.23723109882573434</v>
      </c>
      <c r="G40" s="82">
        <f t="shared" si="10"/>
        <v>0.23233939189090944</v>
      </c>
      <c r="H40" s="82">
        <f t="shared" si="10"/>
        <v>0.23247609850779427</v>
      </c>
      <c r="I40" s="82">
        <f t="shared" si="10"/>
        <v>0.23793723778378015</v>
      </c>
      <c r="J40" s="35"/>
      <c r="K40" s="35"/>
      <c r="L40" s="35"/>
      <c r="M40" s="167"/>
      <c r="N40" s="329"/>
      <c r="P40" s="475" t="s">
        <v>481</v>
      </c>
      <c r="Q40" s="237">
        <f>SUM(Q36:Q39)</f>
        <v>651.07899999999995</v>
      </c>
      <c r="R40" s="237">
        <f t="shared" ref="R40:W40" si="11">SUM(R36:R39)</f>
        <v>563.59300000000007</v>
      </c>
      <c r="S40" s="237">
        <f t="shared" si="11"/>
        <v>497.10599999999999</v>
      </c>
      <c r="T40" s="237">
        <f t="shared" si="11"/>
        <v>499.12799999999999</v>
      </c>
      <c r="U40" s="237">
        <f t="shared" si="11"/>
        <v>499.149</v>
      </c>
      <c r="V40" s="237">
        <f t="shared" si="11"/>
        <v>501.17099999999999</v>
      </c>
      <c r="W40" s="237">
        <f t="shared" si="11"/>
        <v>502.19200000000001</v>
      </c>
    </row>
    <row r="41" spans="1:37">
      <c r="A41" s="30" t="s">
        <v>383</v>
      </c>
      <c r="B41" s="338">
        <f t="shared" si="6"/>
        <v>0</v>
      </c>
      <c r="C41" s="338">
        <f t="shared" si="7"/>
        <v>0</v>
      </c>
      <c r="D41" s="82">
        <v>0</v>
      </c>
      <c r="E41" s="82">
        <v>0</v>
      </c>
      <c r="F41" s="82">
        <v>0</v>
      </c>
      <c r="G41" s="82">
        <v>0</v>
      </c>
      <c r="H41" s="82">
        <v>0</v>
      </c>
      <c r="I41" s="82">
        <v>0</v>
      </c>
      <c r="J41" s="81"/>
      <c r="K41" s="35"/>
      <c r="L41" s="35"/>
      <c r="M41" s="167"/>
      <c r="N41" s="329"/>
      <c r="P41" s="237"/>
      <c r="Q41" s="237"/>
      <c r="R41" s="237"/>
      <c r="S41" s="237"/>
      <c r="T41" s="237"/>
      <c r="U41" s="237"/>
      <c r="V41" s="237"/>
      <c r="W41" s="237"/>
    </row>
    <row r="42" spans="1:37" ht="15.6">
      <c r="A42" s="72" t="s">
        <v>23</v>
      </c>
      <c r="B42" s="72"/>
      <c r="C42" s="79">
        <f>SUM(C31:C41)</f>
        <v>1</v>
      </c>
      <c r="D42" s="87">
        <f t="shared" ref="D42:I42" si="12">SUM(D32:D41)</f>
        <v>1</v>
      </c>
      <c r="E42" s="87">
        <f t="shared" si="12"/>
        <v>1</v>
      </c>
      <c r="F42" s="87">
        <f t="shared" si="12"/>
        <v>0.99999999999999989</v>
      </c>
      <c r="G42" s="87">
        <f t="shared" si="12"/>
        <v>1</v>
      </c>
      <c r="H42" s="87">
        <f t="shared" si="12"/>
        <v>1</v>
      </c>
      <c r="I42" s="87">
        <f t="shared" si="12"/>
        <v>1</v>
      </c>
      <c r="J42" s="35"/>
      <c r="K42" s="35"/>
      <c r="L42" s="35"/>
      <c r="M42" s="167"/>
      <c r="N42" s="329"/>
      <c r="P42" s="475" t="s">
        <v>478</v>
      </c>
      <c r="Q42" s="338">
        <f t="shared" ref="Q42:W42" si="13">Q36/Q$25</f>
        <v>0.25188955564532112</v>
      </c>
      <c r="R42" s="338">
        <f t="shared" si="13"/>
        <v>0.28334957772011887</v>
      </c>
      <c r="S42" s="338">
        <f t="shared" si="13"/>
        <v>0.31537076411284171</v>
      </c>
      <c r="T42" s="338">
        <f t="shared" si="13"/>
        <v>0.31642053836493556</v>
      </c>
      <c r="U42" s="338">
        <f t="shared" si="13"/>
        <v>0.31604227882830049</v>
      </c>
      <c r="V42" s="338">
        <f t="shared" si="13"/>
        <v>0.31700786839946693</v>
      </c>
      <c r="W42" s="338">
        <f t="shared" si="13"/>
        <v>0.31663459726514881</v>
      </c>
      <c r="AB42" s="72" t="s">
        <v>23</v>
      </c>
      <c r="AC42" s="78">
        <v>1</v>
      </c>
      <c r="AD42" s="79">
        <v>1</v>
      </c>
      <c r="AE42" s="72"/>
      <c r="AF42" s="72"/>
      <c r="AG42" s="72"/>
      <c r="AH42" s="72"/>
      <c r="AI42" s="72"/>
      <c r="AJ42" s="84">
        <v>1</v>
      </c>
    </row>
    <row r="43" spans="1:37" ht="15.6">
      <c r="A43" s="30" t="s">
        <v>139</v>
      </c>
      <c r="B43" s="30"/>
      <c r="C43" s="79">
        <f t="shared" ref="C43:I43" si="14">SUM(C34:C41)</f>
        <v>0.28800000000000003</v>
      </c>
      <c r="D43" s="83">
        <f t="shared" si="14"/>
        <v>0.34336503008926172</v>
      </c>
      <c r="E43" s="83">
        <f t="shared" si="14"/>
        <v>0.37188674194564186</v>
      </c>
      <c r="F43" s="83">
        <f t="shared" si="14"/>
        <v>0.37076237600908185</v>
      </c>
      <c r="G43" s="83">
        <f t="shared" si="14"/>
        <v>0.37007352241306535</v>
      </c>
      <c r="H43" s="83">
        <f t="shared" si="14"/>
        <v>0.37725163290785779</v>
      </c>
      <c r="I43" s="83">
        <f t="shared" si="14"/>
        <v>0.3932375905887624</v>
      </c>
      <c r="J43" s="35"/>
      <c r="K43" s="35"/>
      <c r="L43" s="35"/>
      <c r="M43" s="167"/>
      <c r="N43" s="329"/>
      <c r="P43" s="475" t="s">
        <v>423</v>
      </c>
      <c r="Q43" s="338">
        <f t="shared" ref="Q43:W43" si="15">Q37/Q$25</f>
        <v>6.2972388911330279E-2</v>
      </c>
      <c r="R43" s="338">
        <f t="shared" si="15"/>
        <v>0.12906499089869289</v>
      </c>
      <c r="S43" s="338">
        <f t="shared" si="15"/>
        <v>0.19329175864980622</v>
      </c>
      <c r="T43" s="338">
        <f t="shared" si="15"/>
        <v>0.21375965258431204</v>
      </c>
      <c r="U43" s="338">
        <f t="shared" si="15"/>
        <v>0.23294495551568703</v>
      </c>
      <c r="V43" s="338">
        <f t="shared" si="15"/>
        <v>0.2496436963645802</v>
      </c>
      <c r="W43" s="338">
        <f t="shared" si="15"/>
        <v>0.26663966085486213</v>
      </c>
      <c r="AB43" s="30" t="s">
        <v>139</v>
      </c>
      <c r="AC43" s="78">
        <v>0.38</v>
      </c>
      <c r="AD43" s="79">
        <v>0.31</v>
      </c>
      <c r="AE43" s="30"/>
      <c r="AF43" s="30"/>
      <c r="AG43" s="30"/>
      <c r="AH43" s="30"/>
      <c r="AI43" s="30"/>
      <c r="AJ43" s="80">
        <v>0.81</v>
      </c>
      <c r="AK43" t="s">
        <v>143</v>
      </c>
    </row>
    <row r="44" spans="1:37" s="325" customFormat="1" ht="31.2" customHeight="1">
      <c r="A44" s="530" t="s">
        <v>601</v>
      </c>
      <c r="B44" s="530"/>
      <c r="C44" s="530"/>
      <c r="D44" s="530"/>
      <c r="E44" s="530"/>
      <c r="F44" s="530"/>
      <c r="G44" s="530"/>
      <c r="H44" s="530"/>
      <c r="I44" s="530"/>
      <c r="N44" s="327"/>
      <c r="P44" s="475" t="s">
        <v>479</v>
      </c>
      <c r="Q44" s="338">
        <f t="shared" ref="Q44:W44" si="16">Q38/Q$25</f>
        <v>1.2133704204866077E-4</v>
      </c>
      <c r="R44" s="338">
        <f t="shared" si="16"/>
        <v>1.7198280913661455E-2</v>
      </c>
      <c r="S44" s="338">
        <f t="shared" si="16"/>
        <v>3.3580446431296408E-2</v>
      </c>
      <c r="T44" s="338">
        <f t="shared" si="16"/>
        <v>4.0963099739972635E-2</v>
      </c>
      <c r="U44" s="338">
        <f t="shared" si="16"/>
        <v>4.7881767493689373E-2</v>
      </c>
      <c r="V44" s="338">
        <f t="shared" si="16"/>
        <v>5.4381378957810221E-2</v>
      </c>
      <c r="W44" s="338">
        <f t="shared" si="16"/>
        <v>6.0496436899339687E-2</v>
      </c>
    </row>
    <row r="45" spans="1:37" ht="15.6">
      <c r="P45" s="475" t="s">
        <v>480</v>
      </c>
      <c r="Q45" s="338">
        <f t="shared" ref="Q45:W45" si="17">Q39/Q$25</f>
        <v>0.68501671840130007</v>
      </c>
      <c r="R45" s="338">
        <f t="shared" si="17"/>
        <v>0.40648054604875694</v>
      </c>
      <c r="S45" s="338">
        <f t="shared" si="17"/>
        <v>0.18021186520733812</v>
      </c>
      <c r="T45" s="338">
        <f t="shared" si="17"/>
        <v>0.13078715585750669</v>
      </c>
      <c r="U45" s="338">
        <f t="shared" si="17"/>
        <v>8.3097323312613491E-2</v>
      </c>
      <c r="V45" s="338">
        <f t="shared" si="17"/>
        <v>4.0946849668264479E-2</v>
      </c>
      <c r="W45" s="338">
        <f t="shared" si="17"/>
        <v>0</v>
      </c>
    </row>
    <row r="46" spans="1:37">
      <c r="A46" s="519" t="s">
        <v>425</v>
      </c>
      <c r="B46" s="519"/>
      <c r="C46" s="519"/>
      <c r="D46" s="519"/>
      <c r="E46" s="519"/>
      <c r="F46" s="519"/>
      <c r="G46" s="519"/>
      <c r="H46" s="519"/>
      <c r="I46" s="519"/>
    </row>
    <row r="48" spans="1:37">
      <c r="A48" s="228"/>
      <c r="B48" s="228">
        <v>2015</v>
      </c>
      <c r="C48" s="228">
        <v>2020</v>
      </c>
      <c r="D48" s="228">
        <v>2025</v>
      </c>
      <c r="E48" s="228">
        <v>2030</v>
      </c>
      <c r="F48" s="228">
        <v>2035</v>
      </c>
      <c r="G48" s="228">
        <v>2040</v>
      </c>
      <c r="H48" s="228">
        <v>2045</v>
      </c>
      <c r="I48" s="228">
        <v>2050</v>
      </c>
      <c r="L48" s="325"/>
      <c r="M48" s="325"/>
    </row>
    <row r="49" spans="1:36" s="343" customFormat="1">
      <c r="A49" s="529" t="s">
        <v>443</v>
      </c>
      <c r="B49" s="529"/>
      <c r="C49" s="529"/>
      <c r="D49" s="529"/>
      <c r="E49" s="529"/>
      <c r="F49" s="529"/>
      <c r="G49" s="529"/>
      <c r="H49" s="529"/>
      <c r="I49" s="529"/>
      <c r="L49" s="325"/>
      <c r="M49" s="325"/>
      <c r="N49" s="327"/>
    </row>
    <row r="50" spans="1:36" s="343" customFormat="1">
      <c r="A50" s="228"/>
      <c r="B50" s="228"/>
      <c r="C50" s="228">
        <f>-'Bilan d''énergie'!AI36</f>
        <v>692.10129999999992</v>
      </c>
      <c r="D50" s="228">
        <f>-'Bilan d''énergie'!AI77</f>
        <v>669.29805536527044</v>
      </c>
      <c r="E50" s="228">
        <f>-'Bilan d''énergie'!AI118</f>
        <v>667.44594443840253</v>
      </c>
      <c r="F50" s="228">
        <f>-'Bilan d''énergie'!AI159</f>
        <v>758.46802434070685</v>
      </c>
      <c r="G50" s="228">
        <f>-'Bilan d''énergie'!AI200</f>
        <v>824.90349105775931</v>
      </c>
      <c r="H50" s="228">
        <f>-'Bilan d''énergie'!AI241</f>
        <v>829.25466541572155</v>
      </c>
      <c r="I50" s="228">
        <f>-'Bilan d''énergie'!AI282</f>
        <v>771.85964199069906</v>
      </c>
      <c r="L50" s="325"/>
      <c r="M50" s="325"/>
      <c r="N50" s="327"/>
    </row>
    <row r="51" spans="1:36">
      <c r="A51" s="529" t="s">
        <v>142</v>
      </c>
      <c r="B51" s="529"/>
      <c r="C51" s="529"/>
      <c r="D51" s="529"/>
      <c r="E51" s="529"/>
      <c r="F51" s="529"/>
      <c r="G51" s="529"/>
      <c r="H51" s="529"/>
      <c r="I51" s="529"/>
      <c r="L51" s="326"/>
      <c r="M51" s="326"/>
      <c r="N51" s="335"/>
    </row>
    <row r="52" spans="1:36">
      <c r="A52" s="30" t="s">
        <v>136</v>
      </c>
      <c r="B52" s="479">
        <f>B31</f>
        <v>0</v>
      </c>
      <c r="C52" s="479">
        <f>C31</f>
        <v>0</v>
      </c>
      <c r="D52" s="30">
        <v>0</v>
      </c>
      <c r="E52" s="30">
        <v>0</v>
      </c>
      <c r="F52" s="30">
        <v>0</v>
      </c>
      <c r="G52" s="30">
        <v>0</v>
      </c>
      <c r="H52" s="30">
        <v>0</v>
      </c>
      <c r="I52" s="30">
        <v>0</v>
      </c>
      <c r="L52" s="325"/>
      <c r="M52" s="325"/>
    </row>
    <row r="53" spans="1:36">
      <c r="A53" s="30" t="s">
        <v>14</v>
      </c>
      <c r="B53" s="479">
        <f t="shared" ref="B53:C53" si="18">B32</f>
        <v>0</v>
      </c>
      <c r="C53" s="479">
        <f t="shared" si="18"/>
        <v>0</v>
      </c>
      <c r="D53" s="154">
        <v>0</v>
      </c>
      <c r="E53" s="154">
        <v>0</v>
      </c>
      <c r="F53" s="154">
        <v>0</v>
      </c>
      <c r="G53" s="154">
        <v>0</v>
      </c>
      <c r="H53" s="154">
        <v>0</v>
      </c>
      <c r="I53" s="154">
        <v>0</v>
      </c>
    </row>
    <row r="54" spans="1:36">
      <c r="A54" s="30" t="s">
        <v>16</v>
      </c>
      <c r="B54" s="479">
        <f t="shared" ref="B54:C54" si="19">B33</f>
        <v>0</v>
      </c>
      <c r="C54" s="479">
        <f t="shared" si="19"/>
        <v>0.71199999999999997</v>
      </c>
      <c r="D54" s="154">
        <f>1-D55-D59-D61</f>
        <v>0.63229588205267206</v>
      </c>
      <c r="E54" s="154">
        <f t="shared" ref="E54:I54" si="20">1-E55-E59-E61</f>
        <v>0.57606682082357363</v>
      </c>
      <c r="F54" s="154">
        <f t="shared" si="20"/>
        <v>0.58885530022895494</v>
      </c>
      <c r="G54" s="154">
        <f t="shared" si="20"/>
        <v>0.58867753848342275</v>
      </c>
      <c r="H54" s="154">
        <f t="shared" si="20"/>
        <v>0.56755536097671477</v>
      </c>
      <c r="I54" s="154">
        <f t="shared" si="20"/>
        <v>0.52752468215756287</v>
      </c>
    </row>
    <row r="55" spans="1:36">
      <c r="A55" s="30" t="s">
        <v>27</v>
      </c>
      <c r="B55" s="479">
        <f t="shared" ref="B55:C55" si="21">B34</f>
        <v>0</v>
      </c>
      <c r="C55" s="479">
        <f t="shared" si="21"/>
        <v>5.8000000000000003E-2</v>
      </c>
      <c r="D55" s="82">
        <f>R43*R40/D50</f>
        <v>0.10868121434458523</v>
      </c>
      <c r="E55" s="82">
        <f t="shared" ref="E55:I55" si="22">S43*S40/E50</f>
        <v>0.14396146051380829</v>
      </c>
      <c r="F55" s="82">
        <f t="shared" si="22"/>
        <v>0.1406696451941333</v>
      </c>
      <c r="G55" s="82">
        <f t="shared" si="22"/>
        <v>0.1409549636547219</v>
      </c>
      <c r="H55" s="82">
        <f t="shared" si="22"/>
        <v>0.15087546222970097</v>
      </c>
      <c r="I55" s="82">
        <f t="shared" si="22"/>
        <v>0.17348271276196414</v>
      </c>
    </row>
    <row r="56" spans="1:36">
      <c r="A56" s="30" t="s">
        <v>137</v>
      </c>
      <c r="B56" s="479">
        <f t="shared" ref="B56:C56" si="23">B35</f>
        <v>0</v>
      </c>
      <c r="C56" s="479">
        <f t="shared" si="23"/>
        <v>0</v>
      </c>
      <c r="D56" s="82">
        <v>0</v>
      </c>
      <c r="E56" s="82">
        <v>0</v>
      </c>
      <c r="F56" s="82">
        <v>0</v>
      </c>
      <c r="G56" s="82">
        <v>0</v>
      </c>
      <c r="H56" s="82">
        <v>0</v>
      </c>
      <c r="I56" s="82">
        <v>0</v>
      </c>
    </row>
    <row r="57" spans="1:36">
      <c r="A57" s="30" t="s">
        <v>7</v>
      </c>
      <c r="B57" s="479">
        <f t="shared" ref="B57:C57" si="24">B36</f>
        <v>0</v>
      </c>
      <c r="C57" s="479">
        <f t="shared" si="24"/>
        <v>0</v>
      </c>
      <c r="D57" s="82">
        <v>0</v>
      </c>
      <c r="E57" s="82">
        <v>0</v>
      </c>
      <c r="F57" s="82">
        <v>0</v>
      </c>
      <c r="G57" s="82">
        <v>0</v>
      </c>
      <c r="H57" s="82">
        <v>0</v>
      </c>
      <c r="I57" s="82">
        <v>0</v>
      </c>
    </row>
    <row r="58" spans="1:36">
      <c r="A58" s="30" t="s">
        <v>357</v>
      </c>
      <c r="B58" s="479">
        <f t="shared" ref="B58:C58" si="25">B37</f>
        <v>0</v>
      </c>
      <c r="C58" s="479">
        <f t="shared" si="25"/>
        <v>0</v>
      </c>
      <c r="D58" s="82">
        <v>0</v>
      </c>
      <c r="E58" s="82">
        <v>0</v>
      </c>
      <c r="F58" s="82">
        <v>0</v>
      </c>
      <c r="G58" s="82">
        <v>0</v>
      </c>
      <c r="H58" s="82">
        <v>0</v>
      </c>
      <c r="I58" s="82">
        <v>0</v>
      </c>
    </row>
    <row r="59" spans="1:36">
      <c r="A59" s="30" t="s">
        <v>356</v>
      </c>
      <c r="B59" s="479">
        <f t="shared" ref="B59:C59" si="26">B38</f>
        <v>0</v>
      </c>
      <c r="C59" s="479">
        <f t="shared" si="26"/>
        <v>0</v>
      </c>
      <c r="D59" s="82">
        <f>R44*D50/R40</f>
        <v>2.0423915788768236E-2</v>
      </c>
      <c r="E59" s="82">
        <f t="shared" ref="E59:I59" si="27">S44*E50/S40</f>
        <v>4.5087230455878251E-2</v>
      </c>
      <c r="F59" s="82">
        <f t="shared" si="27"/>
        <v>6.2246961361911907E-2</v>
      </c>
      <c r="G59" s="82">
        <f t="shared" si="27"/>
        <v>7.9130354189951915E-2</v>
      </c>
      <c r="H59" s="82">
        <f t="shared" si="27"/>
        <v>8.9981288247932292E-2</v>
      </c>
      <c r="I59" s="82">
        <f t="shared" si="27"/>
        <v>9.2981883675640489E-2</v>
      </c>
    </row>
    <row r="60" spans="1:36">
      <c r="A60" s="30" t="s">
        <v>26</v>
      </c>
      <c r="B60" s="479">
        <f t="shared" ref="B60:C60" si="28">B39</f>
        <v>0</v>
      </c>
      <c r="C60" s="479">
        <f t="shared" si="28"/>
        <v>0</v>
      </c>
      <c r="D60" s="82">
        <v>0</v>
      </c>
      <c r="E60" s="82">
        <v>0</v>
      </c>
      <c r="F60" s="82">
        <v>0</v>
      </c>
      <c r="G60" s="82">
        <v>0</v>
      </c>
      <c r="H60" s="82">
        <v>0</v>
      </c>
      <c r="I60" s="82">
        <v>0</v>
      </c>
      <c r="L60" s="86"/>
      <c r="M60" s="86"/>
      <c r="N60" s="336"/>
    </row>
    <row r="61" spans="1:36">
      <c r="A61" s="30" t="s">
        <v>25</v>
      </c>
      <c r="B61" s="479">
        <f t="shared" ref="B61:C61" si="29">B40</f>
        <v>0</v>
      </c>
      <c r="C61" s="479">
        <f t="shared" si="29"/>
        <v>0.23</v>
      </c>
      <c r="D61" s="82">
        <f>R42*R40/D50</f>
        <v>0.23859898781397448</v>
      </c>
      <c r="E61" s="82">
        <f t="shared" ref="E61:I61" si="30">S42*S40/E50</f>
        <v>0.23488448820673982</v>
      </c>
      <c r="F61" s="82">
        <f t="shared" si="30"/>
        <v>0.20822809321499994</v>
      </c>
      <c r="G61" s="82">
        <f t="shared" si="30"/>
        <v>0.19123714367190334</v>
      </c>
      <c r="H61" s="82">
        <f t="shared" si="30"/>
        <v>0.19158788854565204</v>
      </c>
      <c r="I61" s="82">
        <f t="shared" si="30"/>
        <v>0.20601072140483243</v>
      </c>
    </row>
    <row r="62" spans="1:36">
      <c r="A62" s="30" t="s">
        <v>383</v>
      </c>
      <c r="B62" s="479">
        <f t="shared" ref="B62:C62" si="31">B41</f>
        <v>0</v>
      </c>
      <c r="C62" s="479">
        <f t="shared" si="31"/>
        <v>0</v>
      </c>
      <c r="D62" s="82">
        <v>0</v>
      </c>
      <c r="E62" s="82">
        <v>0</v>
      </c>
      <c r="F62" s="82">
        <v>0</v>
      </c>
      <c r="G62" s="82">
        <v>0</v>
      </c>
      <c r="H62" s="82">
        <v>0</v>
      </c>
      <c r="I62" s="82">
        <v>0</v>
      </c>
    </row>
    <row r="63" spans="1:36">
      <c r="A63" s="72" t="s">
        <v>23</v>
      </c>
      <c r="B63" s="78">
        <v>1</v>
      </c>
      <c r="C63" s="79">
        <v>1</v>
      </c>
      <c r="D63" s="87">
        <f t="shared" ref="D63:I63" si="32">SUM(D53:D62)</f>
        <v>1</v>
      </c>
      <c r="E63" s="87">
        <f t="shared" si="32"/>
        <v>1</v>
      </c>
      <c r="F63" s="87">
        <f t="shared" si="32"/>
        <v>1</v>
      </c>
      <c r="G63" s="87">
        <f t="shared" si="32"/>
        <v>1</v>
      </c>
      <c r="H63" s="87">
        <f t="shared" si="32"/>
        <v>1</v>
      </c>
      <c r="I63" s="84">
        <f t="shared" si="32"/>
        <v>1</v>
      </c>
      <c r="AB63" s="72" t="s">
        <v>23</v>
      </c>
      <c r="AC63" s="78">
        <v>1</v>
      </c>
      <c r="AD63" s="72"/>
      <c r="AE63" s="72"/>
      <c r="AF63" s="72"/>
      <c r="AG63" s="72"/>
      <c r="AH63" s="72"/>
      <c r="AI63" s="72"/>
      <c r="AJ63" s="84">
        <v>1</v>
      </c>
    </row>
    <row r="64" spans="1:36">
      <c r="A64" s="30" t="s">
        <v>139</v>
      </c>
      <c r="B64" s="78">
        <v>0.38</v>
      </c>
      <c r="C64" s="79">
        <v>0.31</v>
      </c>
      <c r="D64" s="80">
        <f>$C64+($I64-$C64)*5/30</f>
        <v>0.42499999999999999</v>
      </c>
      <c r="E64" s="80">
        <f>$C64+($I64-$C64)*10/30</f>
        <v>0.54</v>
      </c>
      <c r="F64" s="80">
        <f>$C64+($I64-$C64)*15/30</f>
        <v>0.65500000000000003</v>
      </c>
      <c r="G64" s="80">
        <f>$C64+($I64-$C64)*20/30</f>
        <v>0.77</v>
      </c>
      <c r="H64" s="80">
        <f>$C64+($I64-$C64)*25/30</f>
        <v>0.88500000000000001</v>
      </c>
      <c r="I64" s="80">
        <v>1</v>
      </c>
      <c r="AB64" s="30" t="s">
        <v>139</v>
      </c>
      <c r="AC64" s="78">
        <v>0.38</v>
      </c>
      <c r="AD64" s="30"/>
      <c r="AE64" s="30"/>
      <c r="AF64" s="30"/>
      <c r="AG64" s="30"/>
      <c r="AH64" s="30"/>
      <c r="AI64" s="30"/>
      <c r="AJ64" s="80">
        <v>1</v>
      </c>
    </row>
    <row r="65" spans="1:9" ht="27.6" customHeight="1">
      <c r="A65" s="525" t="s">
        <v>616</v>
      </c>
      <c r="B65" s="525"/>
      <c r="C65" s="525"/>
      <c r="D65" s="525"/>
      <c r="E65" s="525"/>
      <c r="F65" s="525"/>
      <c r="G65" s="525"/>
      <c r="H65" s="525"/>
      <c r="I65" s="525"/>
    </row>
  </sheetData>
  <mergeCells count="14">
    <mergeCell ref="A25:I25"/>
    <mergeCell ref="A46:I46"/>
    <mergeCell ref="P2:Y2"/>
    <mergeCell ref="A65:I65"/>
    <mergeCell ref="A2:J2"/>
    <mergeCell ref="A6:I6"/>
    <mergeCell ref="A9:L9"/>
    <mergeCell ref="A7:L7"/>
    <mergeCell ref="A23:L23"/>
    <mergeCell ref="A28:I28"/>
    <mergeCell ref="A49:I49"/>
    <mergeCell ref="A51:I51"/>
    <mergeCell ref="A30:I30"/>
    <mergeCell ref="A44:I44"/>
  </mergeCells>
  <pageMargins left="0.7" right="0.7" top="0.75" bottom="0.75" header="0.51180555555555496" footer="0.51180555555555496"/>
  <pageSetup paperSize="9" firstPageNumber="0"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V249"/>
  <sheetViews>
    <sheetView topLeftCell="A142" zoomScaleNormal="100" workbookViewId="0">
      <selection activeCell="I238" sqref="I238"/>
    </sheetView>
  </sheetViews>
  <sheetFormatPr baseColWidth="10" defaultColWidth="8.88671875" defaultRowHeight="14.4"/>
  <cols>
    <col min="1" max="1" width="44.109375" customWidth="1"/>
    <col min="2" max="1025" width="10.44140625" customWidth="1"/>
  </cols>
  <sheetData>
    <row r="1" spans="1:14" s="355" customFormat="1">
      <c r="C1" s="355">
        <v>2019</v>
      </c>
    </row>
    <row r="2" spans="1:14" s="355" customFormat="1">
      <c r="B2" s="355" t="s">
        <v>42</v>
      </c>
      <c r="C2" s="355">
        <f>(73.7+55.9)*11.63</f>
        <v>1507.248</v>
      </c>
    </row>
    <row r="3" spans="1:14" s="355" customFormat="1">
      <c r="B3" s="355" t="s">
        <v>542</v>
      </c>
      <c r="C3" s="355">
        <f>20.2*11.63+473</f>
        <v>707.92600000000004</v>
      </c>
    </row>
    <row r="4" spans="1:14" s="355" customFormat="1">
      <c r="B4" s="355" t="s">
        <v>543</v>
      </c>
      <c r="C4" s="355">
        <f>14*11.63+31255*44/3600</f>
        <v>544.82555555555552</v>
      </c>
    </row>
    <row r="5" spans="1:14" s="355" customFormat="1">
      <c r="B5" s="355" t="s">
        <v>544</v>
      </c>
      <c r="C5" s="355">
        <f>'Bilan d''énergie SDES historique'!D29</f>
        <v>1904.9940000000004</v>
      </c>
    </row>
    <row r="6" spans="1:14" ht="12.75" customHeight="1">
      <c r="A6" s="90"/>
      <c r="B6" s="90"/>
      <c r="C6" s="90"/>
      <c r="D6" s="90"/>
      <c r="E6" s="90"/>
      <c r="F6" s="90"/>
      <c r="G6" s="90"/>
      <c r="H6" s="90"/>
      <c r="I6" s="90"/>
      <c r="J6" s="90"/>
      <c r="K6" s="90"/>
      <c r="L6" s="90"/>
      <c r="M6" s="90"/>
    </row>
    <row r="7" spans="1:14" ht="12.75" customHeight="1">
      <c r="A7" s="531" t="s">
        <v>388</v>
      </c>
      <c r="B7" s="531"/>
      <c r="C7" s="531"/>
      <c r="D7" s="531"/>
      <c r="E7" s="531"/>
      <c r="F7" s="531"/>
      <c r="G7" s="531"/>
      <c r="H7" s="531"/>
      <c r="I7" s="531"/>
      <c r="J7" s="531"/>
      <c r="K7" s="531"/>
      <c r="L7" s="90"/>
      <c r="M7" s="90"/>
    </row>
    <row r="8" spans="1:14" ht="12.75" customHeight="1">
      <c r="A8" s="90"/>
      <c r="B8" s="90"/>
      <c r="C8" s="90"/>
      <c r="D8" s="90"/>
      <c r="E8" s="90"/>
      <c r="F8" s="90"/>
      <c r="G8" s="90"/>
      <c r="H8" s="90"/>
      <c r="I8" s="90"/>
      <c r="J8" s="90"/>
      <c r="K8" s="90"/>
      <c r="L8" s="90"/>
      <c r="M8" s="90"/>
    </row>
    <row r="9" spans="1:14" ht="12.75" customHeight="1">
      <c r="A9" s="92" t="s">
        <v>149</v>
      </c>
      <c r="B9" s="93" t="s">
        <v>150</v>
      </c>
      <c r="C9" s="93" t="s">
        <v>151</v>
      </c>
      <c r="D9" s="93" t="s">
        <v>152</v>
      </c>
      <c r="E9" s="93" t="s">
        <v>153</v>
      </c>
      <c r="F9" s="93" t="s">
        <v>154</v>
      </c>
      <c r="G9" s="94">
        <v>2018</v>
      </c>
      <c r="H9" s="95"/>
      <c r="I9" s="90"/>
      <c r="J9" s="90"/>
      <c r="K9" s="90"/>
      <c r="L9" s="90"/>
      <c r="M9" s="90"/>
    </row>
    <row r="10" spans="1:14" ht="12.75" customHeight="1">
      <c r="A10" s="96" t="s">
        <v>155</v>
      </c>
      <c r="B10" s="97"/>
      <c r="C10" s="97"/>
      <c r="D10" s="97"/>
      <c r="E10" s="97"/>
      <c r="F10" s="97"/>
      <c r="G10" s="97"/>
      <c r="H10" s="95"/>
      <c r="I10" s="90"/>
      <c r="J10" s="90"/>
      <c r="K10" s="90"/>
      <c r="L10" s="90"/>
      <c r="M10" s="90"/>
    </row>
    <row r="11" spans="1:14" ht="12.75" customHeight="1">
      <c r="A11" s="96" t="s">
        <v>156</v>
      </c>
      <c r="B11" s="98"/>
      <c r="C11" s="97"/>
      <c r="D11" s="97"/>
      <c r="E11" s="97"/>
      <c r="F11" s="97"/>
      <c r="G11" s="97"/>
      <c r="H11" s="99"/>
      <c r="I11" s="90"/>
      <c r="J11" s="90"/>
      <c r="K11" s="90"/>
      <c r="L11" s="90"/>
      <c r="M11" s="90" t="s">
        <v>520</v>
      </c>
      <c r="N11" t="s">
        <v>521</v>
      </c>
    </row>
    <row r="12" spans="1:14" ht="12.75" customHeight="1">
      <c r="A12" s="96" t="s">
        <v>157</v>
      </c>
      <c r="B12" s="98"/>
      <c r="C12" s="97"/>
      <c r="D12" s="97"/>
      <c r="E12" s="97"/>
      <c r="F12" s="97"/>
      <c r="G12" s="97"/>
      <c r="H12" s="99"/>
      <c r="I12" s="90"/>
      <c r="J12" s="90"/>
      <c r="K12" s="90"/>
      <c r="L12" s="90"/>
      <c r="M12" s="90"/>
    </row>
    <row r="13" spans="1:14" ht="12.75" customHeight="1">
      <c r="A13" s="96" t="s">
        <v>158</v>
      </c>
      <c r="B13" s="97"/>
      <c r="C13" s="97"/>
      <c r="D13" s="97"/>
      <c r="E13" s="97"/>
      <c r="F13" s="97"/>
      <c r="G13" s="97"/>
      <c r="H13" s="95"/>
      <c r="I13" s="90"/>
      <c r="J13" s="90"/>
      <c r="K13" s="90"/>
      <c r="L13" s="90"/>
      <c r="M13" s="90"/>
    </row>
    <row r="14" spans="1:14" ht="12.75" customHeight="1">
      <c r="A14" s="96" t="s">
        <v>159</v>
      </c>
      <c r="B14" s="97"/>
      <c r="C14" s="97"/>
      <c r="D14" s="97"/>
      <c r="E14" s="97"/>
      <c r="F14" s="97"/>
      <c r="G14" s="97"/>
      <c r="H14" s="95"/>
      <c r="I14" s="90"/>
      <c r="J14" s="90"/>
      <c r="K14" s="90"/>
      <c r="L14" s="90"/>
      <c r="M14" s="90"/>
    </row>
    <row r="15" spans="1:14" ht="12.75" customHeight="1">
      <c r="A15" s="96" t="s">
        <v>160</v>
      </c>
      <c r="B15" s="97"/>
      <c r="C15" s="97"/>
      <c r="D15" s="97"/>
      <c r="E15" s="97"/>
      <c r="F15" s="97"/>
      <c r="G15" s="100"/>
      <c r="H15" s="95"/>
      <c r="I15" s="90"/>
      <c r="J15" s="90"/>
      <c r="K15" s="90"/>
      <c r="L15" s="90"/>
      <c r="M15" s="90"/>
    </row>
    <row r="16" spans="1:14" ht="12.75" customHeight="1">
      <c r="A16" s="90"/>
      <c r="B16" s="90"/>
      <c r="C16" s="90"/>
      <c r="D16" s="90"/>
      <c r="E16" s="90"/>
      <c r="F16" s="90"/>
      <c r="G16" s="90"/>
      <c r="H16" s="90"/>
      <c r="I16" s="90"/>
      <c r="J16" s="90"/>
      <c r="K16" s="90"/>
      <c r="L16" s="90"/>
      <c r="M16" s="90"/>
    </row>
    <row r="17" spans="1:21" ht="12.75" customHeight="1">
      <c r="A17" s="92" t="s">
        <v>161</v>
      </c>
      <c r="B17" s="101" t="s">
        <v>150</v>
      </c>
      <c r="C17" s="101" t="s">
        <v>151</v>
      </c>
      <c r="D17" s="101" t="s">
        <v>152</v>
      </c>
      <c r="E17" s="101" t="s">
        <v>153</v>
      </c>
      <c r="F17" s="101" t="s">
        <v>154</v>
      </c>
      <c r="G17" s="101">
        <v>2018</v>
      </c>
      <c r="H17" s="101">
        <v>2019</v>
      </c>
      <c r="I17" s="101">
        <v>2020</v>
      </c>
      <c r="J17" s="90"/>
      <c r="K17" s="90"/>
      <c r="L17" s="90"/>
      <c r="M17" s="90"/>
    </row>
    <row r="18" spans="1:21" ht="12.75" customHeight="1">
      <c r="A18" s="102" t="s">
        <v>12</v>
      </c>
      <c r="B18" s="101"/>
      <c r="C18" s="271"/>
      <c r="D18" s="271"/>
      <c r="E18" s="272"/>
      <c r="F18" s="272"/>
      <c r="G18" s="271"/>
      <c r="H18" s="271">
        <f>C2</f>
        <v>1507.248</v>
      </c>
      <c r="I18" s="271"/>
      <c r="J18" s="90"/>
      <c r="K18" s="90"/>
      <c r="L18" s="90"/>
      <c r="M18" s="90"/>
      <c r="N18" s="237" t="s">
        <v>487</v>
      </c>
      <c r="O18" s="237">
        <v>2020</v>
      </c>
      <c r="P18" s="237">
        <v>2025</v>
      </c>
      <c r="Q18" s="237">
        <v>2030</v>
      </c>
      <c r="R18" s="237">
        <v>2035</v>
      </c>
      <c r="S18" s="237">
        <v>2040</v>
      </c>
      <c r="T18" s="237">
        <v>2045</v>
      </c>
      <c r="U18" s="237">
        <v>2050</v>
      </c>
    </row>
    <row r="19" spans="1:21" ht="12.75" customHeight="1">
      <c r="A19" s="90"/>
      <c r="B19" s="90"/>
      <c r="C19" s="90"/>
      <c r="D19" s="90"/>
      <c r="E19" s="90"/>
      <c r="F19" s="90"/>
      <c r="G19" s="90"/>
      <c r="H19" s="90"/>
      <c r="I19" s="90"/>
      <c r="J19" s="90"/>
      <c r="K19" s="90"/>
      <c r="L19" s="90"/>
      <c r="M19" s="90"/>
      <c r="N19" s="237" t="s">
        <v>488</v>
      </c>
      <c r="O19" s="237">
        <v>0</v>
      </c>
      <c r="P19" s="237">
        <f>Q19/2</f>
        <v>15</v>
      </c>
      <c r="Q19" s="237">
        <v>30</v>
      </c>
      <c r="R19" s="237">
        <f>$Q$19+($U$19-$Q$19)*5/20</f>
        <v>47.5</v>
      </c>
      <c r="S19" s="237">
        <f>$Q$19+($U$19-$Q$19)*10/20</f>
        <v>65</v>
      </c>
      <c r="T19" s="237">
        <f>$Q$19+($U$19-$Q$19)*15/20</f>
        <v>82.5</v>
      </c>
      <c r="U19" s="237">
        <v>100</v>
      </c>
    </row>
    <row r="20" spans="1:21" ht="12.75" customHeight="1">
      <c r="A20" s="103" t="s">
        <v>162</v>
      </c>
      <c r="B20" s="104">
        <v>2007</v>
      </c>
      <c r="C20" s="104">
        <v>2014</v>
      </c>
      <c r="D20" s="105"/>
      <c r="E20" s="90"/>
      <c r="F20" s="106" t="s">
        <v>163</v>
      </c>
      <c r="G20" s="102">
        <v>2014</v>
      </c>
      <c r="H20" s="102" t="s">
        <v>164</v>
      </c>
      <c r="I20" s="102" t="s">
        <v>165</v>
      </c>
      <c r="J20" s="90" t="s">
        <v>405</v>
      </c>
      <c r="K20" s="90"/>
      <c r="L20" s="90"/>
      <c r="M20" s="90"/>
      <c r="N20" s="237" t="s">
        <v>489</v>
      </c>
      <c r="O20" s="237">
        <v>1303</v>
      </c>
      <c r="P20" s="237">
        <f>(Q20-O20)/2+O20</f>
        <v>1365.5</v>
      </c>
      <c r="Q20" s="237">
        <v>1428</v>
      </c>
      <c r="R20" s="237">
        <f>$Q$20+($U$20-$Q$20)*5/20</f>
        <v>1423.5</v>
      </c>
      <c r="S20" s="237">
        <f>$Q$20+($U$20-$Q$20)*10/20</f>
        <v>1419</v>
      </c>
      <c r="T20" s="237">
        <f>$Q$20+($U$20-$Q$20)*15/20</f>
        <v>1414.5</v>
      </c>
      <c r="U20" s="237">
        <v>1410</v>
      </c>
    </row>
    <row r="21" spans="1:21" ht="12.75" customHeight="1">
      <c r="A21" s="107" t="s">
        <v>166</v>
      </c>
      <c r="B21" s="108">
        <v>167181</v>
      </c>
      <c r="C21" s="109">
        <v>130340</v>
      </c>
      <c r="D21" s="105"/>
      <c r="E21" s="90"/>
      <c r="F21" s="102" t="s">
        <v>167</v>
      </c>
      <c r="G21" s="268" t="e">
        <f>(0.77*C23*C11+0.84*C24*C12)/C10*11630</f>
        <v>#DIV/0!</v>
      </c>
      <c r="H21" s="268" t="e">
        <f>(0.77*C23*C11+0.84*C24*C12)/C10*11630</f>
        <v>#DIV/0!</v>
      </c>
      <c r="I21" s="102"/>
      <c r="J21" s="90"/>
      <c r="K21" s="90"/>
      <c r="L21" s="90"/>
      <c r="M21" s="90"/>
      <c r="N21" s="237" t="s">
        <v>490</v>
      </c>
      <c r="O21" s="338">
        <f>O19/(O20+O19)</f>
        <v>0</v>
      </c>
      <c r="P21" s="338">
        <f t="shared" ref="P21:U21" si="0">P19/(P20+P19)</f>
        <v>1.0865628395508874E-2</v>
      </c>
      <c r="Q21" s="338">
        <f t="shared" si="0"/>
        <v>2.0576131687242798E-2</v>
      </c>
      <c r="R21" s="338">
        <f t="shared" si="0"/>
        <v>3.2290958531611146E-2</v>
      </c>
      <c r="S21" s="338">
        <f t="shared" si="0"/>
        <v>4.3800539083557952E-2</v>
      </c>
      <c r="T21" s="338">
        <f t="shared" si="0"/>
        <v>5.5110220440881763E-2</v>
      </c>
      <c r="U21" s="338">
        <f t="shared" si="0"/>
        <v>6.6225165562913912E-2</v>
      </c>
    </row>
    <row r="22" spans="1:21" ht="12.75" customHeight="1">
      <c r="A22" s="107" t="s">
        <v>168</v>
      </c>
      <c r="B22" s="108">
        <v>312700</v>
      </c>
      <c r="C22" s="109">
        <v>381140</v>
      </c>
      <c r="D22" s="105"/>
      <c r="E22" s="90"/>
      <c r="F22" s="102" t="s">
        <v>169</v>
      </c>
      <c r="G22" s="268">
        <f>0.84*C25*11630</f>
        <v>14173.114366001533</v>
      </c>
      <c r="H22" s="268" t="e">
        <f>H24/C14*10^6</f>
        <v>#DIV/0!</v>
      </c>
      <c r="I22" s="102"/>
      <c r="J22" s="90"/>
      <c r="K22" s="90"/>
      <c r="L22" s="90"/>
      <c r="M22" s="90"/>
      <c r="N22" s="532" t="s">
        <v>604</v>
      </c>
      <c r="O22" s="532"/>
      <c r="P22" s="532"/>
      <c r="Q22" s="532"/>
      <c r="R22" s="532"/>
      <c r="S22" s="532"/>
      <c r="T22" s="532"/>
      <c r="U22" s="532"/>
    </row>
    <row r="23" spans="1:21" ht="12.75" customHeight="1">
      <c r="A23" s="107" t="s">
        <v>170</v>
      </c>
      <c r="B23" s="110">
        <v>0.97933325132242599</v>
      </c>
      <c r="C23" s="111">
        <v>1.06049689109492</v>
      </c>
      <c r="D23" s="105"/>
      <c r="E23" s="90"/>
      <c r="F23" s="102" t="s">
        <v>171</v>
      </c>
      <c r="G23" s="268" t="e">
        <f>G21*C10/10^6</f>
        <v>#DIV/0!</v>
      </c>
      <c r="H23" s="268" t="e">
        <f>H21*C10/10^6</f>
        <v>#DIV/0!</v>
      </c>
      <c r="I23" s="269">
        <v>0.63</v>
      </c>
      <c r="J23" s="90"/>
      <c r="K23" s="90"/>
      <c r="L23" s="90"/>
      <c r="M23" s="90"/>
      <c r="P23" s="428"/>
    </row>
    <row r="24" spans="1:21" ht="12.75" customHeight="1">
      <c r="A24" s="107" t="s">
        <v>172</v>
      </c>
      <c r="B24" s="110">
        <v>1.27313322671915</v>
      </c>
      <c r="C24" s="111">
        <v>1.1003735341418599</v>
      </c>
      <c r="D24" s="105"/>
      <c r="E24" s="90"/>
      <c r="F24" s="102" t="s">
        <v>173</v>
      </c>
      <c r="G24" s="268">
        <f>G22*C14/10^6</f>
        <v>0</v>
      </c>
      <c r="H24" s="268" t="e">
        <f>H25-H23</f>
        <v>#DIV/0!</v>
      </c>
      <c r="I24" s="269">
        <v>0.37</v>
      </c>
      <c r="J24" s="90"/>
      <c r="K24" s="90"/>
      <c r="L24" s="90"/>
      <c r="M24" s="90"/>
    </row>
    <row r="25" spans="1:21" ht="12.75" customHeight="1">
      <c r="A25" s="107" t="s">
        <v>174</v>
      </c>
      <c r="B25" s="110">
        <v>1.67857212631001</v>
      </c>
      <c r="C25" s="113">
        <v>1.45079580375072</v>
      </c>
      <c r="D25" s="105"/>
      <c r="E25" s="90"/>
      <c r="F25" s="102" t="s">
        <v>175</v>
      </c>
      <c r="G25" s="270" t="e">
        <f>G23+G24</f>
        <v>#DIV/0!</v>
      </c>
      <c r="H25" s="270">
        <f>C18</f>
        <v>0</v>
      </c>
      <c r="I25" s="269">
        <f>SUM(I23:I24)</f>
        <v>1</v>
      </c>
      <c r="J25" s="90"/>
      <c r="K25" s="90"/>
      <c r="L25" s="90"/>
      <c r="M25" s="90"/>
    </row>
    <row r="26" spans="1:21" ht="12.75" customHeight="1">
      <c r="A26" s="107" t="s">
        <v>176</v>
      </c>
      <c r="B26" s="114">
        <v>1</v>
      </c>
      <c r="C26" s="113">
        <v>0.86430352381698905</v>
      </c>
      <c r="D26" s="105"/>
      <c r="E26" s="90"/>
      <c r="F26" s="538" t="s">
        <v>603</v>
      </c>
      <c r="G26" s="538"/>
      <c r="H26" s="538"/>
      <c r="I26" s="538"/>
      <c r="J26" s="90"/>
      <c r="K26" s="90"/>
      <c r="L26" s="90"/>
      <c r="M26" s="90"/>
    </row>
    <row r="27" spans="1:21" ht="12.75" customHeight="1">
      <c r="A27" s="90"/>
      <c r="B27" s="90"/>
      <c r="C27" s="90"/>
      <c r="D27" s="91"/>
      <c r="E27" s="90"/>
      <c r="F27" s="90"/>
      <c r="G27" s="90"/>
      <c r="H27" s="90"/>
      <c r="I27" s="90"/>
      <c r="J27" s="90"/>
      <c r="K27" s="90"/>
      <c r="L27" s="90"/>
      <c r="M27" s="90"/>
    </row>
    <row r="28" spans="1:21" ht="12.75" customHeight="1">
      <c r="A28" s="531" t="s">
        <v>140</v>
      </c>
      <c r="B28" s="531"/>
      <c r="C28" s="531"/>
      <c r="D28" s="531"/>
      <c r="E28" s="531"/>
      <c r="F28" s="531"/>
      <c r="G28" s="531"/>
      <c r="H28" s="531"/>
      <c r="I28" s="531"/>
      <c r="J28" s="531"/>
      <c r="K28" s="531"/>
      <c r="L28" s="90"/>
      <c r="M28" s="90"/>
    </row>
    <row r="29" spans="1:21" ht="12.75" customHeight="1">
      <c r="A29" s="115"/>
      <c r="B29" s="115"/>
      <c r="C29" s="115"/>
      <c r="D29" s="115"/>
      <c r="E29" s="115"/>
      <c r="F29" s="115"/>
      <c r="G29" s="115"/>
      <c r="H29" s="115"/>
      <c r="I29" s="115"/>
      <c r="J29" s="115"/>
      <c r="K29" s="90"/>
      <c r="L29" s="90"/>
      <c r="M29" s="90"/>
    </row>
    <row r="30" spans="1:21" ht="12.75" customHeight="1">
      <c r="A30" s="116" t="s">
        <v>177</v>
      </c>
      <c r="B30" s="1">
        <v>2015</v>
      </c>
      <c r="C30" s="1">
        <v>2018</v>
      </c>
      <c r="D30" s="1">
        <v>2019</v>
      </c>
      <c r="E30" s="1">
        <v>2020</v>
      </c>
      <c r="F30" s="1">
        <v>2025</v>
      </c>
      <c r="G30" s="1">
        <v>2030</v>
      </c>
      <c r="H30" s="1">
        <v>2035</v>
      </c>
      <c r="I30" s="1">
        <v>2040</v>
      </c>
      <c r="J30" s="1">
        <v>2045</v>
      </c>
      <c r="K30" s="1">
        <v>2050</v>
      </c>
      <c r="L30" s="90"/>
      <c r="M30" s="90"/>
    </row>
    <row r="31" spans="1:21" ht="12.75" customHeight="1">
      <c r="A31" s="117" t="s">
        <v>178</v>
      </c>
      <c r="B31" s="118">
        <f>'Cadrage macroéconomique '!$G$5</f>
        <v>273043</v>
      </c>
      <c r="C31" s="118">
        <f>'Cadrage macroéconomique '!$J$5</f>
        <v>276866</v>
      </c>
      <c r="D31" s="118">
        <f>'Cadrage macroéconomique '!$K$5</f>
        <v>277940</v>
      </c>
      <c r="E31" s="118">
        <f>'Cadrage macroéconomique '!$L$5</f>
        <v>278890</v>
      </c>
      <c r="F31" s="118">
        <f>'Cadrage macroéconomique '!$C$15*1000*1000</f>
        <v>288155</v>
      </c>
      <c r="G31" s="118">
        <f>'Cadrage macroéconomique '!$D$15*1000000</f>
        <v>295803</v>
      </c>
      <c r="H31" s="118">
        <f>'Cadrage macroéconomique '!$E$15*1000000</f>
        <v>303451</v>
      </c>
      <c r="I31" s="118">
        <f>'Cadrage macroéconomique '!$F$15*1000000</f>
        <v>311099</v>
      </c>
      <c r="J31" s="118">
        <f>'Cadrage macroéconomique '!$G$15*1000000</f>
        <v>318747</v>
      </c>
      <c r="K31" s="118">
        <f>'Cadrage macroéconomique '!$H$15*1000000</f>
        <v>326395</v>
      </c>
      <c r="L31" s="112"/>
      <c r="M31" s="90"/>
    </row>
    <row r="32" spans="1:21" ht="12.75" customHeight="1">
      <c r="A32" s="119" t="s">
        <v>179</v>
      </c>
      <c r="B32" s="120">
        <v>0.77100000000000002</v>
      </c>
      <c r="C32" s="144">
        <v>0.77100000000000002</v>
      </c>
      <c r="D32" s="144">
        <v>0.77100000000000002</v>
      </c>
      <c r="E32" s="144">
        <v>0.77100000000000002</v>
      </c>
      <c r="F32" s="144">
        <v>0.77100000000000002</v>
      </c>
      <c r="G32" s="144">
        <v>0.77100000000000002</v>
      </c>
      <c r="H32" s="144">
        <v>0.77100000000000002</v>
      </c>
      <c r="I32" s="144">
        <v>0.77100000000000002</v>
      </c>
      <c r="J32" s="144">
        <v>0.77100000000000002</v>
      </c>
      <c r="K32" s="144">
        <v>0.77100000000000002</v>
      </c>
      <c r="L32" s="90"/>
      <c r="M32" s="90"/>
    </row>
    <row r="33" spans="1:13" ht="12.75" customHeight="1">
      <c r="A33" s="119" t="s">
        <v>180</v>
      </c>
      <c r="B33" s="121"/>
      <c r="C33" s="122">
        <f t="shared" ref="C33:K33" si="1">C31*C32</f>
        <v>213463.68600000002</v>
      </c>
      <c r="D33" s="122">
        <f t="shared" si="1"/>
        <v>214291.74</v>
      </c>
      <c r="E33" s="122">
        <f t="shared" si="1"/>
        <v>215024.19</v>
      </c>
      <c r="F33" s="122">
        <f t="shared" si="1"/>
        <v>222167.505</v>
      </c>
      <c r="G33" s="122">
        <f t="shared" si="1"/>
        <v>228064.11300000001</v>
      </c>
      <c r="H33" s="122">
        <f t="shared" si="1"/>
        <v>233960.72100000002</v>
      </c>
      <c r="I33" s="122">
        <f t="shared" si="1"/>
        <v>239857.329</v>
      </c>
      <c r="J33" s="122">
        <f t="shared" si="1"/>
        <v>245753.93700000001</v>
      </c>
      <c r="K33" s="122">
        <f t="shared" si="1"/>
        <v>251650.54500000001</v>
      </c>
      <c r="L33" s="90"/>
      <c r="M33" s="90"/>
    </row>
    <row r="34" spans="1:13" ht="12.75" customHeight="1">
      <c r="A34" s="119" t="s">
        <v>181</v>
      </c>
      <c r="B34" s="1"/>
      <c r="C34" s="123">
        <v>1</v>
      </c>
      <c r="D34" s="118">
        <f t="shared" ref="D34:K34" si="2">$C34*D31/$C31</f>
        <v>1.0038791328657184</v>
      </c>
      <c r="E34" s="118">
        <f t="shared" si="2"/>
        <v>1.0073103956426575</v>
      </c>
      <c r="F34" s="118">
        <f t="shared" si="2"/>
        <v>1.0407742373566997</v>
      </c>
      <c r="G34" s="118">
        <f t="shared" si="2"/>
        <v>1.0683977086388361</v>
      </c>
      <c r="H34" s="118">
        <f t="shared" si="2"/>
        <v>1.0960211799209727</v>
      </c>
      <c r="I34" s="118">
        <f t="shared" si="2"/>
        <v>1.1236446512031091</v>
      </c>
      <c r="J34" s="118">
        <f t="shared" si="2"/>
        <v>1.1512681224852455</v>
      </c>
      <c r="K34" s="118">
        <f t="shared" si="2"/>
        <v>1.1788915937673821</v>
      </c>
      <c r="L34" s="90" t="s">
        <v>486</v>
      </c>
      <c r="M34" s="90"/>
    </row>
    <row r="35" spans="1:13" ht="12.75" customHeight="1">
      <c r="A35" s="538" t="s">
        <v>387</v>
      </c>
      <c r="B35" s="538"/>
      <c r="C35" s="538"/>
      <c r="D35" s="538"/>
      <c r="E35" s="538"/>
      <c r="F35" s="538"/>
      <c r="G35" s="538"/>
      <c r="H35" s="538"/>
      <c r="I35" s="538"/>
      <c r="J35" s="538"/>
      <c r="K35" s="538"/>
      <c r="L35" s="90"/>
      <c r="M35" s="90"/>
    </row>
    <row r="36" spans="1:13" ht="12.75" customHeight="1">
      <c r="A36" s="116" t="s">
        <v>182</v>
      </c>
      <c r="B36" s="1">
        <v>2015</v>
      </c>
      <c r="C36" s="1">
        <v>2018</v>
      </c>
      <c r="D36" s="1">
        <v>2019</v>
      </c>
      <c r="E36" s="1">
        <v>2020</v>
      </c>
      <c r="F36" s="1">
        <v>2025</v>
      </c>
      <c r="G36" s="1">
        <v>2030</v>
      </c>
      <c r="H36" s="1">
        <v>2035</v>
      </c>
      <c r="I36" s="1">
        <v>2040</v>
      </c>
      <c r="J36" s="1">
        <v>2045</v>
      </c>
      <c r="K36" s="1">
        <v>2050</v>
      </c>
      <c r="L36" s="90"/>
      <c r="M36" s="90"/>
    </row>
    <row r="37" spans="1:13" ht="12.75" customHeight="1">
      <c r="A37" s="117" t="s">
        <v>183</v>
      </c>
      <c r="B37" s="124">
        <f>1</f>
        <v>1</v>
      </c>
      <c r="C37" s="124">
        <f>1</f>
        <v>1</v>
      </c>
      <c r="D37" s="124">
        <f>1</f>
        <v>1</v>
      </c>
      <c r="E37" s="124">
        <f>1</f>
        <v>1</v>
      </c>
      <c r="F37" s="124">
        <f>0.5*D37+0.5*G37</f>
        <v>1.0150000000000001</v>
      </c>
      <c r="G37" s="124">
        <v>1.03</v>
      </c>
      <c r="H37" s="124">
        <f>0.75*G37+0.25*K37</f>
        <v>1.0474999999999999</v>
      </c>
      <c r="I37" s="124">
        <f>0.5*G37+0.5*K37</f>
        <v>1.0649999999999999</v>
      </c>
      <c r="J37" s="124">
        <f>0.25*G37+0.75*K37</f>
        <v>1.0825</v>
      </c>
      <c r="K37" s="124">
        <v>1.1000000000000001</v>
      </c>
      <c r="L37" s="90"/>
      <c r="M37" s="90"/>
    </row>
    <row r="38" spans="1:13" ht="12.75" customHeight="1">
      <c r="A38" s="117" t="s">
        <v>184</v>
      </c>
      <c r="B38" s="125">
        <f>0%</f>
        <v>0</v>
      </c>
      <c r="C38" s="125">
        <f>0%</f>
        <v>0</v>
      </c>
      <c r="D38" s="125">
        <f>0%</f>
        <v>0</v>
      </c>
      <c r="E38" s="125">
        <f>0%</f>
        <v>0</v>
      </c>
      <c r="F38" s="125">
        <f t="shared" ref="F38:K38" si="3">P21</f>
        <v>1.0865628395508874E-2</v>
      </c>
      <c r="G38" s="125">
        <f t="shared" si="3"/>
        <v>2.0576131687242798E-2</v>
      </c>
      <c r="H38" s="125">
        <f t="shared" si="3"/>
        <v>3.2290958531611146E-2</v>
      </c>
      <c r="I38" s="125">
        <f t="shared" si="3"/>
        <v>4.3800539083557952E-2</v>
      </c>
      <c r="J38" s="125">
        <f t="shared" si="3"/>
        <v>5.5110220440881763E-2</v>
      </c>
      <c r="K38" s="125">
        <f t="shared" si="3"/>
        <v>6.6225165562913912E-2</v>
      </c>
      <c r="L38" s="90"/>
      <c r="M38" s="90"/>
    </row>
    <row r="39" spans="1:13" ht="12.75" customHeight="1">
      <c r="A39" s="117" t="s">
        <v>185</v>
      </c>
      <c r="B39" s="125"/>
      <c r="C39" s="125"/>
      <c r="D39" s="125"/>
      <c r="E39" s="125">
        <v>0.99272954898911403</v>
      </c>
      <c r="F39" s="125">
        <v>0.90069945087288505</v>
      </c>
      <c r="G39" s="125">
        <v>0.84416717546272102</v>
      </c>
      <c r="H39" s="125">
        <v>0.80593952326986795</v>
      </c>
      <c r="I39" s="125">
        <v>0.77853415799552395</v>
      </c>
      <c r="J39" s="125">
        <v>0.76285818755827595</v>
      </c>
      <c r="K39" s="125">
        <v>0.76205287713841396</v>
      </c>
      <c r="L39" s="90"/>
      <c r="M39" s="90"/>
    </row>
    <row r="40" spans="1:13" ht="12.75" customHeight="1">
      <c r="A40" s="117" t="s">
        <v>186</v>
      </c>
      <c r="B40" s="126"/>
      <c r="C40" s="126"/>
      <c r="D40" s="126"/>
      <c r="E40" s="127">
        <v>0.3</v>
      </c>
      <c r="F40" s="127">
        <v>0.3</v>
      </c>
      <c r="G40" s="127">
        <v>0.3</v>
      </c>
      <c r="H40" s="127">
        <v>0.3</v>
      </c>
      <c r="I40" s="127">
        <v>0.3</v>
      </c>
      <c r="J40" s="127">
        <v>0.3</v>
      </c>
      <c r="K40" s="127">
        <v>0.3</v>
      </c>
      <c r="L40" s="90"/>
      <c r="M40" s="90"/>
    </row>
    <row r="41" spans="1:13" ht="12.75" customHeight="1">
      <c r="A41" s="128" t="s">
        <v>187</v>
      </c>
      <c r="B41" s="308">
        <f>B51*I23</f>
        <v>0</v>
      </c>
      <c r="C41" s="308">
        <f>C51*I23</f>
        <v>0</v>
      </c>
      <c r="D41" s="308">
        <f>D51*I23</f>
        <v>949.56623999999999</v>
      </c>
      <c r="E41" s="308">
        <f>E51*I23</f>
        <v>0</v>
      </c>
      <c r="F41" s="129">
        <f t="shared" ref="F41:K41" si="4">$D41*(F31/$D31)*(F32/$D32)*F37*(1-F38)*F39</f>
        <v>890.22873006208022</v>
      </c>
      <c r="G41" s="129">
        <f t="shared" si="4"/>
        <v>860.62341153619548</v>
      </c>
      <c r="H41" s="129">
        <f t="shared" si="4"/>
        <v>846.96228166852745</v>
      </c>
      <c r="I41" s="129">
        <f t="shared" si="4"/>
        <v>842.65267118222437</v>
      </c>
      <c r="J41" s="129">
        <f t="shared" si="4"/>
        <v>849.71480788378153</v>
      </c>
      <c r="K41" s="129">
        <f t="shared" si="4"/>
        <v>872.84608318410369</v>
      </c>
      <c r="L41" s="130"/>
      <c r="M41" s="130"/>
    </row>
    <row r="42" spans="1:13" ht="12.75" customHeight="1">
      <c r="A42" s="128" t="s">
        <v>188</v>
      </c>
      <c r="B42" s="129">
        <f>0</f>
        <v>0</v>
      </c>
      <c r="C42" s="129">
        <f>0</f>
        <v>0</v>
      </c>
      <c r="D42" s="129">
        <f>0</f>
        <v>0</v>
      </c>
      <c r="E42" s="129">
        <f>0</f>
        <v>0</v>
      </c>
      <c r="F42" s="129">
        <f t="shared" ref="F42:K42" si="5">$D41*(F31/$D31)*(F32/$D32)*F37*F38*F40</f>
        <v>3.2571856842740607</v>
      </c>
      <c r="G42" s="129">
        <f t="shared" si="5"/>
        <v>6.4253826602029198</v>
      </c>
      <c r="H42" s="129">
        <f t="shared" si="5"/>
        <v>10.520079185640629</v>
      </c>
      <c r="I42" s="129">
        <f t="shared" si="5"/>
        <v>14.873841384722713</v>
      </c>
      <c r="J42" s="129">
        <f t="shared" si="5"/>
        <v>19.489541686880766</v>
      </c>
      <c r="K42" s="129">
        <f t="shared" si="5"/>
        <v>24.369953603446742</v>
      </c>
      <c r="L42" s="130"/>
      <c r="M42" s="130"/>
    </row>
    <row r="43" spans="1:13" ht="12.75" customHeight="1">
      <c r="A43" s="117" t="s">
        <v>189</v>
      </c>
      <c r="B43" s="124">
        <f>1</f>
        <v>1</v>
      </c>
      <c r="C43" s="124">
        <f>1</f>
        <v>1</v>
      </c>
      <c r="D43" s="124">
        <f>1</f>
        <v>1</v>
      </c>
      <c r="E43" s="124">
        <f>1</f>
        <v>1</v>
      </c>
      <c r="F43" s="124">
        <f>1</f>
        <v>1</v>
      </c>
      <c r="G43" s="124">
        <f>1</f>
        <v>1</v>
      </c>
      <c r="H43" s="124">
        <f>1</f>
        <v>1</v>
      </c>
      <c r="I43" s="124">
        <f>1</f>
        <v>1</v>
      </c>
      <c r="J43" s="124">
        <f>1</f>
        <v>1</v>
      </c>
      <c r="K43" s="124">
        <f>1</f>
        <v>1</v>
      </c>
      <c r="L43" s="90"/>
      <c r="M43" s="90"/>
    </row>
    <row r="44" spans="1:13" ht="12.75" customHeight="1">
      <c r="A44" s="117" t="s">
        <v>190</v>
      </c>
      <c r="B44" s="125">
        <f>0%</f>
        <v>0</v>
      </c>
      <c r="C44" s="125">
        <f>0%</f>
        <v>0</v>
      </c>
      <c r="D44" s="125">
        <f>0%</f>
        <v>0</v>
      </c>
      <c r="E44" s="125">
        <f>0%</f>
        <v>0</v>
      </c>
      <c r="F44" s="131">
        <f t="shared" ref="F44:K44" si="6">P21</f>
        <v>1.0865628395508874E-2</v>
      </c>
      <c r="G44" s="131">
        <f t="shared" si="6"/>
        <v>2.0576131687242798E-2</v>
      </c>
      <c r="H44" s="131">
        <f t="shared" si="6"/>
        <v>3.2290958531611146E-2</v>
      </c>
      <c r="I44" s="131">
        <f t="shared" si="6"/>
        <v>4.3800539083557952E-2</v>
      </c>
      <c r="J44" s="131">
        <f t="shared" si="6"/>
        <v>5.5110220440881763E-2</v>
      </c>
      <c r="K44" s="131">
        <f t="shared" si="6"/>
        <v>6.6225165562913912E-2</v>
      </c>
      <c r="L44" s="90"/>
      <c r="M44" s="90"/>
    </row>
    <row r="45" spans="1:13" ht="12.75" customHeight="1">
      <c r="A45" s="117" t="s">
        <v>191</v>
      </c>
      <c r="B45" s="126"/>
      <c r="C45" s="126"/>
      <c r="D45" s="126"/>
      <c r="E45" s="125">
        <v>0.99</v>
      </c>
      <c r="F45" s="125">
        <v>0.95146261136309096</v>
      </c>
      <c r="G45" s="125">
        <v>0.82840277834767595</v>
      </c>
      <c r="H45" s="125">
        <v>0.75636775414352997</v>
      </c>
      <c r="I45" s="125">
        <v>0.69934002664858097</v>
      </c>
      <c r="J45" s="125">
        <v>0.67232689257202705</v>
      </c>
      <c r="K45" s="125">
        <v>0.66332251454650903</v>
      </c>
      <c r="L45" s="90"/>
      <c r="M45" s="90"/>
    </row>
    <row r="46" spans="1:13" ht="12.75" customHeight="1">
      <c r="A46" s="117" t="s">
        <v>192</v>
      </c>
      <c r="B46" s="126"/>
      <c r="C46" s="126"/>
      <c r="D46" s="126"/>
      <c r="E46" s="127">
        <v>0.4</v>
      </c>
      <c r="F46" s="127">
        <f t="shared" ref="F46:K46" si="7">E46</f>
        <v>0.4</v>
      </c>
      <c r="G46" s="127">
        <f t="shared" si="7"/>
        <v>0.4</v>
      </c>
      <c r="H46" s="127">
        <f t="shared" si="7"/>
        <v>0.4</v>
      </c>
      <c r="I46" s="127">
        <f t="shared" si="7"/>
        <v>0.4</v>
      </c>
      <c r="J46" s="127">
        <f t="shared" si="7"/>
        <v>0.4</v>
      </c>
      <c r="K46" s="127">
        <f t="shared" si="7"/>
        <v>0.4</v>
      </c>
      <c r="L46" s="90"/>
      <c r="M46" s="90"/>
    </row>
    <row r="47" spans="1:13" ht="12.75" customHeight="1">
      <c r="A47" s="128" t="s">
        <v>193</v>
      </c>
      <c r="B47" s="308">
        <f>B51*I24</f>
        <v>0</v>
      </c>
      <c r="C47" s="308">
        <f>C51*I24</f>
        <v>0</v>
      </c>
      <c r="D47" s="308">
        <f>D51*I24</f>
        <v>557.68176000000005</v>
      </c>
      <c r="E47" s="308">
        <f>E51*I24</f>
        <v>0</v>
      </c>
      <c r="F47" s="129">
        <f t="shared" ref="F47:K47" si="8">$D47*(F34/$D34)*F43*(1-F44)*F45</f>
        <v>544.13738773927832</v>
      </c>
      <c r="G47" s="129">
        <f t="shared" si="8"/>
        <v>481.55976255700284</v>
      </c>
      <c r="H47" s="129">
        <f t="shared" si="8"/>
        <v>445.6580589840645</v>
      </c>
      <c r="I47" s="129">
        <f t="shared" si="8"/>
        <v>417.4177209213309</v>
      </c>
      <c r="J47" s="129">
        <f t="shared" si="8"/>
        <v>406.2965434508057</v>
      </c>
      <c r="K47" s="129">
        <f t="shared" si="8"/>
        <v>405.64468331017707</v>
      </c>
      <c r="L47" s="130"/>
      <c r="M47" s="130"/>
    </row>
    <row r="48" spans="1:13" ht="12.75" customHeight="1">
      <c r="A48" s="128" t="s">
        <v>194</v>
      </c>
      <c r="B48" s="129">
        <f>0</f>
        <v>0</v>
      </c>
      <c r="C48" s="129">
        <f>0</f>
        <v>0</v>
      </c>
      <c r="D48" s="129">
        <f>0</f>
        <v>0</v>
      </c>
      <c r="E48" s="129">
        <f>0</f>
        <v>0</v>
      </c>
      <c r="F48" s="129">
        <f t="shared" ref="F48:K48" si="9">$D47*(F34/$D34)*F43*F44*F46</f>
        <v>2.512906827599557</v>
      </c>
      <c r="G48" s="129">
        <f t="shared" si="9"/>
        <v>4.8849675538605455</v>
      </c>
      <c r="H48" s="129">
        <f t="shared" si="9"/>
        <v>7.8643872130662009</v>
      </c>
      <c r="I48" s="129">
        <f t="shared" si="9"/>
        <v>10.936376406284436</v>
      </c>
      <c r="J48" s="129">
        <f t="shared" si="9"/>
        <v>14.09852350236863</v>
      </c>
      <c r="K48" s="129">
        <f t="shared" si="9"/>
        <v>17.348499919721586</v>
      </c>
      <c r="L48" s="130"/>
      <c r="M48" s="130"/>
    </row>
    <row r="49" spans="1:13" ht="12.75" customHeight="1">
      <c r="A49" s="132" t="s">
        <v>195</v>
      </c>
      <c r="B49" s="126">
        <f t="shared" ref="B49:K49" si="10">B41+B47</f>
        <v>0</v>
      </c>
      <c r="C49" s="126">
        <f t="shared" si="10"/>
        <v>0</v>
      </c>
      <c r="D49" s="126">
        <f t="shared" si="10"/>
        <v>1507.248</v>
      </c>
      <c r="E49" s="126">
        <f t="shared" si="10"/>
        <v>0</v>
      </c>
      <c r="F49" s="133">
        <f t="shared" si="10"/>
        <v>1434.3661178013585</v>
      </c>
      <c r="G49" s="133">
        <f t="shared" si="10"/>
        <v>1342.1831740931984</v>
      </c>
      <c r="H49" s="133">
        <f t="shared" si="10"/>
        <v>1292.6203406525919</v>
      </c>
      <c r="I49" s="133">
        <f t="shared" si="10"/>
        <v>1260.0703921035552</v>
      </c>
      <c r="J49" s="133">
        <f t="shared" si="10"/>
        <v>1256.0113513345873</v>
      </c>
      <c r="K49" s="133">
        <f t="shared" si="10"/>
        <v>1278.4907664942807</v>
      </c>
      <c r="L49" s="90"/>
      <c r="M49" s="90"/>
    </row>
    <row r="50" spans="1:13" ht="12.75" customHeight="1">
      <c r="A50" s="132" t="s">
        <v>196</v>
      </c>
      <c r="B50" s="126">
        <f t="shared" ref="B50:K50" si="11">B42+B48</f>
        <v>0</v>
      </c>
      <c r="C50" s="126">
        <f t="shared" si="11"/>
        <v>0</v>
      </c>
      <c r="D50" s="126">
        <f t="shared" si="11"/>
        <v>0</v>
      </c>
      <c r="E50" s="126">
        <f t="shared" si="11"/>
        <v>0</v>
      </c>
      <c r="F50" s="133">
        <f t="shared" si="11"/>
        <v>5.7700925118736173</v>
      </c>
      <c r="G50" s="133">
        <f t="shared" si="11"/>
        <v>11.310350214063465</v>
      </c>
      <c r="H50" s="133">
        <f t="shared" si="11"/>
        <v>18.384466398706831</v>
      </c>
      <c r="I50" s="133">
        <f t="shared" si="11"/>
        <v>25.810217791007148</v>
      </c>
      <c r="J50" s="133">
        <f t="shared" si="11"/>
        <v>33.588065189249399</v>
      </c>
      <c r="K50" s="133">
        <f t="shared" si="11"/>
        <v>41.718453523168328</v>
      </c>
      <c r="L50" s="90"/>
      <c r="M50" s="90"/>
    </row>
    <row r="51" spans="1:13" ht="12.75" customHeight="1">
      <c r="A51" s="132" t="s">
        <v>197</v>
      </c>
      <c r="B51" s="309">
        <f>D18</f>
        <v>0</v>
      </c>
      <c r="C51" s="309">
        <f>G18</f>
        <v>0</v>
      </c>
      <c r="D51" s="309">
        <f>H18</f>
        <v>1507.248</v>
      </c>
      <c r="E51" s="309">
        <f>I18</f>
        <v>0</v>
      </c>
      <c r="F51" s="133">
        <f t="shared" ref="F51:K51" si="12">F49+F50</f>
        <v>1440.1362103132321</v>
      </c>
      <c r="G51" s="133">
        <f t="shared" si="12"/>
        <v>1353.4935243072619</v>
      </c>
      <c r="H51" s="133">
        <f t="shared" si="12"/>
        <v>1311.0048070512987</v>
      </c>
      <c r="I51" s="133">
        <f t="shared" si="12"/>
        <v>1285.8806098945622</v>
      </c>
      <c r="J51" s="133">
        <f t="shared" si="12"/>
        <v>1289.5994165238367</v>
      </c>
      <c r="K51" s="133">
        <f t="shared" si="12"/>
        <v>1320.2092200174491</v>
      </c>
      <c r="L51" s="90"/>
      <c r="M51" s="90"/>
    </row>
    <row r="52" spans="1:13" ht="12.75" customHeight="1">
      <c r="A52" s="117" t="s">
        <v>198</v>
      </c>
      <c r="B52" s="134"/>
      <c r="C52" s="134"/>
      <c r="D52" s="134"/>
      <c r="E52" s="134"/>
      <c r="F52" s="135">
        <f t="shared" ref="F52:K52" si="13">F51/$D51-1</f>
        <v>-4.4526043283366734E-2</v>
      </c>
      <c r="G52" s="135">
        <f t="shared" si="13"/>
        <v>-0.10201007113145166</v>
      </c>
      <c r="H52" s="135">
        <f t="shared" si="13"/>
        <v>-0.1301996704913202</v>
      </c>
      <c r="I52" s="135">
        <f t="shared" si="13"/>
        <v>-0.14686859103839434</v>
      </c>
      <c r="J52" s="135">
        <f t="shared" si="13"/>
        <v>-0.1444013085279684</v>
      </c>
      <c r="K52" s="135">
        <f t="shared" si="13"/>
        <v>-0.12409290308068144</v>
      </c>
      <c r="L52" s="90"/>
      <c r="M52" s="90"/>
    </row>
    <row r="53" spans="1:13" ht="12.75" customHeight="1">
      <c r="A53" s="538" t="s">
        <v>602</v>
      </c>
      <c r="B53" s="538"/>
      <c r="C53" s="538"/>
      <c r="D53" s="538"/>
      <c r="E53" s="538"/>
      <c r="F53" s="538"/>
      <c r="G53" s="538"/>
      <c r="H53" s="538"/>
      <c r="I53" s="538"/>
      <c r="J53" s="538"/>
      <c r="K53" s="538"/>
      <c r="L53" s="90"/>
      <c r="M53" s="90"/>
    </row>
    <row r="54" spans="1:13" ht="12.75" customHeight="1">
      <c r="A54" s="267"/>
      <c r="B54" s="267"/>
      <c r="C54" s="267"/>
      <c r="D54" s="267"/>
      <c r="E54" s="267"/>
      <c r="F54" s="267"/>
      <c r="G54" s="267"/>
      <c r="H54" s="267"/>
      <c r="I54" s="267"/>
      <c r="J54" s="267"/>
      <c r="K54" s="267"/>
      <c r="L54" s="90"/>
      <c r="M54" s="90"/>
    </row>
    <row r="55" spans="1:13" ht="12.75" customHeight="1">
      <c r="A55" s="539" t="s">
        <v>144</v>
      </c>
      <c r="B55" s="539"/>
      <c r="C55" s="539"/>
      <c r="D55" s="539"/>
      <c r="E55" s="539"/>
      <c r="F55" s="539"/>
      <c r="G55" s="539"/>
      <c r="H55" s="539"/>
      <c r="I55" s="539"/>
      <c r="J55" s="539"/>
      <c r="K55" s="539"/>
      <c r="L55" s="90"/>
      <c r="M55" s="90"/>
    </row>
    <row r="56" spans="1:13" ht="12.75" customHeight="1">
      <c r="A56" s="267"/>
      <c r="B56" s="267"/>
      <c r="C56" s="267"/>
      <c r="D56" s="267"/>
      <c r="E56" s="267"/>
      <c r="F56" s="267"/>
      <c r="G56" s="267"/>
      <c r="H56" s="267"/>
      <c r="I56" s="267"/>
      <c r="J56" s="267"/>
      <c r="K56" s="267"/>
      <c r="L56" s="90"/>
      <c r="M56" s="90"/>
    </row>
    <row r="57" spans="1:13" ht="12.75" customHeight="1">
      <c r="A57" s="116" t="s">
        <v>199</v>
      </c>
      <c r="B57" s="1">
        <v>2015</v>
      </c>
      <c r="C57" s="1">
        <v>2018</v>
      </c>
      <c r="D57" s="1">
        <v>2019</v>
      </c>
      <c r="E57" s="1">
        <v>2020</v>
      </c>
      <c r="F57" s="1">
        <v>2025</v>
      </c>
      <c r="G57" s="1">
        <v>2030</v>
      </c>
      <c r="H57" s="1">
        <v>2035</v>
      </c>
      <c r="I57" s="1">
        <v>2040</v>
      </c>
      <c r="J57" s="1">
        <v>2045</v>
      </c>
      <c r="K57" s="1">
        <v>2050</v>
      </c>
      <c r="L57" s="90"/>
      <c r="M57" s="90"/>
    </row>
    <row r="58" spans="1:13" ht="12.75" customHeight="1">
      <c r="A58" s="117" t="s">
        <v>178</v>
      </c>
      <c r="B58" s="118">
        <f t="shared" ref="B58:K58" si="14">B31</f>
        <v>273043</v>
      </c>
      <c r="C58" s="118">
        <f t="shared" si="14"/>
        <v>276866</v>
      </c>
      <c r="D58" s="118">
        <f t="shared" si="14"/>
        <v>277940</v>
      </c>
      <c r="E58" s="118">
        <f t="shared" si="14"/>
        <v>278890</v>
      </c>
      <c r="F58" s="118">
        <f t="shared" si="14"/>
        <v>288155</v>
      </c>
      <c r="G58" s="118">
        <f t="shared" si="14"/>
        <v>295803</v>
      </c>
      <c r="H58" s="118">
        <f t="shared" si="14"/>
        <v>303451</v>
      </c>
      <c r="I58" s="118">
        <f t="shared" si="14"/>
        <v>311099</v>
      </c>
      <c r="J58" s="118">
        <f t="shared" si="14"/>
        <v>318747</v>
      </c>
      <c r="K58" s="118">
        <f t="shared" si="14"/>
        <v>326395</v>
      </c>
      <c r="L58" s="90"/>
      <c r="M58" s="90"/>
    </row>
    <row r="59" spans="1:13" ht="12.75" customHeight="1">
      <c r="A59" s="119" t="s">
        <v>179</v>
      </c>
      <c r="B59" s="120"/>
      <c r="C59" s="136">
        <f t="shared" ref="C59:K59" si="15">C32</f>
        <v>0.77100000000000002</v>
      </c>
      <c r="D59" s="136">
        <f t="shared" si="15"/>
        <v>0.77100000000000002</v>
      </c>
      <c r="E59" s="136">
        <f t="shared" si="15"/>
        <v>0.77100000000000002</v>
      </c>
      <c r="F59" s="136">
        <f t="shared" si="15"/>
        <v>0.77100000000000002</v>
      </c>
      <c r="G59" s="136">
        <f t="shared" si="15"/>
        <v>0.77100000000000002</v>
      </c>
      <c r="H59" s="136">
        <f t="shared" si="15"/>
        <v>0.77100000000000002</v>
      </c>
      <c r="I59" s="136">
        <f t="shared" si="15"/>
        <v>0.77100000000000002</v>
      </c>
      <c r="J59" s="136">
        <f t="shared" si="15"/>
        <v>0.77100000000000002</v>
      </c>
      <c r="K59" s="136">
        <f t="shared" si="15"/>
        <v>0.77100000000000002</v>
      </c>
      <c r="L59" s="90"/>
      <c r="M59" s="90"/>
    </row>
    <row r="60" spans="1:13" ht="12.75" customHeight="1">
      <c r="A60" s="119" t="s">
        <v>180</v>
      </c>
      <c r="B60" s="121"/>
      <c r="C60" s="118">
        <f t="shared" ref="C60:K60" si="16">C33</f>
        <v>213463.68600000002</v>
      </c>
      <c r="D60" s="118">
        <f t="shared" si="16"/>
        <v>214291.74</v>
      </c>
      <c r="E60" s="118">
        <f t="shared" si="16"/>
        <v>215024.19</v>
      </c>
      <c r="F60" s="118">
        <f t="shared" si="16"/>
        <v>222167.505</v>
      </c>
      <c r="G60" s="118">
        <f t="shared" si="16"/>
        <v>228064.11300000001</v>
      </c>
      <c r="H60" s="118">
        <f t="shared" si="16"/>
        <v>233960.72100000002</v>
      </c>
      <c r="I60" s="118">
        <f t="shared" si="16"/>
        <v>239857.329</v>
      </c>
      <c r="J60" s="118">
        <f t="shared" si="16"/>
        <v>245753.93700000001</v>
      </c>
      <c r="K60" s="118">
        <f t="shared" si="16"/>
        <v>251650.54500000001</v>
      </c>
      <c r="L60" s="90"/>
      <c r="M60" s="90"/>
    </row>
    <row r="61" spans="1:13" ht="12.75" customHeight="1">
      <c r="A61" s="119" t="s">
        <v>181</v>
      </c>
      <c r="B61" s="1"/>
      <c r="C61" s="118">
        <f t="shared" ref="C61:K61" si="17">C34</f>
        <v>1</v>
      </c>
      <c r="D61" s="118">
        <f t="shared" si="17"/>
        <v>1.0038791328657184</v>
      </c>
      <c r="E61" s="118">
        <f t="shared" si="17"/>
        <v>1.0073103956426575</v>
      </c>
      <c r="F61" s="118">
        <f t="shared" si="17"/>
        <v>1.0407742373566997</v>
      </c>
      <c r="G61" s="118">
        <f t="shared" si="17"/>
        <v>1.0683977086388361</v>
      </c>
      <c r="H61" s="118">
        <f t="shared" si="17"/>
        <v>1.0960211799209727</v>
      </c>
      <c r="I61" s="118">
        <f t="shared" si="17"/>
        <v>1.1236446512031091</v>
      </c>
      <c r="J61" s="118">
        <f t="shared" si="17"/>
        <v>1.1512681224852455</v>
      </c>
      <c r="K61" s="118">
        <f t="shared" si="17"/>
        <v>1.1788915937673821</v>
      </c>
      <c r="L61" s="90"/>
      <c r="M61" s="90"/>
    </row>
    <row r="62" spans="1:13" ht="12.75" customHeight="1">
      <c r="A62" s="90"/>
      <c r="B62" s="90"/>
      <c r="C62" s="90"/>
      <c r="D62" s="91"/>
      <c r="E62" s="90"/>
      <c r="F62" s="90"/>
      <c r="G62" s="90"/>
      <c r="H62" s="90"/>
      <c r="I62" s="90"/>
      <c r="J62" s="90"/>
      <c r="K62" s="90"/>
      <c r="L62" s="90"/>
      <c r="M62" s="90"/>
    </row>
    <row r="63" spans="1:13" ht="12.75" customHeight="1">
      <c r="A63" s="116" t="s">
        <v>200</v>
      </c>
      <c r="B63" s="1">
        <v>2015</v>
      </c>
      <c r="C63" s="1">
        <v>2018</v>
      </c>
      <c r="D63" s="1">
        <v>2019</v>
      </c>
      <c r="E63" s="1">
        <v>2020</v>
      </c>
      <c r="F63" s="1">
        <v>2025</v>
      </c>
      <c r="G63" s="1">
        <v>2030</v>
      </c>
      <c r="H63" s="1">
        <v>2035</v>
      </c>
      <c r="I63" s="1">
        <v>2040</v>
      </c>
      <c r="J63" s="1">
        <v>2045</v>
      </c>
      <c r="K63" s="1">
        <v>2050</v>
      </c>
      <c r="L63" s="90"/>
      <c r="M63" s="90"/>
    </row>
    <row r="64" spans="1:13" ht="12.75" customHeight="1">
      <c r="A64" s="117" t="s">
        <v>183</v>
      </c>
      <c r="B64" s="137">
        <f>1</f>
        <v>1</v>
      </c>
      <c r="C64" s="137">
        <f>1</f>
        <v>1</v>
      </c>
      <c r="D64" s="137">
        <f>1</f>
        <v>1</v>
      </c>
      <c r="E64" s="137">
        <f>1</f>
        <v>1</v>
      </c>
      <c r="F64" s="137">
        <f>1</f>
        <v>1</v>
      </c>
      <c r="G64" s="137">
        <v>0.9</v>
      </c>
      <c r="H64" s="137">
        <f>$G$64+($K$64-$G$64)/4</f>
        <v>0.75</v>
      </c>
      <c r="I64" s="137">
        <f>$G$64+($K$64-$G$64)*2/4</f>
        <v>0.6</v>
      </c>
      <c r="J64" s="137">
        <f>$G$64+($K$64-$G$64)*3/4</f>
        <v>0.44999999999999996</v>
      </c>
      <c r="K64" s="137">
        <v>0.3</v>
      </c>
      <c r="L64" s="90"/>
      <c r="M64" s="90"/>
    </row>
    <row r="65" spans="1:13" ht="12.75" customHeight="1">
      <c r="A65" s="117" t="s">
        <v>184</v>
      </c>
      <c r="B65" s="125">
        <f>0%</f>
        <v>0</v>
      </c>
      <c r="C65" s="125">
        <f>0%</f>
        <v>0</v>
      </c>
      <c r="D65" s="125">
        <f>0%</f>
        <v>0</v>
      </c>
      <c r="E65" s="125">
        <f>0%</f>
        <v>0</v>
      </c>
      <c r="F65" s="138">
        <f>E65+(G65-E65)/2</f>
        <v>7.4999999999999997E-2</v>
      </c>
      <c r="G65" s="138">
        <v>0.15</v>
      </c>
      <c r="H65" s="138">
        <f>$G$65+($K$65-$G$65)*5/20</f>
        <v>0.36249999999999999</v>
      </c>
      <c r="I65" s="138">
        <f>$G$65+($K$65-$G$65)*10/20</f>
        <v>0.57499999999999996</v>
      </c>
      <c r="J65" s="138">
        <f>$G$65+($K$65-$G$65)*15/20</f>
        <v>0.78749999999999998</v>
      </c>
      <c r="K65" s="127">
        <v>1</v>
      </c>
      <c r="L65" s="90"/>
      <c r="M65" s="90"/>
    </row>
    <row r="66" spans="1:13" ht="12.75" customHeight="1">
      <c r="A66" s="117" t="s">
        <v>185</v>
      </c>
      <c r="B66" s="126"/>
      <c r="C66" s="126"/>
      <c r="D66" s="126"/>
      <c r="E66" s="125">
        <v>0.99272954898911403</v>
      </c>
      <c r="F66" s="125">
        <v>0.90069945087288505</v>
      </c>
      <c r="G66" s="125">
        <v>0.84416717546272102</v>
      </c>
      <c r="H66" s="125">
        <v>0.80593952326986795</v>
      </c>
      <c r="I66" s="125">
        <v>0.77853415799552395</v>
      </c>
      <c r="J66" s="125">
        <v>0.76285818755827595</v>
      </c>
      <c r="K66" s="125">
        <v>0.76205287713841396</v>
      </c>
      <c r="L66" s="90"/>
      <c r="M66" s="90"/>
    </row>
    <row r="67" spans="1:13" ht="12.75" customHeight="1">
      <c r="A67" s="117" t="s">
        <v>186</v>
      </c>
      <c r="B67" s="126"/>
      <c r="C67" s="126"/>
      <c r="D67" s="126"/>
      <c r="E67" s="125">
        <f>30%</f>
        <v>0.3</v>
      </c>
      <c r="F67" s="125">
        <f>30%</f>
        <v>0.3</v>
      </c>
      <c r="G67" s="125">
        <f>30%</f>
        <v>0.3</v>
      </c>
      <c r="H67" s="125">
        <f>30%</f>
        <v>0.3</v>
      </c>
      <c r="I67" s="125">
        <f>30%</f>
        <v>0.3</v>
      </c>
      <c r="J67" s="125">
        <f>30%</f>
        <v>0.3</v>
      </c>
      <c r="K67" s="125">
        <f>30%</f>
        <v>0.3</v>
      </c>
      <c r="L67" s="90"/>
      <c r="M67" s="90"/>
    </row>
    <row r="68" spans="1:13" ht="12.75" customHeight="1">
      <c r="A68" s="128" t="s">
        <v>187</v>
      </c>
      <c r="B68" s="308">
        <f>B78*I23</f>
        <v>0</v>
      </c>
      <c r="C68" s="308">
        <f>C78*I23</f>
        <v>0</v>
      </c>
      <c r="D68" s="308">
        <f>D78*I23</f>
        <v>949.56623999999999</v>
      </c>
      <c r="E68" s="308">
        <f>E78*I23</f>
        <v>0</v>
      </c>
      <c r="F68" s="129">
        <f t="shared" ref="F68:K68" si="18">$D68*(F58/$D58)*(F59/$D59)*F64*(1-F65)*F66</f>
        <v>820.20422675748</v>
      </c>
      <c r="G68" s="129">
        <f t="shared" si="18"/>
        <v>652.62947331125508</v>
      </c>
      <c r="H68" s="129">
        <f t="shared" si="18"/>
        <v>399.49071710363751</v>
      </c>
      <c r="I68" s="129">
        <f t="shared" si="18"/>
        <v>211.00399595614013</v>
      </c>
      <c r="J68" s="129">
        <f t="shared" si="18"/>
        <v>79.439331059175629</v>
      </c>
      <c r="K68" s="129">
        <f t="shared" si="18"/>
        <v>0</v>
      </c>
      <c r="L68" s="90"/>
      <c r="M68" s="90"/>
    </row>
    <row r="69" spans="1:13" ht="12.75" customHeight="1">
      <c r="A69" s="128" t="s">
        <v>188</v>
      </c>
      <c r="B69" s="129">
        <f>0</f>
        <v>0</v>
      </c>
      <c r="C69" s="129">
        <f>0</f>
        <v>0</v>
      </c>
      <c r="D69" s="129">
        <f>0</f>
        <v>0</v>
      </c>
      <c r="E69" s="129">
        <f>0</f>
        <v>0</v>
      </c>
      <c r="F69" s="129">
        <f t="shared" ref="F69:K69" si="19">$D68*(F58/$D58)*(F59/$D59)*F64*F65*F67</f>
        <v>22.150467178031231</v>
      </c>
      <c r="G69" s="129">
        <f t="shared" si="19"/>
        <v>40.929063721933368</v>
      </c>
      <c r="H69" s="129">
        <f t="shared" si="19"/>
        <v>84.557729804090627</v>
      </c>
      <c r="I69" s="129">
        <f t="shared" si="19"/>
        <v>110.00519049693514</v>
      </c>
      <c r="J69" s="129">
        <f t="shared" si="19"/>
        <v>115.77229683170765</v>
      </c>
      <c r="K69" s="129">
        <f t="shared" si="19"/>
        <v>100.35989983964883</v>
      </c>
      <c r="L69" s="90"/>
      <c r="M69" s="90"/>
    </row>
    <row r="70" spans="1:13" ht="12.75" customHeight="1">
      <c r="A70" s="117" t="s">
        <v>189</v>
      </c>
      <c r="B70" s="124">
        <f>1</f>
        <v>1</v>
      </c>
      <c r="C70" s="124">
        <f>1</f>
        <v>1</v>
      </c>
      <c r="D70" s="124">
        <f>1</f>
        <v>1</v>
      </c>
      <c r="E70" s="124">
        <f>1</f>
        <v>1</v>
      </c>
      <c r="F70" s="124">
        <f>F64</f>
        <v>1</v>
      </c>
      <c r="G70" s="124">
        <f t="shared" ref="G70:K70" si="20">G64</f>
        <v>0.9</v>
      </c>
      <c r="H70" s="124">
        <f t="shared" si="20"/>
        <v>0.75</v>
      </c>
      <c r="I70" s="124">
        <f t="shared" si="20"/>
        <v>0.6</v>
      </c>
      <c r="J70" s="124">
        <f t="shared" si="20"/>
        <v>0.44999999999999996</v>
      </c>
      <c r="K70" s="124">
        <f t="shared" si="20"/>
        <v>0.3</v>
      </c>
      <c r="L70" s="90"/>
      <c r="M70" s="90"/>
    </row>
    <row r="71" spans="1:13" ht="12.75" customHeight="1">
      <c r="A71" s="117" t="s">
        <v>190</v>
      </c>
      <c r="B71" s="125">
        <f>0%</f>
        <v>0</v>
      </c>
      <c r="C71" s="125">
        <f>0%</f>
        <v>0</v>
      </c>
      <c r="D71" s="125">
        <f>0%</f>
        <v>0</v>
      </c>
      <c r="E71" s="125">
        <f>0%</f>
        <v>0</v>
      </c>
      <c r="F71" s="125">
        <v>1.2545967434604101E-2</v>
      </c>
      <c r="G71" s="125">
        <v>6.6102372112330499E-2</v>
      </c>
      <c r="H71" s="125">
        <v>0.16702069027261701</v>
      </c>
      <c r="I71" s="125">
        <v>0.3135</v>
      </c>
      <c r="J71" s="125">
        <v>0.46139999999999998</v>
      </c>
      <c r="K71" s="125">
        <v>0.57099999999999995</v>
      </c>
      <c r="L71" s="90"/>
      <c r="M71" s="90"/>
    </row>
    <row r="72" spans="1:13" ht="12.75" customHeight="1">
      <c r="A72" s="117" t="s">
        <v>191</v>
      </c>
      <c r="B72" s="126"/>
      <c r="C72" s="126"/>
      <c r="D72" s="126"/>
      <c r="E72" s="125">
        <v>0.99</v>
      </c>
      <c r="F72" s="125">
        <v>0.95225839320681305</v>
      </c>
      <c r="G72" s="125">
        <v>0.83268290493446995</v>
      </c>
      <c r="H72" s="125">
        <v>0.76277577185370304</v>
      </c>
      <c r="I72" s="125">
        <v>0.70272483596984203</v>
      </c>
      <c r="J72" s="125">
        <v>0.666709342233341</v>
      </c>
      <c r="K72" s="125">
        <v>0.634677810719394</v>
      </c>
      <c r="L72" s="90"/>
      <c r="M72" s="90"/>
    </row>
    <row r="73" spans="1:13" ht="12.75" customHeight="1">
      <c r="A73" s="117" t="s">
        <v>192</v>
      </c>
      <c r="B73" s="126"/>
      <c r="C73" s="126"/>
      <c r="D73" s="126"/>
      <c r="E73" s="127">
        <v>0.4</v>
      </c>
      <c r="F73" s="127">
        <f t="shared" ref="F73:K73" si="21">E73</f>
        <v>0.4</v>
      </c>
      <c r="G73" s="127">
        <f t="shared" si="21"/>
        <v>0.4</v>
      </c>
      <c r="H73" s="127">
        <f t="shared" si="21"/>
        <v>0.4</v>
      </c>
      <c r="I73" s="127">
        <f t="shared" si="21"/>
        <v>0.4</v>
      </c>
      <c r="J73" s="127">
        <f t="shared" si="21"/>
        <v>0.4</v>
      </c>
      <c r="K73" s="127">
        <f t="shared" si="21"/>
        <v>0.4</v>
      </c>
      <c r="L73" s="90"/>
      <c r="M73" s="90"/>
    </row>
    <row r="74" spans="1:13" ht="12.75" customHeight="1">
      <c r="A74" s="128" t="s">
        <v>193</v>
      </c>
      <c r="B74" s="308">
        <f>B78*I24</f>
        <v>0</v>
      </c>
      <c r="C74" s="308">
        <f>C78*I24</f>
        <v>0</v>
      </c>
      <c r="D74" s="308">
        <f>D78*I24</f>
        <v>557.68176000000005</v>
      </c>
      <c r="E74" s="308">
        <f>E78*I24</f>
        <v>0</v>
      </c>
      <c r="F74" s="129">
        <f t="shared" ref="F74:K74" si="22">$D74*(F61/$D61)*F70*(1-F71)*F72</f>
        <v>543.6673395768471</v>
      </c>
      <c r="G74" s="129">
        <f t="shared" si="22"/>
        <v>415.39320853591971</v>
      </c>
      <c r="H74" s="129">
        <f t="shared" si="22"/>
        <v>290.14582633898573</v>
      </c>
      <c r="I74" s="129">
        <f t="shared" si="22"/>
        <v>180.68042232929281</v>
      </c>
      <c r="J74" s="129">
        <f t="shared" si="22"/>
        <v>103.3467673610473</v>
      </c>
      <c r="K74" s="129">
        <f t="shared" si="22"/>
        <v>53.494698763789778</v>
      </c>
      <c r="L74" s="90"/>
      <c r="M74" s="90"/>
    </row>
    <row r="75" spans="1:13" ht="12.75" customHeight="1">
      <c r="A75" s="128" t="s">
        <v>194</v>
      </c>
      <c r="B75" s="129">
        <f>0</f>
        <v>0</v>
      </c>
      <c r="C75" s="129">
        <f>0</f>
        <v>0</v>
      </c>
      <c r="D75" s="129">
        <f>0</f>
        <v>0</v>
      </c>
      <c r="E75" s="129">
        <f>0</f>
        <v>0</v>
      </c>
      <c r="F75" s="129">
        <f t="shared" ref="F75:K75" si="23">$D74*(F61/$D61)*F70*F71*F73</f>
        <v>2.9015208396312757</v>
      </c>
      <c r="G75" s="129">
        <f t="shared" si="23"/>
        <v>14.123993426905324</v>
      </c>
      <c r="H75" s="129">
        <f t="shared" si="23"/>
        <v>30.508123031055209</v>
      </c>
      <c r="I75" s="129">
        <f t="shared" si="23"/>
        <v>46.965915147704614</v>
      </c>
      <c r="J75" s="129">
        <f t="shared" si="23"/>
        <v>53.116761489585542</v>
      </c>
      <c r="K75" s="129">
        <f t="shared" si="23"/>
        <v>44.874150347349449</v>
      </c>
      <c r="L75" s="90"/>
      <c r="M75" s="90"/>
    </row>
    <row r="76" spans="1:13" ht="12.75" customHeight="1">
      <c r="A76" s="132" t="s">
        <v>195</v>
      </c>
      <c r="B76" s="126">
        <f t="shared" ref="B76:K76" si="24">B68+B74</f>
        <v>0</v>
      </c>
      <c r="C76" s="126">
        <f t="shared" si="24"/>
        <v>0</v>
      </c>
      <c r="D76" s="126">
        <f t="shared" si="24"/>
        <v>1507.248</v>
      </c>
      <c r="E76" s="126">
        <f t="shared" si="24"/>
        <v>0</v>
      </c>
      <c r="F76" s="133">
        <f t="shared" si="24"/>
        <v>1363.8715663343271</v>
      </c>
      <c r="G76" s="133">
        <f t="shared" si="24"/>
        <v>1068.0226818471747</v>
      </c>
      <c r="H76" s="133">
        <f t="shared" si="24"/>
        <v>689.63654344262318</v>
      </c>
      <c r="I76" s="133">
        <f t="shared" si="24"/>
        <v>391.68441828543291</v>
      </c>
      <c r="J76" s="133">
        <f t="shared" si="24"/>
        <v>182.78609842022291</v>
      </c>
      <c r="K76" s="133">
        <f t="shared" si="24"/>
        <v>53.494698763789778</v>
      </c>
      <c r="L76" s="90"/>
      <c r="M76" s="90"/>
    </row>
    <row r="77" spans="1:13" ht="12.75" customHeight="1">
      <c r="A77" s="132" t="s">
        <v>196</v>
      </c>
      <c r="B77" s="126">
        <f t="shared" ref="B77:K77" si="25">B69+B75</f>
        <v>0</v>
      </c>
      <c r="C77" s="126">
        <f t="shared" si="25"/>
        <v>0</v>
      </c>
      <c r="D77" s="126">
        <f t="shared" si="25"/>
        <v>0</v>
      </c>
      <c r="E77" s="126">
        <f t="shared" si="25"/>
        <v>0</v>
      </c>
      <c r="F77" s="133">
        <f t="shared" si="25"/>
        <v>25.051988017662506</v>
      </c>
      <c r="G77" s="133">
        <f t="shared" si="25"/>
        <v>55.05305714883869</v>
      </c>
      <c r="H77" s="133">
        <f t="shared" si="25"/>
        <v>115.06585283514583</v>
      </c>
      <c r="I77" s="133">
        <f t="shared" si="25"/>
        <v>156.97110564463975</v>
      </c>
      <c r="J77" s="133">
        <f t="shared" si="25"/>
        <v>168.88905832129319</v>
      </c>
      <c r="K77" s="133">
        <f t="shared" si="25"/>
        <v>145.23405018699827</v>
      </c>
      <c r="L77" s="90"/>
      <c r="M77" s="90"/>
    </row>
    <row r="78" spans="1:13" ht="12.75" customHeight="1">
      <c r="A78" s="132" t="s">
        <v>197</v>
      </c>
      <c r="B78" s="309">
        <f>B51</f>
        <v>0</v>
      </c>
      <c r="C78" s="309">
        <f>C51</f>
        <v>0</v>
      </c>
      <c r="D78" s="309">
        <f>D51</f>
        <v>1507.248</v>
      </c>
      <c r="E78" s="309">
        <f>E51</f>
        <v>0</v>
      </c>
      <c r="F78" s="133">
        <f t="shared" ref="F78:K78" si="26">F76+F77</f>
        <v>1388.9235543519897</v>
      </c>
      <c r="G78" s="133">
        <f t="shared" si="26"/>
        <v>1123.0757389960133</v>
      </c>
      <c r="H78" s="133">
        <f t="shared" si="26"/>
        <v>804.70239627776903</v>
      </c>
      <c r="I78" s="133">
        <f t="shared" si="26"/>
        <v>548.6555239300726</v>
      </c>
      <c r="J78" s="133">
        <f t="shared" si="26"/>
        <v>351.6751567415161</v>
      </c>
      <c r="K78" s="133">
        <f t="shared" si="26"/>
        <v>198.72874895078806</v>
      </c>
      <c r="L78" s="90"/>
      <c r="M78" s="90"/>
    </row>
    <row r="79" spans="1:13" ht="12.75" customHeight="1">
      <c r="A79" s="117" t="s">
        <v>198</v>
      </c>
      <c r="B79" s="134"/>
      <c r="C79" s="134"/>
      <c r="D79" s="134"/>
      <c r="E79" s="134"/>
      <c r="F79" s="135">
        <f t="shared" ref="F79:K79" si="27">F78/$D78-1</f>
        <v>-7.8503634204862394E-2</v>
      </c>
      <c r="G79" s="135">
        <f t="shared" si="27"/>
        <v>-0.25488324483030445</v>
      </c>
      <c r="H79" s="135">
        <f t="shared" si="27"/>
        <v>-0.46611148511872702</v>
      </c>
      <c r="I79" s="135">
        <f t="shared" si="27"/>
        <v>-0.635988554020259</v>
      </c>
      <c r="J79" s="135">
        <f t="shared" si="27"/>
        <v>-0.76667731074015943</v>
      </c>
      <c r="K79" s="135">
        <f t="shared" si="27"/>
        <v>-0.8681512604755236</v>
      </c>
      <c r="L79" s="90"/>
      <c r="M79" s="90"/>
    </row>
    <row r="80" spans="1:13" ht="12.75" customHeight="1">
      <c r="A80" s="538" t="s">
        <v>617</v>
      </c>
      <c r="B80" s="538"/>
      <c r="C80" s="538"/>
      <c r="D80" s="538"/>
      <c r="E80" s="538"/>
      <c r="F80" s="538"/>
      <c r="G80" s="538"/>
      <c r="H80" s="538"/>
      <c r="I80" s="538"/>
      <c r="J80" s="538"/>
      <c r="K80" s="538"/>
      <c r="L80" s="90"/>
      <c r="M80" s="90"/>
    </row>
    <row r="81" spans="1:14" ht="12.75" customHeight="1">
      <c r="A81" s="90"/>
      <c r="B81" s="90"/>
      <c r="C81" s="90"/>
      <c r="D81" s="91"/>
      <c r="E81" s="90"/>
      <c r="F81" s="90"/>
      <c r="G81" s="90"/>
      <c r="H81" s="90"/>
      <c r="I81" s="90"/>
      <c r="J81" s="90"/>
      <c r="K81" s="90"/>
      <c r="L81" s="90"/>
      <c r="M81" s="90"/>
    </row>
    <row r="85" spans="1:14" ht="21">
      <c r="A85" s="431" t="s">
        <v>542</v>
      </c>
      <c r="B85" s="355"/>
      <c r="C85" s="355"/>
      <c r="D85" s="355"/>
      <c r="E85" s="355"/>
      <c r="F85" s="355"/>
      <c r="G85" s="355"/>
      <c r="H85" s="355"/>
      <c r="I85" s="355"/>
      <c r="J85" s="355"/>
      <c r="K85" s="355"/>
      <c r="L85" s="355"/>
      <c r="M85" s="355"/>
      <c r="N85" s="355"/>
    </row>
    <row r="86" spans="1:14">
      <c r="A86" s="355"/>
      <c r="B86" s="355"/>
      <c r="C86" s="355"/>
      <c r="D86" s="355"/>
      <c r="E86" s="355"/>
      <c r="F86" s="355"/>
      <c r="G86" s="355"/>
      <c r="H86" s="355"/>
      <c r="I86" s="355"/>
      <c r="J86" s="355"/>
      <c r="K86" s="355"/>
      <c r="L86" s="355"/>
      <c r="M86" s="355"/>
      <c r="N86" s="355"/>
    </row>
    <row r="87" spans="1:14">
      <c r="A87" s="531" t="s">
        <v>545</v>
      </c>
      <c r="B87" s="531"/>
      <c r="C87" s="531"/>
      <c r="D87" s="531"/>
      <c r="E87" s="531"/>
      <c r="F87" s="531"/>
      <c r="G87" s="531"/>
      <c r="H87" s="531"/>
      <c r="I87" s="531"/>
      <c r="J87" s="531"/>
      <c r="K87" s="531"/>
      <c r="L87" s="355"/>
      <c r="M87" s="355"/>
      <c r="N87" s="355"/>
    </row>
    <row r="88" spans="1:14">
      <c r="A88" s="355"/>
      <c r="B88" s="355"/>
      <c r="C88" s="355"/>
      <c r="D88" s="355"/>
      <c r="E88" s="355"/>
      <c r="F88" s="355"/>
      <c r="G88" s="355"/>
      <c r="H88" s="355"/>
      <c r="I88" s="355"/>
      <c r="J88" s="355"/>
      <c r="K88" s="355"/>
      <c r="L88" s="355"/>
      <c r="M88" s="355"/>
      <c r="N88" s="355"/>
    </row>
    <row r="89" spans="1:14">
      <c r="A89" s="355"/>
      <c r="B89" s="355"/>
      <c r="C89" s="355"/>
      <c r="D89" s="355"/>
      <c r="E89" s="355"/>
      <c r="F89" s="355"/>
      <c r="G89" s="355"/>
      <c r="H89" s="355"/>
      <c r="I89" s="355"/>
      <c r="J89" s="355"/>
      <c r="K89" s="355"/>
      <c r="L89" s="355"/>
      <c r="M89" s="355"/>
      <c r="N89" s="355"/>
    </row>
    <row r="90" spans="1:14">
      <c r="A90" s="355"/>
      <c r="B90" s="432">
        <v>2019</v>
      </c>
      <c r="C90" s="212">
        <v>2020</v>
      </c>
      <c r="D90" s="212">
        <v>2025</v>
      </c>
      <c r="E90" s="212">
        <v>2030</v>
      </c>
      <c r="F90" s="212">
        <v>2035</v>
      </c>
      <c r="G90" s="212">
        <v>2040</v>
      </c>
      <c r="H90" s="212">
        <v>2045</v>
      </c>
      <c r="I90" s="212">
        <v>2050</v>
      </c>
      <c r="J90" s="237"/>
      <c r="K90" s="355"/>
      <c r="L90" s="355"/>
      <c r="M90" s="355"/>
      <c r="N90" s="355"/>
    </row>
    <row r="91" spans="1:14">
      <c r="A91" s="237" t="s">
        <v>546</v>
      </c>
      <c r="B91" s="433">
        <f>C3</f>
        <v>707.92600000000004</v>
      </c>
      <c r="C91" s="434">
        <f t="shared" ref="C91:I91" si="28">C105+C125</f>
        <v>708.72897798085921</v>
      </c>
      <c r="D91" s="434">
        <f t="shared" si="28"/>
        <v>663.46762007447649</v>
      </c>
      <c r="E91" s="434">
        <f t="shared" si="28"/>
        <v>634.84329567208749</v>
      </c>
      <c r="F91" s="434">
        <f t="shared" si="28"/>
        <v>635.33460411516626</v>
      </c>
      <c r="G91" s="434">
        <f t="shared" si="28"/>
        <v>631.7743800232447</v>
      </c>
      <c r="H91" s="434">
        <f t="shared" si="28"/>
        <v>623.49503181066734</v>
      </c>
      <c r="I91" s="434">
        <f t="shared" si="28"/>
        <v>609.74299806253146</v>
      </c>
      <c r="J91" s="237"/>
      <c r="K91" s="355"/>
      <c r="L91" s="355"/>
      <c r="M91" s="355"/>
      <c r="N91" s="355"/>
    </row>
    <row r="92" spans="1:14">
      <c r="A92" s="237" t="s">
        <v>547</v>
      </c>
      <c r="B92" s="339">
        <f>20.2*11.63/B91</f>
        <v>0.33185106917954704</v>
      </c>
      <c r="C92" s="339">
        <f>B92</f>
        <v>0.33185106917954704</v>
      </c>
      <c r="D92" s="339">
        <f t="shared" ref="D92:I93" si="29">C92</f>
        <v>0.33185106917954704</v>
      </c>
      <c r="E92" s="339">
        <f t="shared" si="29"/>
        <v>0.33185106917954704</v>
      </c>
      <c r="F92" s="339">
        <f t="shared" si="29"/>
        <v>0.33185106917954704</v>
      </c>
      <c r="G92" s="339">
        <f t="shared" si="29"/>
        <v>0.33185106917954704</v>
      </c>
      <c r="H92" s="339">
        <f t="shared" si="29"/>
        <v>0.33185106917954704</v>
      </c>
      <c r="I92" s="339">
        <f t="shared" si="29"/>
        <v>0.33185106917954704</v>
      </c>
      <c r="J92" s="237" t="s">
        <v>548</v>
      </c>
      <c r="K92" s="355"/>
      <c r="L92" s="355"/>
      <c r="M92" s="355"/>
      <c r="N92" s="355"/>
    </row>
    <row r="93" spans="1:14">
      <c r="A93" s="237" t="s">
        <v>549</v>
      </c>
      <c r="B93" s="339">
        <f>1-B92</f>
        <v>0.6681489308204529</v>
      </c>
      <c r="C93" s="339">
        <f>B93</f>
        <v>0.6681489308204529</v>
      </c>
      <c r="D93" s="339">
        <f t="shared" si="29"/>
        <v>0.6681489308204529</v>
      </c>
      <c r="E93" s="339">
        <f t="shared" si="29"/>
        <v>0.6681489308204529</v>
      </c>
      <c r="F93" s="339">
        <f t="shared" si="29"/>
        <v>0.6681489308204529</v>
      </c>
      <c r="G93" s="339">
        <f t="shared" si="29"/>
        <v>0.6681489308204529</v>
      </c>
      <c r="H93" s="339">
        <f t="shared" si="29"/>
        <v>0.6681489308204529</v>
      </c>
      <c r="I93" s="339">
        <f t="shared" si="29"/>
        <v>0.6681489308204529</v>
      </c>
      <c r="J93" s="237" t="s">
        <v>548</v>
      </c>
      <c r="K93" s="355"/>
      <c r="L93" s="355"/>
      <c r="M93" s="355"/>
      <c r="N93" s="355"/>
    </row>
    <row r="94" spans="1:14">
      <c r="A94" s="355"/>
      <c r="B94" s="355"/>
      <c r="C94" s="355"/>
      <c r="D94" s="355"/>
      <c r="E94" s="355"/>
      <c r="F94" s="355"/>
      <c r="G94" s="355"/>
      <c r="H94" s="355"/>
      <c r="I94" s="355"/>
      <c r="J94" s="355"/>
      <c r="K94" s="355"/>
      <c r="L94" s="355"/>
      <c r="M94" s="355"/>
      <c r="N94" s="355"/>
    </row>
    <row r="95" spans="1:14">
      <c r="A95" s="435" t="s">
        <v>550</v>
      </c>
      <c r="B95" s="355"/>
      <c r="C95" s="355"/>
      <c r="D95" s="355"/>
      <c r="E95" s="355"/>
      <c r="F95" s="355"/>
      <c r="G95" s="355"/>
      <c r="H95" s="355"/>
      <c r="I95" s="355"/>
      <c r="J95" s="355"/>
      <c r="K95" s="355"/>
      <c r="L95" s="355"/>
      <c r="M95" s="355"/>
      <c r="N95" s="355"/>
    </row>
    <row r="96" spans="1:14">
      <c r="A96" s="355"/>
      <c r="B96" s="355"/>
      <c r="C96" s="355"/>
      <c r="D96" s="355"/>
      <c r="E96" s="355"/>
      <c r="F96" s="355"/>
      <c r="G96" s="355"/>
      <c r="H96" s="355"/>
      <c r="I96" s="355"/>
      <c r="J96" s="355"/>
      <c r="K96" s="355"/>
      <c r="L96" s="355"/>
      <c r="M96" s="355"/>
      <c r="N96" s="355"/>
    </row>
    <row r="97" spans="1:14">
      <c r="A97" s="436"/>
      <c r="B97" s="437">
        <v>2015</v>
      </c>
      <c r="C97" s="437">
        <v>2016</v>
      </c>
      <c r="D97" s="437">
        <v>2017</v>
      </c>
      <c r="E97" s="438">
        <v>2018</v>
      </c>
      <c r="F97" s="438">
        <v>2019</v>
      </c>
      <c r="G97" s="438">
        <v>2020</v>
      </c>
      <c r="H97" s="438">
        <v>2025</v>
      </c>
      <c r="I97" s="438">
        <v>2030</v>
      </c>
      <c r="J97" s="438">
        <v>2035</v>
      </c>
      <c r="K97" s="438">
        <v>2040</v>
      </c>
      <c r="L97" s="438">
        <v>2045</v>
      </c>
      <c r="M97" s="438">
        <v>2050</v>
      </c>
      <c r="N97" s="355"/>
    </row>
    <row r="98" spans="1:14">
      <c r="A98" s="439" t="s">
        <v>551</v>
      </c>
      <c r="B98" s="440"/>
      <c r="C98" s="440"/>
      <c r="D98" s="440"/>
      <c r="E98" s="441">
        <v>6.7</v>
      </c>
      <c r="F98" s="441">
        <v>7.4</v>
      </c>
      <c r="G98" s="441">
        <v>6.5</v>
      </c>
      <c r="H98" s="441">
        <v>7.1360239528224252</v>
      </c>
      <c r="I98" s="441">
        <v>6.8720479056448491</v>
      </c>
      <c r="J98" s="441">
        <v>7.0000002209023497</v>
      </c>
      <c r="K98" s="441">
        <v>7.1279525361598495</v>
      </c>
      <c r="L98" s="441">
        <v>7.2559048514173492</v>
      </c>
      <c r="M98" s="441">
        <v>7.3838571666748498</v>
      </c>
      <c r="N98" s="355"/>
    </row>
    <row r="99" spans="1:14">
      <c r="A99" s="439" t="s">
        <v>552</v>
      </c>
      <c r="B99" s="442">
        <f>1</f>
        <v>1</v>
      </c>
      <c r="C99" s="442">
        <f>1</f>
        <v>1</v>
      </c>
      <c r="D99" s="442">
        <f>1</f>
        <v>1</v>
      </c>
      <c r="E99" s="442">
        <f>1</f>
        <v>1</v>
      </c>
      <c r="F99" s="442">
        <f>1</f>
        <v>1</v>
      </c>
      <c r="G99" s="442">
        <v>1</v>
      </c>
      <c r="H99" s="442">
        <v>0.95</v>
      </c>
      <c r="I99" s="442">
        <v>0.95</v>
      </c>
      <c r="J99" s="442">
        <f>I99</f>
        <v>0.95</v>
      </c>
      <c r="K99" s="442">
        <f>J99</f>
        <v>0.95</v>
      </c>
      <c r="L99" s="442">
        <f>K99</f>
        <v>0.95</v>
      </c>
      <c r="M99" s="442">
        <f>L99</f>
        <v>0.95</v>
      </c>
      <c r="N99" s="355"/>
    </row>
    <row r="100" spans="1:14">
      <c r="A100" s="443" t="s">
        <v>553</v>
      </c>
      <c r="B100" s="444">
        <v>1</v>
      </c>
      <c r="C100" s="445">
        <f t="shared" ref="C100:F101" si="30">B100</f>
        <v>1</v>
      </c>
      <c r="D100" s="445">
        <f t="shared" si="30"/>
        <v>1</v>
      </c>
      <c r="E100" s="445">
        <f t="shared" si="30"/>
        <v>1</v>
      </c>
      <c r="F100" s="445">
        <f t="shared" si="30"/>
        <v>1</v>
      </c>
      <c r="G100" s="444">
        <v>1</v>
      </c>
      <c r="H100" s="444">
        <f>0.5*G100+0.5*I100</f>
        <v>0.99</v>
      </c>
      <c r="I100" s="444">
        <v>0.98</v>
      </c>
      <c r="J100" s="444">
        <f>0.75*I100+0.25*M100</f>
        <v>0.97249999999999992</v>
      </c>
      <c r="K100" s="444">
        <f>0.5*I100+0.5*M100</f>
        <v>0.96499999999999997</v>
      </c>
      <c r="L100" s="444">
        <f>0.25*I100+0.75*M100</f>
        <v>0.95749999999999991</v>
      </c>
      <c r="M100" s="444">
        <v>0.95</v>
      </c>
      <c r="N100" s="355"/>
    </row>
    <row r="101" spans="1:14">
      <c r="A101" s="443" t="s">
        <v>554</v>
      </c>
      <c r="B101" s="444">
        <v>0</v>
      </c>
      <c r="C101" s="445">
        <f t="shared" si="30"/>
        <v>0</v>
      </c>
      <c r="D101" s="445">
        <f t="shared" si="30"/>
        <v>0</v>
      </c>
      <c r="E101" s="445">
        <f t="shared" si="30"/>
        <v>0</v>
      </c>
      <c r="F101" s="445">
        <f t="shared" si="30"/>
        <v>0</v>
      </c>
      <c r="G101" s="444">
        <v>0</v>
      </c>
      <c r="H101" s="444">
        <f>0.5*G101+0.5*I101</f>
        <v>0.01</v>
      </c>
      <c r="I101" s="444">
        <v>0.02</v>
      </c>
      <c r="J101" s="444">
        <f>0.75*I101+0.25*M101</f>
        <v>2.75E-2</v>
      </c>
      <c r="K101" s="444">
        <f>0.5*I101+0.5*M101</f>
        <v>3.5000000000000003E-2</v>
      </c>
      <c r="L101" s="444">
        <f>0.25*I101+0.75*M101</f>
        <v>4.2500000000000003E-2</v>
      </c>
      <c r="M101" s="444">
        <v>0.05</v>
      </c>
      <c r="N101" s="355"/>
    </row>
    <row r="102" spans="1:14">
      <c r="A102" s="536" t="s">
        <v>555</v>
      </c>
      <c r="B102" s="536"/>
      <c r="C102" s="536"/>
      <c r="D102" s="536"/>
      <c r="E102" s="536"/>
      <c r="F102" s="536"/>
      <c r="G102" s="536"/>
      <c r="H102" s="536"/>
      <c r="I102" s="536"/>
      <c r="J102" s="536"/>
      <c r="K102" s="536"/>
      <c r="L102" s="536"/>
      <c r="M102" s="536"/>
      <c r="N102" s="355"/>
    </row>
    <row r="103" spans="1:14">
      <c r="A103" s="355"/>
      <c r="B103" s="355"/>
      <c r="C103" s="355"/>
      <c r="D103" s="355"/>
      <c r="E103" s="355"/>
      <c r="F103" s="355"/>
      <c r="G103" s="355"/>
      <c r="H103" s="355"/>
      <c r="I103" s="355"/>
      <c r="J103" s="355"/>
      <c r="K103" s="355"/>
      <c r="L103" s="355"/>
      <c r="M103" s="355"/>
      <c r="N103" s="355"/>
    </row>
    <row r="104" spans="1:14">
      <c r="A104" s="436"/>
      <c r="B104" s="437">
        <v>2019</v>
      </c>
      <c r="C104" s="437">
        <v>2020</v>
      </c>
      <c r="D104" s="437">
        <v>2025</v>
      </c>
      <c r="E104" s="438">
        <v>2030</v>
      </c>
      <c r="F104" s="438">
        <v>2035</v>
      </c>
      <c r="G104" s="438">
        <v>2040</v>
      </c>
      <c r="H104" s="438">
        <v>2045</v>
      </c>
      <c r="I104" s="438">
        <v>2050</v>
      </c>
      <c r="J104" s="355"/>
      <c r="K104" s="355"/>
      <c r="L104" s="355"/>
      <c r="M104" s="355"/>
      <c r="N104" s="355"/>
    </row>
    <row r="105" spans="1:14">
      <c r="A105" s="439" t="s">
        <v>556</v>
      </c>
      <c r="B105" s="446">
        <f>B91*B92</f>
        <v>234.92600000000004</v>
      </c>
      <c r="C105" s="446">
        <f t="shared" ref="C105:I105" si="31">$B$105*G99*E31/$D$31</f>
        <v>235.72897798085924</v>
      </c>
      <c r="D105" s="446">
        <f t="shared" si="31"/>
        <v>231.38212007447655</v>
      </c>
      <c r="E105" s="446">
        <f t="shared" si="31"/>
        <v>237.52329567208753</v>
      </c>
      <c r="F105" s="446">
        <f t="shared" si="31"/>
        <v>243.66447126969851</v>
      </c>
      <c r="G105" s="446">
        <f t="shared" si="31"/>
        <v>249.80564686730955</v>
      </c>
      <c r="H105" s="446">
        <f t="shared" si="31"/>
        <v>255.94682246492053</v>
      </c>
      <c r="I105" s="446">
        <f t="shared" si="31"/>
        <v>262.08799806253148</v>
      </c>
      <c r="J105" s="355" t="s">
        <v>557</v>
      </c>
      <c r="K105" s="355"/>
      <c r="L105" s="355"/>
      <c r="M105" s="355"/>
      <c r="N105" s="355"/>
    </row>
    <row r="106" spans="1:14">
      <c r="A106" s="439" t="s">
        <v>558</v>
      </c>
      <c r="B106" s="442">
        <f>B105</f>
        <v>234.92600000000004</v>
      </c>
      <c r="C106" s="442">
        <f t="shared" ref="C106:H106" si="32">C105*G100</f>
        <v>235.72897798085924</v>
      </c>
      <c r="D106" s="442">
        <f t="shared" si="32"/>
        <v>229.06829887373178</v>
      </c>
      <c r="E106" s="442">
        <f t="shared" si="32"/>
        <v>232.77282975864577</v>
      </c>
      <c r="F106" s="442">
        <f t="shared" si="32"/>
        <v>236.96369830978179</v>
      </c>
      <c r="G106" s="442">
        <f t="shared" si="32"/>
        <v>241.0624492269537</v>
      </c>
      <c r="H106" s="442">
        <f t="shared" si="32"/>
        <v>245.06908251016139</v>
      </c>
      <c r="I106" s="442">
        <f>I105*M100</f>
        <v>248.98359815940489</v>
      </c>
      <c r="J106" s="355"/>
      <c r="K106" s="355"/>
      <c r="L106" s="355"/>
      <c r="M106" s="355"/>
      <c r="N106" s="355"/>
    </row>
    <row r="107" spans="1:14">
      <c r="A107" s="443" t="s">
        <v>559</v>
      </c>
      <c r="B107" s="446">
        <v>0</v>
      </c>
      <c r="C107" s="446">
        <f t="shared" ref="C107:H107" si="33">C105*G101</f>
        <v>0</v>
      </c>
      <c r="D107" s="446">
        <f t="shared" si="33"/>
        <v>2.3138212007447656</v>
      </c>
      <c r="E107" s="446">
        <f t="shared" si="33"/>
        <v>4.7504659134417508</v>
      </c>
      <c r="F107" s="446">
        <f t="shared" si="33"/>
        <v>6.7007729599167094</v>
      </c>
      <c r="G107" s="446">
        <f t="shared" si="33"/>
        <v>8.7431976403558345</v>
      </c>
      <c r="H107" s="446">
        <f t="shared" si="33"/>
        <v>10.877739954759123</v>
      </c>
      <c r="I107" s="446">
        <f>I105*M101</f>
        <v>13.104399903126575</v>
      </c>
      <c r="J107" s="355"/>
      <c r="K107" s="355"/>
      <c r="L107" s="355"/>
      <c r="M107" s="355"/>
      <c r="N107" s="355"/>
    </row>
    <row r="108" spans="1:14">
      <c r="A108" s="532" t="s">
        <v>560</v>
      </c>
      <c r="B108" s="532"/>
      <c r="C108" s="532"/>
      <c r="D108" s="532"/>
      <c r="E108" s="532"/>
      <c r="F108" s="532"/>
      <c r="G108" s="532"/>
      <c r="H108" s="532"/>
      <c r="I108" s="532"/>
      <c r="J108" s="355"/>
      <c r="K108" s="355"/>
      <c r="L108" s="355"/>
      <c r="M108" s="355"/>
      <c r="N108" s="355"/>
    </row>
    <row r="109" spans="1:14">
      <c r="A109" s="301"/>
      <c r="B109" s="301"/>
      <c r="C109" s="301"/>
      <c r="D109" s="301"/>
      <c r="E109" s="301"/>
      <c r="F109" s="301"/>
      <c r="G109" s="301"/>
      <c r="H109" s="301"/>
      <c r="I109" s="301"/>
      <c r="J109" s="355"/>
      <c r="K109" s="355"/>
      <c r="L109" s="355"/>
      <c r="M109" s="355"/>
      <c r="N109" s="355"/>
    </row>
    <row r="110" spans="1:14">
      <c r="A110" s="435" t="s">
        <v>561</v>
      </c>
      <c r="B110" s="355"/>
      <c r="C110" s="355"/>
      <c r="D110" s="355"/>
      <c r="E110" s="355"/>
      <c r="F110" s="355"/>
      <c r="G110" s="355"/>
      <c r="H110" s="355"/>
      <c r="I110" s="355"/>
      <c r="J110" s="355"/>
      <c r="K110" s="355"/>
      <c r="L110" s="355"/>
      <c r="M110" s="355"/>
      <c r="N110" s="355"/>
    </row>
    <row r="111" spans="1:14">
      <c r="A111" s="355"/>
      <c r="B111" s="355"/>
      <c r="C111" s="355"/>
      <c r="D111" s="355"/>
      <c r="E111" s="355"/>
      <c r="F111" s="355"/>
      <c r="G111" s="355"/>
      <c r="H111" s="355"/>
      <c r="I111" s="355"/>
      <c r="J111" s="355"/>
      <c r="K111" s="355"/>
      <c r="L111" s="355"/>
      <c r="M111" s="355"/>
      <c r="N111" s="355"/>
    </row>
    <row r="112" spans="1:14">
      <c r="A112" s="436"/>
      <c r="B112" s="437">
        <v>2015</v>
      </c>
      <c r="C112" s="437">
        <v>2016</v>
      </c>
      <c r="D112" s="437">
        <v>2017</v>
      </c>
      <c r="E112" s="438">
        <v>2018</v>
      </c>
      <c r="F112" s="438">
        <v>2019</v>
      </c>
      <c r="G112" s="438">
        <v>2020</v>
      </c>
      <c r="H112" s="438">
        <v>2025</v>
      </c>
      <c r="I112" s="438">
        <v>2030</v>
      </c>
      <c r="J112" s="438">
        <v>2035</v>
      </c>
      <c r="K112" s="438">
        <v>2040</v>
      </c>
      <c r="L112" s="438">
        <v>2045</v>
      </c>
      <c r="M112" s="438">
        <v>2050</v>
      </c>
      <c r="N112" s="355"/>
    </row>
    <row r="113" spans="1:14">
      <c r="A113" s="439" t="s">
        <v>562</v>
      </c>
      <c r="B113" s="447">
        <v>1</v>
      </c>
      <c r="C113" s="447">
        <v>1</v>
      </c>
      <c r="D113" s="447">
        <v>1</v>
      </c>
      <c r="E113" s="441">
        <v>1</v>
      </c>
      <c r="F113" s="441">
        <v>1</v>
      </c>
      <c r="G113" s="441">
        <v>1</v>
      </c>
      <c r="H113" s="441">
        <v>1.0149999999999999</v>
      </c>
      <c r="I113" s="441">
        <v>1.05</v>
      </c>
      <c r="J113" s="441">
        <v>1.1421451712341411</v>
      </c>
      <c r="K113" s="441">
        <v>1.2423767544509194</v>
      </c>
      <c r="L113" s="441">
        <v>1.3514043913806302</v>
      </c>
      <c r="M113" s="441">
        <v>1.47</v>
      </c>
      <c r="N113" s="355"/>
    </row>
    <row r="114" spans="1:14">
      <c r="A114" s="439" t="s">
        <v>563</v>
      </c>
      <c r="B114" s="442">
        <v>1</v>
      </c>
      <c r="C114" s="442">
        <v>1</v>
      </c>
      <c r="D114" s="442">
        <v>1</v>
      </c>
      <c r="E114" s="442">
        <v>1</v>
      </c>
      <c r="F114" s="442">
        <v>1</v>
      </c>
      <c r="G114" s="442">
        <v>1</v>
      </c>
      <c r="H114" s="442">
        <v>0.9</v>
      </c>
      <c r="I114" s="442">
        <v>0.8</v>
      </c>
      <c r="J114" s="442">
        <v>0.72499999999999998</v>
      </c>
      <c r="K114" s="442">
        <v>0.65</v>
      </c>
      <c r="L114" s="442">
        <v>0.57499999999999996</v>
      </c>
      <c r="M114" s="442">
        <v>0.5</v>
      </c>
      <c r="N114" s="355"/>
    </row>
    <row r="115" spans="1:14">
      <c r="A115" s="448" t="s">
        <v>564</v>
      </c>
      <c r="B115" s="449">
        <v>0</v>
      </c>
      <c r="C115" s="449">
        <f>B115</f>
        <v>0</v>
      </c>
      <c r="D115" s="449">
        <f>C115</f>
        <v>0</v>
      </c>
      <c r="E115" s="449">
        <f>D115</f>
        <v>0</v>
      </c>
      <c r="F115" s="449">
        <f>E115</f>
        <v>0</v>
      </c>
      <c r="G115" s="449">
        <v>0.02</v>
      </c>
      <c r="H115" s="449">
        <v>0.03</v>
      </c>
      <c r="I115" s="449">
        <v>0.04</v>
      </c>
      <c r="J115" s="449">
        <v>0.05</v>
      </c>
      <c r="K115" s="449">
        <v>0.06</v>
      </c>
      <c r="L115" s="449">
        <v>7.0000000000000007E-2</v>
      </c>
      <c r="M115" s="449">
        <v>0.08</v>
      </c>
      <c r="N115" s="355"/>
    </row>
    <row r="116" spans="1:14">
      <c r="A116" s="450" t="s">
        <v>565</v>
      </c>
      <c r="B116" s="451">
        <v>0</v>
      </c>
      <c r="C116" s="452">
        <f t="shared" ref="C116:G118" si="34">B116</f>
        <v>0</v>
      </c>
      <c r="D116" s="452">
        <f t="shared" si="34"/>
        <v>0</v>
      </c>
      <c r="E116" s="452">
        <f t="shared" si="34"/>
        <v>0</v>
      </c>
      <c r="F116" s="452">
        <f t="shared" si="34"/>
        <v>0</v>
      </c>
      <c r="G116" s="451">
        <f>0</f>
        <v>0</v>
      </c>
      <c r="H116" s="451">
        <f>0</f>
        <v>0</v>
      </c>
      <c r="I116" s="451">
        <f>0</f>
        <v>0</v>
      </c>
      <c r="J116" s="451">
        <f>0</f>
        <v>0</v>
      </c>
      <c r="K116" s="451">
        <f>0</f>
        <v>0</v>
      </c>
      <c r="L116" s="451">
        <f>0</f>
        <v>0</v>
      </c>
      <c r="M116" s="451">
        <f>0</f>
        <v>0</v>
      </c>
      <c r="N116" s="355"/>
    </row>
    <row r="117" spans="1:14">
      <c r="A117" s="450" t="s">
        <v>566</v>
      </c>
      <c r="B117" s="451">
        <f>B115-B116</f>
        <v>0</v>
      </c>
      <c r="C117" s="451">
        <f t="shared" ref="C117:M117" si="35">C115-C116</f>
        <v>0</v>
      </c>
      <c r="D117" s="451">
        <f t="shared" si="35"/>
        <v>0</v>
      </c>
      <c r="E117" s="451">
        <f t="shared" si="35"/>
        <v>0</v>
      </c>
      <c r="F117" s="451">
        <f t="shared" si="35"/>
        <v>0</v>
      </c>
      <c r="G117" s="451">
        <f t="shared" si="35"/>
        <v>0.02</v>
      </c>
      <c r="H117" s="451">
        <f t="shared" si="35"/>
        <v>0.03</v>
      </c>
      <c r="I117" s="451">
        <f t="shared" si="35"/>
        <v>0.04</v>
      </c>
      <c r="J117" s="451">
        <f t="shared" si="35"/>
        <v>0.05</v>
      </c>
      <c r="K117" s="451">
        <f t="shared" si="35"/>
        <v>0.06</v>
      </c>
      <c r="L117" s="451">
        <f t="shared" si="35"/>
        <v>7.0000000000000007E-2</v>
      </c>
      <c r="M117" s="451">
        <f t="shared" si="35"/>
        <v>0.08</v>
      </c>
      <c r="N117" s="355"/>
    </row>
    <row r="118" spans="1:14">
      <c r="A118" s="453" t="s">
        <v>567</v>
      </c>
      <c r="B118" s="454">
        <v>1</v>
      </c>
      <c r="C118" s="454">
        <f t="shared" si="34"/>
        <v>1</v>
      </c>
      <c r="D118" s="454">
        <f t="shared" si="34"/>
        <v>1</v>
      </c>
      <c r="E118" s="454">
        <f t="shared" si="34"/>
        <v>1</v>
      </c>
      <c r="F118" s="454">
        <f t="shared" si="34"/>
        <v>1</v>
      </c>
      <c r="G118" s="454">
        <f t="shared" si="34"/>
        <v>1</v>
      </c>
      <c r="H118" s="454">
        <f t="shared" ref="H118:M118" si="36">1-H115</f>
        <v>0.97</v>
      </c>
      <c r="I118" s="454">
        <f t="shared" si="36"/>
        <v>0.96</v>
      </c>
      <c r="J118" s="454">
        <f t="shared" si="36"/>
        <v>0.95</v>
      </c>
      <c r="K118" s="454">
        <f t="shared" si="36"/>
        <v>0.94</v>
      </c>
      <c r="L118" s="454">
        <f t="shared" si="36"/>
        <v>0.92999999999999994</v>
      </c>
      <c r="M118" s="454">
        <f t="shared" si="36"/>
        <v>0.92</v>
      </c>
      <c r="N118" s="355"/>
    </row>
    <row r="119" spans="1:14">
      <c r="A119" s="455" t="s">
        <v>568</v>
      </c>
      <c r="B119" s="456">
        <f>0%</f>
        <v>0</v>
      </c>
      <c r="C119" s="456">
        <f>0%</f>
        <v>0</v>
      </c>
      <c r="D119" s="456">
        <f>0%</f>
        <v>0</v>
      </c>
      <c r="E119" s="456">
        <f>0%</f>
        <v>0</v>
      </c>
      <c r="F119" s="456">
        <f>0%</f>
        <v>0</v>
      </c>
      <c r="G119" s="456">
        <f>0%</f>
        <v>0</v>
      </c>
      <c r="H119" s="456">
        <f>0%</f>
        <v>0</v>
      </c>
      <c r="I119" s="456">
        <f>0%</f>
        <v>0</v>
      </c>
      <c r="J119" s="456">
        <f>0%</f>
        <v>0</v>
      </c>
      <c r="K119" s="456">
        <f>0%</f>
        <v>0</v>
      </c>
      <c r="L119" s="456">
        <f>0%</f>
        <v>0</v>
      </c>
      <c r="M119" s="456">
        <f>0%</f>
        <v>0</v>
      </c>
      <c r="N119" s="355"/>
    </row>
    <row r="120" spans="1:14">
      <c r="A120" s="455" t="s">
        <v>569</v>
      </c>
      <c r="B120" s="456">
        <f>B118-B119</f>
        <v>1</v>
      </c>
      <c r="C120" s="456">
        <f t="shared" ref="C120:M120" si="37">C118-C119</f>
        <v>1</v>
      </c>
      <c r="D120" s="456">
        <f t="shared" si="37"/>
        <v>1</v>
      </c>
      <c r="E120" s="456">
        <f t="shared" si="37"/>
        <v>1</v>
      </c>
      <c r="F120" s="456">
        <f t="shared" si="37"/>
        <v>1</v>
      </c>
      <c r="G120" s="456">
        <f t="shared" si="37"/>
        <v>1</v>
      </c>
      <c r="H120" s="456">
        <f t="shared" si="37"/>
        <v>0.97</v>
      </c>
      <c r="I120" s="456">
        <f t="shared" si="37"/>
        <v>0.96</v>
      </c>
      <c r="J120" s="456">
        <f t="shared" si="37"/>
        <v>0.95</v>
      </c>
      <c r="K120" s="456">
        <f t="shared" si="37"/>
        <v>0.94</v>
      </c>
      <c r="L120" s="456">
        <f t="shared" si="37"/>
        <v>0.92999999999999994</v>
      </c>
      <c r="M120" s="456">
        <f t="shared" si="37"/>
        <v>0.92</v>
      </c>
      <c r="N120" s="355"/>
    </row>
    <row r="121" spans="1:14">
      <c r="A121" s="532" t="s">
        <v>570</v>
      </c>
      <c r="B121" s="532"/>
      <c r="C121" s="532"/>
      <c r="D121" s="532"/>
      <c r="E121" s="532"/>
      <c r="F121" s="532"/>
      <c r="G121" s="532"/>
      <c r="H121" s="532"/>
      <c r="I121" s="532"/>
      <c r="J121" s="532"/>
      <c r="K121" s="532"/>
      <c r="L121" s="532"/>
      <c r="M121" s="532"/>
      <c r="N121" s="355"/>
    </row>
    <row r="122" spans="1:14">
      <c r="A122" s="301"/>
      <c r="B122" s="301"/>
      <c r="C122" s="301"/>
      <c r="D122" s="301"/>
      <c r="E122" s="301"/>
      <c r="F122" s="301"/>
      <c r="G122" s="301"/>
      <c r="H122" s="301"/>
      <c r="I122" s="301"/>
      <c r="J122" s="301"/>
      <c r="K122" s="301"/>
      <c r="L122" s="301"/>
      <c r="M122" s="301"/>
      <c r="N122" s="355"/>
    </row>
    <row r="123" spans="1:14">
      <c r="A123" s="457" t="s">
        <v>571</v>
      </c>
      <c r="B123" s="458"/>
      <c r="C123" s="458"/>
      <c r="D123" s="458"/>
      <c r="E123" s="459"/>
      <c r="F123" s="459"/>
      <c r="G123" s="459"/>
      <c r="H123" s="459"/>
      <c r="I123" s="459"/>
      <c r="J123" s="459"/>
      <c r="K123" s="459"/>
      <c r="L123" s="459"/>
      <c r="M123" s="459"/>
      <c r="N123" s="355"/>
    </row>
    <row r="124" spans="1:14">
      <c r="A124" s="436"/>
      <c r="B124" s="438">
        <v>2019</v>
      </c>
      <c r="C124" s="438">
        <v>2020</v>
      </c>
      <c r="D124" s="438">
        <v>2025</v>
      </c>
      <c r="E124" s="438">
        <v>2030</v>
      </c>
      <c r="F124" s="438">
        <v>2035</v>
      </c>
      <c r="G124" s="438">
        <v>2040</v>
      </c>
      <c r="H124" s="438">
        <v>2045</v>
      </c>
      <c r="I124" s="438">
        <v>2050</v>
      </c>
      <c r="J124" s="355"/>
      <c r="K124" s="355"/>
      <c r="L124" s="355"/>
      <c r="M124" s="355"/>
      <c r="N124" s="355"/>
    </row>
    <row r="125" spans="1:14">
      <c r="A125" s="439" t="s">
        <v>572</v>
      </c>
      <c r="B125" s="460">
        <f>B91*B93</f>
        <v>472.99999999999994</v>
      </c>
      <c r="C125" s="460">
        <f t="shared" ref="C125:I125" si="38">$B$125*G113*G114</f>
        <v>472.99999999999994</v>
      </c>
      <c r="D125" s="460">
        <f t="shared" si="38"/>
        <v>432.08549999999991</v>
      </c>
      <c r="E125" s="460">
        <f t="shared" si="38"/>
        <v>397.32</v>
      </c>
      <c r="F125" s="460">
        <f t="shared" si="38"/>
        <v>391.67013284546778</v>
      </c>
      <c r="G125" s="460">
        <f t="shared" si="38"/>
        <v>381.96873315593513</v>
      </c>
      <c r="H125" s="460">
        <f t="shared" si="38"/>
        <v>367.54820934574678</v>
      </c>
      <c r="I125" s="460">
        <f t="shared" si="38"/>
        <v>347.65499999999997</v>
      </c>
      <c r="J125" s="355"/>
      <c r="K125" s="355"/>
      <c r="L125" s="355"/>
      <c r="M125" s="355"/>
      <c r="N125" s="355"/>
    </row>
    <row r="126" spans="1:14">
      <c r="A126" s="439" t="s">
        <v>573</v>
      </c>
      <c r="B126" s="460">
        <f t="shared" ref="B126:I126" si="39">B125*F116</f>
        <v>0</v>
      </c>
      <c r="C126" s="460">
        <f t="shared" si="39"/>
        <v>0</v>
      </c>
      <c r="D126" s="460">
        <f t="shared" si="39"/>
        <v>0</v>
      </c>
      <c r="E126" s="460">
        <f t="shared" si="39"/>
        <v>0</v>
      </c>
      <c r="F126" s="460">
        <f t="shared" si="39"/>
        <v>0</v>
      </c>
      <c r="G126" s="460">
        <f t="shared" si="39"/>
        <v>0</v>
      </c>
      <c r="H126" s="460">
        <f t="shared" si="39"/>
        <v>0</v>
      </c>
      <c r="I126" s="460">
        <f t="shared" si="39"/>
        <v>0</v>
      </c>
      <c r="J126" s="355"/>
      <c r="K126" s="355"/>
      <c r="L126" s="355"/>
      <c r="M126" s="355"/>
      <c r="N126" s="355"/>
    </row>
    <row r="127" spans="1:14">
      <c r="A127" s="439" t="s">
        <v>574</v>
      </c>
      <c r="B127" s="460">
        <f t="shared" ref="B127:I127" si="40">B125*F117</f>
        <v>0</v>
      </c>
      <c r="C127" s="460">
        <f t="shared" si="40"/>
        <v>9.4599999999999991</v>
      </c>
      <c r="D127" s="460">
        <f t="shared" si="40"/>
        <v>12.962564999999996</v>
      </c>
      <c r="E127" s="460">
        <f t="shared" si="40"/>
        <v>15.892799999999999</v>
      </c>
      <c r="F127" s="460">
        <f t="shared" si="40"/>
        <v>19.583506642273392</v>
      </c>
      <c r="G127" s="460">
        <f t="shared" si="40"/>
        <v>22.918123989356108</v>
      </c>
      <c r="H127" s="460">
        <f t="shared" si="40"/>
        <v>25.728374654202277</v>
      </c>
      <c r="I127" s="460">
        <f t="shared" si="40"/>
        <v>27.812399999999997</v>
      </c>
      <c r="J127" s="355"/>
      <c r="K127" s="355"/>
      <c r="L127" s="355"/>
      <c r="M127" s="355"/>
      <c r="N127" s="355"/>
    </row>
    <row r="128" spans="1:14">
      <c r="A128" s="439" t="s">
        <v>575</v>
      </c>
      <c r="B128" s="442">
        <f t="shared" ref="B128:I128" si="41">B125*F120</f>
        <v>472.99999999999994</v>
      </c>
      <c r="C128" s="442">
        <f t="shared" si="41"/>
        <v>472.99999999999994</v>
      </c>
      <c r="D128" s="442">
        <f t="shared" si="41"/>
        <v>419.12293499999993</v>
      </c>
      <c r="E128" s="442">
        <f t="shared" si="41"/>
        <v>381.42719999999997</v>
      </c>
      <c r="F128" s="442">
        <f t="shared" si="41"/>
        <v>372.08662620319438</v>
      </c>
      <c r="G128" s="442">
        <f t="shared" si="41"/>
        <v>359.05060916657902</v>
      </c>
      <c r="H128" s="442">
        <f t="shared" si="41"/>
        <v>341.81983469154449</v>
      </c>
      <c r="I128" s="442">
        <f t="shared" si="41"/>
        <v>319.8426</v>
      </c>
      <c r="J128" s="230"/>
      <c r="K128" s="230"/>
      <c r="L128" s="230"/>
      <c r="M128" s="230"/>
      <c r="N128" s="355"/>
    </row>
    <row r="129" spans="1:14">
      <c r="A129" s="537" t="s">
        <v>576</v>
      </c>
      <c r="B129" s="537"/>
      <c r="C129" s="537"/>
      <c r="D129" s="537"/>
      <c r="E129" s="537"/>
      <c r="F129" s="537"/>
      <c r="G129" s="537"/>
      <c r="H129" s="537"/>
      <c r="I129" s="537"/>
      <c r="J129" s="233"/>
      <c r="K129" s="233"/>
      <c r="L129" s="233"/>
      <c r="M129" s="233"/>
      <c r="N129" s="355"/>
    </row>
    <row r="130" spans="1:14">
      <c r="A130" s="355"/>
      <c r="B130" s="355"/>
      <c r="C130" s="355"/>
      <c r="D130" s="355"/>
      <c r="E130" s="355"/>
      <c r="F130" s="355"/>
      <c r="G130" s="355"/>
      <c r="H130" s="355"/>
      <c r="I130" s="355"/>
      <c r="J130" s="355"/>
      <c r="K130" s="355"/>
      <c r="L130" s="355"/>
      <c r="M130" s="355"/>
      <c r="N130" s="355"/>
    </row>
    <row r="131" spans="1:14">
      <c r="A131" s="531" t="s">
        <v>625</v>
      </c>
      <c r="B131" s="531"/>
      <c r="C131" s="531"/>
      <c r="D131" s="531"/>
      <c r="E131" s="531"/>
      <c r="F131" s="531"/>
      <c r="G131" s="531"/>
      <c r="H131" s="531"/>
      <c r="I131" s="531"/>
      <c r="J131" s="531"/>
      <c r="K131" s="531"/>
      <c r="L131" s="488"/>
      <c r="M131" s="488"/>
      <c r="N131" s="355"/>
    </row>
    <row r="132" spans="1:14">
      <c r="A132" s="488"/>
      <c r="B132" s="488"/>
      <c r="C132" s="488"/>
      <c r="D132" s="488"/>
      <c r="E132" s="488"/>
      <c r="F132" s="488"/>
      <c r="G132" s="488"/>
      <c r="H132" s="488"/>
      <c r="I132" s="488"/>
      <c r="J132" s="488"/>
      <c r="K132" s="488"/>
      <c r="L132" s="488"/>
      <c r="M132" s="488"/>
      <c r="N132" s="355"/>
    </row>
    <row r="133" spans="1:14">
      <c r="A133" s="488"/>
      <c r="B133" s="488"/>
      <c r="C133" s="488"/>
      <c r="D133" s="488"/>
      <c r="E133" s="488"/>
      <c r="F133" s="488"/>
      <c r="G133" s="488"/>
      <c r="H133" s="488"/>
      <c r="I133" s="488"/>
      <c r="J133" s="488"/>
      <c r="K133" s="488"/>
      <c r="L133" s="488"/>
      <c r="M133" s="488"/>
      <c r="N133" s="355"/>
    </row>
    <row r="134" spans="1:14">
      <c r="A134" s="488"/>
      <c r="B134" s="432">
        <v>2019</v>
      </c>
      <c r="C134" s="212">
        <v>2020</v>
      </c>
      <c r="D134" s="212">
        <v>2025</v>
      </c>
      <c r="E134" s="212">
        <v>2030</v>
      </c>
      <c r="F134" s="212">
        <v>2035</v>
      </c>
      <c r="G134" s="212">
        <v>2040</v>
      </c>
      <c r="H134" s="212">
        <v>2045</v>
      </c>
      <c r="I134" s="212">
        <v>2050</v>
      </c>
      <c r="J134" s="237"/>
      <c r="K134" s="488"/>
      <c r="L134" s="488"/>
      <c r="M134" s="488"/>
      <c r="N134" s="355"/>
    </row>
    <row r="135" spans="1:14">
      <c r="A135" s="237" t="s">
        <v>546</v>
      </c>
      <c r="B135" s="433">
        <f>C3</f>
        <v>707.92600000000004</v>
      </c>
      <c r="C135" s="434">
        <f t="shared" ref="C135:I135" si="42">C149+C169</f>
        <v>778.59669301534404</v>
      </c>
      <c r="D135" s="434">
        <f t="shared" si="42"/>
        <v>732.04696983414476</v>
      </c>
      <c r="E135" s="434">
        <f t="shared" si="42"/>
        <v>681.46836389119744</v>
      </c>
      <c r="F135" s="434">
        <f t="shared" si="42"/>
        <v>640.05663909192072</v>
      </c>
      <c r="G135" s="434">
        <f t="shared" si="42"/>
        <v>596.98070662504938</v>
      </c>
      <c r="H135" s="434">
        <f t="shared" si="42"/>
        <v>499.83489922013212</v>
      </c>
      <c r="I135" s="434">
        <f t="shared" si="42"/>
        <v>398.48032144106025</v>
      </c>
      <c r="J135" s="237"/>
      <c r="K135" s="488"/>
      <c r="L135" s="488"/>
      <c r="M135" s="488"/>
      <c r="N135" s="355"/>
    </row>
    <row r="136" spans="1:14">
      <c r="A136" s="237" t="s">
        <v>547</v>
      </c>
      <c r="B136" s="339">
        <f>1-B137</f>
        <v>0.43020841214994909</v>
      </c>
      <c r="C136" s="339">
        <f>B136</f>
        <v>0.43020841214994909</v>
      </c>
      <c r="D136" s="339">
        <f t="shared" ref="D136:I136" si="43">C136</f>
        <v>0.43020841214994909</v>
      </c>
      <c r="E136" s="339">
        <f t="shared" si="43"/>
        <v>0.43020841214994909</v>
      </c>
      <c r="F136" s="339">
        <f t="shared" si="43"/>
        <v>0.43020841214994909</v>
      </c>
      <c r="G136" s="339">
        <f t="shared" si="43"/>
        <v>0.43020841214994909</v>
      </c>
      <c r="H136" s="339">
        <f t="shared" si="43"/>
        <v>0.43020841214994909</v>
      </c>
      <c r="I136" s="339">
        <f t="shared" si="43"/>
        <v>0.43020841214994909</v>
      </c>
      <c r="J136" s="237" t="s">
        <v>548</v>
      </c>
      <c r="K136" s="488"/>
      <c r="L136" s="488"/>
      <c r="M136" s="488"/>
      <c r="N136" s="355"/>
    </row>
    <row r="137" spans="1:14">
      <c r="A137" s="237" t="s">
        <v>549</v>
      </c>
      <c r="B137" s="339">
        <v>0.56979158785005091</v>
      </c>
      <c r="C137" s="339">
        <v>0.56979158785005091</v>
      </c>
      <c r="D137" s="339">
        <v>0.56979158785005091</v>
      </c>
      <c r="E137" s="339">
        <v>0.56979158785005091</v>
      </c>
      <c r="F137" s="339">
        <v>0.56979158785005091</v>
      </c>
      <c r="G137" s="339">
        <v>0.56979158785005091</v>
      </c>
      <c r="H137" s="339">
        <v>0.56979158785005091</v>
      </c>
      <c r="I137" s="339">
        <v>0.56979158785005091</v>
      </c>
      <c r="J137" s="237" t="s">
        <v>548</v>
      </c>
      <c r="K137" s="488"/>
      <c r="L137" s="488"/>
      <c r="M137" s="488"/>
      <c r="N137" s="355"/>
    </row>
    <row r="138" spans="1:14">
      <c r="A138" s="488"/>
      <c r="B138" s="488"/>
      <c r="C138" s="488"/>
      <c r="D138" s="488"/>
      <c r="E138" s="488"/>
      <c r="F138" s="488"/>
      <c r="G138" s="488"/>
      <c r="H138" s="488"/>
      <c r="I138" s="488"/>
      <c r="J138" s="488"/>
      <c r="K138" s="488"/>
      <c r="L138" s="488"/>
      <c r="M138" s="488"/>
      <c r="N138" s="355"/>
    </row>
    <row r="139" spans="1:14">
      <c r="A139" s="435" t="s">
        <v>550</v>
      </c>
      <c r="B139" s="488"/>
      <c r="C139" s="488"/>
      <c r="D139" s="488"/>
      <c r="E139" s="488"/>
      <c r="F139" s="488"/>
      <c r="G139" s="488"/>
      <c r="H139" s="488"/>
      <c r="I139" s="488"/>
      <c r="J139" s="488"/>
      <c r="K139" s="488"/>
      <c r="L139" s="488"/>
      <c r="M139" s="488"/>
      <c r="N139" s="355"/>
    </row>
    <row r="140" spans="1:14">
      <c r="A140" s="488"/>
      <c r="B140" s="488"/>
      <c r="C140" s="488"/>
      <c r="D140" s="488"/>
      <c r="E140" s="488"/>
      <c r="F140" s="488"/>
      <c r="G140" s="488"/>
      <c r="H140" s="488"/>
      <c r="I140" s="488"/>
      <c r="J140" s="488"/>
      <c r="K140" s="488"/>
      <c r="L140" s="488"/>
      <c r="M140" s="488"/>
      <c r="N140" s="355"/>
    </row>
    <row r="141" spans="1:14">
      <c r="A141" s="436"/>
      <c r="B141" s="437">
        <v>2015</v>
      </c>
      <c r="C141" s="437">
        <v>2016</v>
      </c>
      <c r="D141" s="437">
        <v>2017</v>
      </c>
      <c r="E141" s="438">
        <v>2018</v>
      </c>
      <c r="F141" s="438">
        <v>2019</v>
      </c>
      <c r="G141" s="438">
        <v>2020</v>
      </c>
      <c r="H141" s="438">
        <v>2025</v>
      </c>
      <c r="I141" s="438">
        <v>2030</v>
      </c>
      <c r="J141" s="438">
        <v>2035</v>
      </c>
      <c r="K141" s="438">
        <v>2040</v>
      </c>
      <c r="L141" s="438">
        <v>2045</v>
      </c>
      <c r="M141" s="438">
        <v>2050</v>
      </c>
      <c r="N141" s="355"/>
    </row>
    <row r="142" spans="1:14">
      <c r="A142" s="439" t="s">
        <v>551</v>
      </c>
      <c r="B142" s="440"/>
      <c r="C142" s="440"/>
      <c r="D142" s="440"/>
      <c r="E142" s="441">
        <v>6.7</v>
      </c>
      <c r="F142" s="441">
        <v>7.4</v>
      </c>
      <c r="G142" s="441">
        <v>6.5</v>
      </c>
      <c r="H142" s="441">
        <v>8.4019402802782412</v>
      </c>
      <c r="I142" s="441">
        <v>10.158421406369076</v>
      </c>
      <c r="J142" s="441">
        <v>11.004956523566499</v>
      </c>
      <c r="K142" s="441">
        <v>11.851491640763923</v>
      </c>
      <c r="L142" s="441">
        <v>12.698026757961344</v>
      </c>
      <c r="M142" s="441">
        <v>13.544561875158768</v>
      </c>
      <c r="N142" s="355"/>
    </row>
    <row r="143" spans="1:14">
      <c r="A143" s="439" t="s">
        <v>552</v>
      </c>
      <c r="B143" s="442">
        <f>1</f>
        <v>1</v>
      </c>
      <c r="C143" s="442">
        <f>1</f>
        <v>1</v>
      </c>
      <c r="D143" s="442">
        <f>1</f>
        <v>1</v>
      </c>
      <c r="E143" s="442">
        <f>1</f>
        <v>1</v>
      </c>
      <c r="F143" s="442">
        <f>1</f>
        <v>1</v>
      </c>
      <c r="G143" s="442">
        <v>1</v>
      </c>
      <c r="H143" s="442">
        <v>0.95</v>
      </c>
      <c r="I143" s="442">
        <v>0.9</v>
      </c>
      <c r="J143" s="442">
        <v>0.85</v>
      </c>
      <c r="K143" s="442">
        <v>0.8</v>
      </c>
      <c r="L143" s="442">
        <v>0.6</v>
      </c>
      <c r="M143" s="442">
        <v>0.4</v>
      </c>
      <c r="N143" s="355"/>
    </row>
    <row r="144" spans="1:14">
      <c r="A144" s="443" t="s">
        <v>553</v>
      </c>
      <c r="B144" s="444">
        <v>1</v>
      </c>
      <c r="C144" s="445">
        <f t="shared" ref="C144:F145" si="44">B144</f>
        <v>1</v>
      </c>
      <c r="D144" s="445">
        <f t="shared" si="44"/>
        <v>1</v>
      </c>
      <c r="E144" s="445">
        <f t="shared" si="44"/>
        <v>1</v>
      </c>
      <c r="F144" s="445">
        <f t="shared" si="44"/>
        <v>1</v>
      </c>
      <c r="G144" s="444">
        <v>1</v>
      </c>
      <c r="H144" s="444">
        <v>0.99</v>
      </c>
      <c r="I144" s="444">
        <v>0.98</v>
      </c>
      <c r="J144" s="444">
        <v>0.90999999999999992</v>
      </c>
      <c r="K144" s="444">
        <v>0.84</v>
      </c>
      <c r="L144" s="444">
        <v>0.76999999999999991</v>
      </c>
      <c r="M144" s="444">
        <v>0.7</v>
      </c>
      <c r="N144" s="355"/>
    </row>
    <row r="145" spans="1:14">
      <c r="A145" s="443" t="s">
        <v>554</v>
      </c>
      <c r="B145" s="444">
        <v>0</v>
      </c>
      <c r="C145" s="445">
        <f t="shared" si="44"/>
        <v>0</v>
      </c>
      <c r="D145" s="445">
        <f t="shared" si="44"/>
        <v>0</v>
      </c>
      <c r="E145" s="445">
        <f t="shared" si="44"/>
        <v>0</v>
      </c>
      <c r="F145" s="445">
        <f t="shared" si="44"/>
        <v>0</v>
      </c>
      <c r="G145" s="444">
        <v>0</v>
      </c>
      <c r="H145" s="444">
        <v>0.01</v>
      </c>
      <c r="I145" s="444">
        <v>0.02</v>
      </c>
      <c r="J145" s="444">
        <v>0.09</v>
      </c>
      <c r="K145" s="444">
        <v>0.16</v>
      </c>
      <c r="L145" s="444">
        <v>0.22999999999999998</v>
      </c>
      <c r="M145" s="444">
        <v>0.3</v>
      </c>
      <c r="N145" s="355"/>
    </row>
    <row r="146" spans="1:14">
      <c r="A146" s="536" t="s">
        <v>555</v>
      </c>
      <c r="B146" s="536"/>
      <c r="C146" s="536"/>
      <c r="D146" s="536"/>
      <c r="E146" s="536"/>
      <c r="F146" s="536"/>
      <c r="G146" s="536"/>
      <c r="H146" s="536"/>
      <c r="I146" s="536"/>
      <c r="J146" s="536"/>
      <c r="K146" s="536"/>
      <c r="L146" s="536"/>
      <c r="M146" s="536"/>
      <c r="N146" s="355"/>
    </row>
    <row r="147" spans="1:14">
      <c r="A147" s="488"/>
      <c r="B147" s="488"/>
      <c r="C147" s="488"/>
      <c r="D147" s="488"/>
      <c r="E147" s="488"/>
      <c r="F147" s="488"/>
      <c r="G147" s="488"/>
      <c r="H147" s="488"/>
      <c r="I147" s="488"/>
      <c r="J147" s="488"/>
      <c r="K147" s="488"/>
      <c r="L147" s="488"/>
      <c r="M147" s="488"/>
      <c r="N147" s="355"/>
    </row>
    <row r="148" spans="1:14">
      <c r="A148" s="436"/>
      <c r="B148" s="437">
        <v>2019</v>
      </c>
      <c r="C148" s="437">
        <v>2020</v>
      </c>
      <c r="D148" s="437">
        <v>2025</v>
      </c>
      <c r="E148" s="438">
        <v>2030</v>
      </c>
      <c r="F148" s="438">
        <v>2035</v>
      </c>
      <c r="G148" s="438">
        <v>2040</v>
      </c>
      <c r="H148" s="438">
        <v>2045</v>
      </c>
      <c r="I148" s="438">
        <v>2050</v>
      </c>
      <c r="J148" s="488"/>
      <c r="K148" s="488"/>
      <c r="L148" s="488"/>
      <c r="M148" s="488"/>
      <c r="N148" s="355"/>
    </row>
    <row r="149" spans="1:14">
      <c r="A149" s="439" t="s">
        <v>556</v>
      </c>
      <c r="B149" s="568">
        <f>B135*B136</f>
        <v>304.55572037966488</v>
      </c>
      <c r="C149" s="568">
        <f>$B$149*G143*E31/$D$31</f>
        <v>305.5966930153441</v>
      </c>
      <c r="D149" s="568">
        <f t="shared" ref="D149:I149" si="45">$B$149*H143*F31/$D$31</f>
        <v>299.96146983414485</v>
      </c>
      <c r="E149" s="568">
        <f t="shared" si="45"/>
        <v>291.71636389119743</v>
      </c>
      <c r="F149" s="568">
        <f t="shared" si="45"/>
        <v>282.63322018849476</v>
      </c>
      <c r="G149" s="568">
        <f t="shared" si="45"/>
        <v>272.71203872603689</v>
      </c>
      <c r="H149" s="568">
        <f t="shared" si="45"/>
        <v>209.56225560305899</v>
      </c>
      <c r="I149" s="568">
        <f t="shared" si="45"/>
        <v>143.06032144106027</v>
      </c>
      <c r="J149" s="488" t="s">
        <v>557</v>
      </c>
      <c r="K149" s="488"/>
      <c r="L149" s="488"/>
      <c r="M149" s="488"/>
      <c r="N149" s="355"/>
    </row>
    <row r="150" spans="1:14">
      <c r="A150" s="439" t="s">
        <v>558</v>
      </c>
      <c r="B150" s="569">
        <f>B149</f>
        <v>304.55572037966488</v>
      </c>
      <c r="C150" s="569">
        <f t="shared" ref="C150:H150" si="46">C149*G144</f>
        <v>305.5966930153441</v>
      </c>
      <c r="D150" s="569">
        <f t="shared" si="46"/>
        <v>296.96185513580338</v>
      </c>
      <c r="E150" s="569">
        <f t="shared" si="46"/>
        <v>285.88203661337349</v>
      </c>
      <c r="F150" s="569">
        <f t="shared" si="46"/>
        <v>257.19623037153019</v>
      </c>
      <c r="G150" s="569">
        <f t="shared" si="46"/>
        <v>229.07811252987099</v>
      </c>
      <c r="H150" s="569">
        <f t="shared" si="46"/>
        <v>161.36293681435541</v>
      </c>
      <c r="I150" s="569">
        <f>I149*M144</f>
        <v>100.14222500874219</v>
      </c>
      <c r="J150" s="488"/>
      <c r="K150" s="488"/>
      <c r="L150" s="488"/>
      <c r="M150" s="488"/>
      <c r="N150" s="355"/>
    </row>
    <row r="151" spans="1:14">
      <c r="A151" s="443" t="s">
        <v>559</v>
      </c>
      <c r="B151" s="568">
        <v>0</v>
      </c>
      <c r="C151" s="568">
        <f t="shared" ref="C151:H151" si="47">C149*G145</f>
        <v>0</v>
      </c>
      <c r="D151" s="568">
        <f t="shared" si="47"/>
        <v>2.9996146983414484</v>
      </c>
      <c r="E151" s="568">
        <f t="shared" si="47"/>
        <v>5.8343272778239488</v>
      </c>
      <c r="F151" s="568">
        <f t="shared" si="47"/>
        <v>25.436989816964527</v>
      </c>
      <c r="G151" s="568">
        <f t="shared" si="47"/>
        <v>43.633926196165902</v>
      </c>
      <c r="H151" s="568">
        <f t="shared" si="47"/>
        <v>48.199318788703565</v>
      </c>
      <c r="I151" s="568">
        <f>I149*M145</f>
        <v>42.91809643231808</v>
      </c>
      <c r="J151" s="488"/>
      <c r="K151" s="488"/>
      <c r="L151" s="488"/>
      <c r="M151" s="488"/>
      <c r="N151" s="355"/>
    </row>
    <row r="152" spans="1:14">
      <c r="A152" s="532" t="s">
        <v>560</v>
      </c>
      <c r="B152" s="532"/>
      <c r="C152" s="532"/>
      <c r="D152" s="532"/>
      <c r="E152" s="532"/>
      <c r="F152" s="532"/>
      <c r="G152" s="532"/>
      <c r="H152" s="532"/>
      <c r="I152" s="532"/>
      <c r="J152" s="488"/>
      <c r="K152" s="488"/>
      <c r="L152" s="488"/>
      <c r="M152" s="488"/>
      <c r="N152" s="355"/>
    </row>
    <row r="153" spans="1:14">
      <c r="A153" s="301"/>
      <c r="B153" s="301"/>
      <c r="C153" s="301"/>
      <c r="D153" s="301"/>
      <c r="E153" s="301"/>
      <c r="F153" s="301"/>
      <c r="G153" s="301"/>
      <c r="H153" s="301"/>
      <c r="I153" s="301"/>
      <c r="J153" s="488"/>
      <c r="K153" s="488"/>
      <c r="L153" s="488"/>
      <c r="M153" s="488"/>
      <c r="N153" s="355"/>
    </row>
    <row r="154" spans="1:14">
      <c r="A154" s="435" t="s">
        <v>561</v>
      </c>
      <c r="B154" s="488"/>
      <c r="C154" s="488"/>
      <c r="D154" s="488"/>
      <c r="E154" s="488"/>
      <c r="F154" s="488"/>
      <c r="G154" s="488"/>
      <c r="H154" s="488"/>
      <c r="I154" s="488"/>
      <c r="J154" s="488"/>
      <c r="K154" s="488"/>
      <c r="L154" s="488"/>
      <c r="M154" s="488"/>
      <c r="N154" s="355"/>
    </row>
    <row r="155" spans="1:14">
      <c r="A155" s="488"/>
      <c r="B155" s="488"/>
      <c r="C155" s="488"/>
      <c r="D155" s="488"/>
      <c r="E155" s="488"/>
      <c r="F155" s="488"/>
      <c r="G155" s="488"/>
      <c r="H155" s="488"/>
      <c r="I155" s="488"/>
      <c r="J155" s="488"/>
      <c r="K155" s="488"/>
      <c r="L155" s="488"/>
      <c r="M155" s="488"/>
      <c r="N155" s="355"/>
    </row>
    <row r="156" spans="1:14">
      <c r="A156" s="436"/>
      <c r="B156" s="437">
        <v>2015</v>
      </c>
      <c r="C156" s="437">
        <v>2016</v>
      </c>
      <c r="D156" s="437">
        <v>2017</v>
      </c>
      <c r="E156" s="438">
        <v>2018</v>
      </c>
      <c r="F156" s="438">
        <v>2019</v>
      </c>
      <c r="G156" s="438">
        <v>2020</v>
      </c>
      <c r="H156" s="438">
        <v>2025</v>
      </c>
      <c r="I156" s="438">
        <v>2030</v>
      </c>
      <c r="J156" s="438">
        <v>2035</v>
      </c>
      <c r="K156" s="438">
        <v>2040</v>
      </c>
      <c r="L156" s="438">
        <v>2045</v>
      </c>
      <c r="M156" s="438">
        <v>2050</v>
      </c>
      <c r="N156" s="355"/>
    </row>
    <row r="157" spans="1:14">
      <c r="A157" s="439" t="s">
        <v>562</v>
      </c>
      <c r="B157" s="489">
        <v>1</v>
      </c>
      <c r="C157" s="489">
        <v>1</v>
      </c>
      <c r="D157" s="489">
        <v>1</v>
      </c>
      <c r="E157" s="441">
        <v>1</v>
      </c>
      <c r="F157" s="441">
        <v>1</v>
      </c>
      <c r="G157" s="441">
        <v>1</v>
      </c>
      <c r="H157" s="441">
        <v>1.0149999999999999</v>
      </c>
      <c r="I157" s="441">
        <v>1.03</v>
      </c>
      <c r="J157" s="441">
        <v>1.0422786874780956</v>
      </c>
      <c r="K157" s="441">
        <v>1.0547037498748169</v>
      </c>
      <c r="L157" s="441">
        <v>1.0672769321337372</v>
      </c>
      <c r="M157" s="441">
        <v>1.08</v>
      </c>
      <c r="N157" s="355"/>
    </row>
    <row r="158" spans="1:14">
      <c r="A158" s="439" t="s">
        <v>563</v>
      </c>
      <c r="B158" s="442">
        <v>1</v>
      </c>
      <c r="C158" s="442">
        <v>1</v>
      </c>
      <c r="D158" s="442">
        <v>1</v>
      </c>
      <c r="E158" s="442">
        <v>1</v>
      </c>
      <c r="F158" s="442">
        <v>1</v>
      </c>
      <c r="G158" s="442">
        <v>1</v>
      </c>
      <c r="H158" s="442">
        <v>0.9</v>
      </c>
      <c r="I158" s="442">
        <v>0.8</v>
      </c>
      <c r="J158" s="442">
        <v>0.72499999999999998</v>
      </c>
      <c r="K158" s="442">
        <v>0.65</v>
      </c>
      <c r="L158" s="442">
        <v>0.57499999999999996</v>
      </c>
      <c r="M158" s="442">
        <v>0.5</v>
      </c>
      <c r="N158" s="355"/>
    </row>
    <row r="159" spans="1:14">
      <c r="A159" s="448" t="s">
        <v>564</v>
      </c>
      <c r="B159" s="449">
        <v>0</v>
      </c>
      <c r="C159" s="449">
        <f>B159</f>
        <v>0</v>
      </c>
      <c r="D159" s="449">
        <f t="shared" ref="D159:F160" si="48">C159</f>
        <v>0</v>
      </c>
      <c r="E159" s="449">
        <f t="shared" si="48"/>
        <v>0</v>
      </c>
      <c r="F159" s="449">
        <f t="shared" si="48"/>
        <v>0</v>
      </c>
      <c r="G159" s="449">
        <v>0.02</v>
      </c>
      <c r="H159" s="449">
        <v>0.03</v>
      </c>
      <c r="I159" s="449">
        <v>0.04</v>
      </c>
      <c r="J159" s="449">
        <v>0.155</v>
      </c>
      <c r="K159" s="449">
        <v>0.27</v>
      </c>
      <c r="L159" s="449">
        <v>0.38500000000000001</v>
      </c>
      <c r="M159" s="449">
        <v>0.5</v>
      </c>
      <c r="N159" s="355"/>
    </row>
    <row r="160" spans="1:14">
      <c r="A160" s="450" t="s">
        <v>565</v>
      </c>
      <c r="B160" s="451">
        <v>0</v>
      </c>
      <c r="C160" s="452">
        <f t="shared" ref="C160" si="49">B160</f>
        <v>0</v>
      </c>
      <c r="D160" s="452">
        <f t="shared" si="48"/>
        <v>0</v>
      </c>
      <c r="E160" s="452">
        <f t="shared" si="48"/>
        <v>0</v>
      </c>
      <c r="F160" s="452">
        <f t="shared" si="48"/>
        <v>0</v>
      </c>
      <c r="G160" s="451">
        <f>0</f>
        <v>0</v>
      </c>
      <c r="H160" s="451">
        <v>0</v>
      </c>
      <c r="I160" s="451">
        <v>4.0000000000000001E-3</v>
      </c>
      <c r="J160" s="451">
        <v>0.128</v>
      </c>
      <c r="K160" s="451">
        <v>0.252</v>
      </c>
      <c r="L160" s="451">
        <v>0.376</v>
      </c>
      <c r="M160" s="451">
        <v>0.5</v>
      </c>
      <c r="N160" s="355"/>
    </row>
    <row r="161" spans="1:14">
      <c r="A161" s="450" t="s">
        <v>566</v>
      </c>
      <c r="B161" s="451">
        <f>B159-B160</f>
        <v>0</v>
      </c>
      <c r="C161" s="451">
        <f t="shared" ref="C161:M161" si="50">C159-C160</f>
        <v>0</v>
      </c>
      <c r="D161" s="451">
        <f t="shared" si="50"/>
        <v>0</v>
      </c>
      <c r="E161" s="451">
        <f t="shared" si="50"/>
        <v>0</v>
      </c>
      <c r="F161" s="451">
        <f t="shared" si="50"/>
        <v>0</v>
      </c>
      <c r="G161" s="451">
        <f t="shared" si="50"/>
        <v>0.02</v>
      </c>
      <c r="H161" s="451">
        <f t="shared" si="50"/>
        <v>0.03</v>
      </c>
      <c r="I161" s="451">
        <f t="shared" si="50"/>
        <v>3.6000000000000004E-2</v>
      </c>
      <c r="J161" s="451">
        <f t="shared" si="50"/>
        <v>2.6999999999999996E-2</v>
      </c>
      <c r="K161" s="451">
        <f t="shared" si="50"/>
        <v>1.8000000000000016E-2</v>
      </c>
      <c r="L161" s="451">
        <f t="shared" si="50"/>
        <v>9.000000000000008E-3</v>
      </c>
      <c r="M161" s="451">
        <f t="shared" si="50"/>
        <v>0</v>
      </c>
      <c r="N161" s="355"/>
    </row>
    <row r="162" spans="1:14">
      <c r="A162" s="453" t="s">
        <v>567</v>
      </c>
      <c r="B162" s="454">
        <v>1</v>
      </c>
      <c r="C162" s="454">
        <f t="shared" ref="C162:G162" si="51">B162</f>
        <v>1</v>
      </c>
      <c r="D162" s="454">
        <f t="shared" si="51"/>
        <v>1</v>
      </c>
      <c r="E162" s="454">
        <f t="shared" si="51"/>
        <v>1</v>
      </c>
      <c r="F162" s="454">
        <f t="shared" si="51"/>
        <v>1</v>
      </c>
      <c r="G162" s="454">
        <f t="shared" si="51"/>
        <v>1</v>
      </c>
      <c r="H162" s="454">
        <f>1-H159</f>
        <v>0.97</v>
      </c>
      <c r="I162" s="454">
        <f t="shared" ref="I162:M162" si="52">1-I159</f>
        <v>0.96</v>
      </c>
      <c r="J162" s="454">
        <f t="shared" si="52"/>
        <v>0.84499999999999997</v>
      </c>
      <c r="K162" s="454">
        <f t="shared" si="52"/>
        <v>0.73</v>
      </c>
      <c r="L162" s="454">
        <f t="shared" si="52"/>
        <v>0.61499999999999999</v>
      </c>
      <c r="M162" s="454">
        <f t="shared" si="52"/>
        <v>0.5</v>
      </c>
    </row>
    <row r="163" spans="1:14">
      <c r="A163" s="455" t="s">
        <v>568</v>
      </c>
      <c r="B163" s="456">
        <f>0%</f>
        <v>0</v>
      </c>
      <c r="C163" s="456">
        <f>0%</f>
        <v>0</v>
      </c>
      <c r="D163" s="456">
        <f>0%</f>
        <v>0</v>
      </c>
      <c r="E163" s="456">
        <f>0%</f>
        <v>0</v>
      </c>
      <c r="F163" s="456">
        <f>0%</f>
        <v>0</v>
      </c>
      <c r="G163" s="456">
        <f>0%</f>
        <v>0</v>
      </c>
      <c r="H163" s="456">
        <f>0%</f>
        <v>0</v>
      </c>
      <c r="I163" s="456">
        <f>0%</f>
        <v>0</v>
      </c>
      <c r="J163" s="456">
        <f>0%</f>
        <v>0</v>
      </c>
      <c r="K163" s="456">
        <f>0%</f>
        <v>0</v>
      </c>
      <c r="L163" s="456">
        <f>0%</f>
        <v>0</v>
      </c>
      <c r="M163" s="456">
        <f>0%</f>
        <v>0</v>
      </c>
    </row>
    <row r="164" spans="1:14">
      <c r="A164" s="455" t="s">
        <v>569</v>
      </c>
      <c r="B164" s="456">
        <f>B162-B163</f>
        <v>1</v>
      </c>
      <c r="C164" s="456">
        <f t="shared" ref="C164:M164" si="53">C162-C163</f>
        <v>1</v>
      </c>
      <c r="D164" s="456">
        <f t="shared" si="53"/>
        <v>1</v>
      </c>
      <c r="E164" s="456">
        <f t="shared" si="53"/>
        <v>1</v>
      </c>
      <c r="F164" s="456">
        <f t="shared" si="53"/>
        <v>1</v>
      </c>
      <c r="G164" s="456">
        <f t="shared" si="53"/>
        <v>1</v>
      </c>
      <c r="H164" s="456">
        <f t="shared" si="53"/>
        <v>0.97</v>
      </c>
      <c r="I164" s="456">
        <f t="shared" si="53"/>
        <v>0.96</v>
      </c>
      <c r="J164" s="456">
        <f t="shared" si="53"/>
        <v>0.84499999999999997</v>
      </c>
      <c r="K164" s="456">
        <f t="shared" si="53"/>
        <v>0.73</v>
      </c>
      <c r="L164" s="456">
        <f t="shared" si="53"/>
        <v>0.61499999999999999</v>
      </c>
      <c r="M164" s="456">
        <f t="shared" si="53"/>
        <v>0.5</v>
      </c>
    </row>
    <row r="165" spans="1:14">
      <c r="A165" s="532" t="s">
        <v>570</v>
      </c>
      <c r="B165" s="532"/>
      <c r="C165" s="532"/>
      <c r="D165" s="532"/>
      <c r="E165" s="532"/>
      <c r="F165" s="532"/>
      <c r="G165" s="532"/>
      <c r="H165" s="532"/>
      <c r="I165" s="532"/>
      <c r="J165" s="532"/>
      <c r="K165" s="532"/>
      <c r="L165" s="532"/>
      <c r="M165" s="532"/>
    </row>
    <row r="166" spans="1:14">
      <c r="A166" s="301"/>
      <c r="B166" s="301"/>
      <c r="C166" s="301"/>
      <c r="D166" s="301"/>
      <c r="E166" s="301"/>
      <c r="F166" s="301"/>
      <c r="G166" s="301"/>
      <c r="H166" s="301"/>
      <c r="I166" s="301"/>
      <c r="J166" s="301"/>
      <c r="K166" s="301"/>
      <c r="L166" s="301"/>
      <c r="M166" s="301"/>
    </row>
    <row r="167" spans="1:14">
      <c r="A167" s="457" t="s">
        <v>626</v>
      </c>
      <c r="B167" s="458"/>
      <c r="C167" s="458"/>
      <c r="D167" s="458"/>
      <c r="E167" s="459"/>
      <c r="F167" s="459"/>
      <c r="G167" s="459"/>
      <c r="H167" s="459"/>
      <c r="I167" s="459"/>
      <c r="J167" s="459"/>
      <c r="K167" s="459"/>
      <c r="L167" s="459"/>
      <c r="M167" s="459"/>
    </row>
    <row r="168" spans="1:14">
      <c r="A168" s="436"/>
      <c r="B168" s="438">
        <v>2019</v>
      </c>
      <c r="C168" s="438">
        <v>2020</v>
      </c>
      <c r="D168" s="438">
        <v>2025</v>
      </c>
      <c r="E168" s="438">
        <v>2030</v>
      </c>
      <c r="F168" s="438">
        <v>2035</v>
      </c>
      <c r="G168" s="438">
        <v>2040</v>
      </c>
      <c r="H168" s="438">
        <v>2045</v>
      </c>
      <c r="I168" s="438">
        <v>2050</v>
      </c>
      <c r="J168" s="488"/>
      <c r="K168" s="488"/>
      <c r="L168" s="488"/>
      <c r="M168" s="488"/>
    </row>
    <row r="169" spans="1:14">
      <c r="A169" s="439" t="s">
        <v>572</v>
      </c>
      <c r="B169" s="460">
        <f>B135*B137</f>
        <v>403.37027962033517</v>
      </c>
      <c r="C169" s="460">
        <f t="shared" ref="C169:I169" si="54">$B$125*G157*G158</f>
        <v>472.99999999999994</v>
      </c>
      <c r="D169" s="460">
        <f t="shared" si="54"/>
        <v>432.08549999999991</v>
      </c>
      <c r="E169" s="460">
        <f t="shared" si="54"/>
        <v>389.75199999999995</v>
      </c>
      <c r="F169" s="460">
        <f t="shared" si="54"/>
        <v>357.4234189034259</v>
      </c>
      <c r="G169" s="460">
        <f t="shared" si="54"/>
        <v>324.26866789901243</v>
      </c>
      <c r="H169" s="460">
        <f t="shared" si="54"/>
        <v>290.27264361707313</v>
      </c>
      <c r="I169" s="460">
        <f t="shared" si="54"/>
        <v>255.42</v>
      </c>
      <c r="J169" s="488"/>
      <c r="K169" s="488"/>
      <c r="L169" s="488"/>
      <c r="M169" s="488"/>
    </row>
    <row r="170" spans="1:14">
      <c r="A170" s="439" t="s">
        <v>573</v>
      </c>
      <c r="B170" s="460">
        <f t="shared" ref="B170:I170" si="55">B169*F160</f>
        <v>0</v>
      </c>
      <c r="C170" s="460">
        <f t="shared" si="55"/>
        <v>0</v>
      </c>
      <c r="D170" s="460">
        <f t="shared" si="55"/>
        <v>0</v>
      </c>
      <c r="E170" s="460">
        <f t="shared" si="55"/>
        <v>1.5590079999999999</v>
      </c>
      <c r="F170" s="460">
        <f t="shared" si="55"/>
        <v>45.750197619638513</v>
      </c>
      <c r="G170" s="460">
        <f t="shared" si="55"/>
        <v>81.715704310551132</v>
      </c>
      <c r="H170" s="460">
        <f t="shared" si="55"/>
        <v>109.1425140000195</v>
      </c>
      <c r="I170" s="460">
        <f t="shared" si="55"/>
        <v>127.71</v>
      </c>
      <c r="J170" s="488"/>
      <c r="K170" s="488"/>
      <c r="L170" s="488"/>
      <c r="M170" s="488"/>
    </row>
    <row r="171" spans="1:14">
      <c r="A171" s="439" t="s">
        <v>574</v>
      </c>
      <c r="B171" s="460">
        <f t="shared" ref="B171:I171" si="56">B169*F161</f>
        <v>0</v>
      </c>
      <c r="C171" s="460">
        <f t="shared" si="56"/>
        <v>9.4599999999999991</v>
      </c>
      <c r="D171" s="460">
        <f t="shared" si="56"/>
        <v>12.962564999999996</v>
      </c>
      <c r="E171" s="460">
        <f t="shared" si="56"/>
        <v>14.031072</v>
      </c>
      <c r="F171" s="460">
        <f t="shared" si="56"/>
        <v>9.6504323103924978</v>
      </c>
      <c r="G171" s="460">
        <f t="shared" si="56"/>
        <v>5.8368360221822293</v>
      </c>
      <c r="H171" s="460">
        <f t="shared" si="56"/>
        <v>2.6124537925536604</v>
      </c>
      <c r="I171" s="460">
        <f t="shared" si="56"/>
        <v>0</v>
      </c>
      <c r="J171" s="488"/>
      <c r="K171" s="488"/>
      <c r="L171" s="488"/>
      <c r="M171" s="488"/>
    </row>
    <row r="172" spans="1:14">
      <c r="A172" s="439" t="s">
        <v>575</v>
      </c>
      <c r="B172" s="442">
        <f t="shared" ref="B172:I172" si="57">B169*F164</f>
        <v>403.37027962033517</v>
      </c>
      <c r="C172" s="442">
        <f t="shared" si="57"/>
        <v>472.99999999999994</v>
      </c>
      <c r="D172" s="442">
        <f t="shared" si="57"/>
        <v>419.12293499999993</v>
      </c>
      <c r="E172" s="442">
        <f t="shared" si="57"/>
        <v>374.16191999999995</v>
      </c>
      <c r="F172" s="442">
        <f t="shared" si="57"/>
        <v>302.02278897339488</v>
      </c>
      <c r="G172" s="442">
        <f t="shared" si="57"/>
        <v>236.71612756627906</v>
      </c>
      <c r="H172" s="442">
        <f t="shared" si="57"/>
        <v>178.51767582449997</v>
      </c>
      <c r="I172" s="442">
        <f t="shared" si="57"/>
        <v>127.71</v>
      </c>
      <c r="J172" s="230"/>
      <c r="K172" s="230"/>
      <c r="L172" s="230"/>
      <c r="M172" s="230"/>
    </row>
    <row r="173" spans="1:14">
      <c r="A173" s="488"/>
      <c r="B173" s="488"/>
      <c r="C173" s="488"/>
      <c r="D173" s="488"/>
      <c r="E173" s="488"/>
      <c r="F173" s="488"/>
      <c r="G173" s="488"/>
      <c r="H173" s="488"/>
      <c r="I173" s="488"/>
      <c r="J173" s="488"/>
      <c r="K173" s="488"/>
      <c r="L173" s="488"/>
      <c r="M173" s="488"/>
    </row>
    <row r="174" spans="1:14">
      <c r="A174" s="355"/>
      <c r="B174" s="355"/>
      <c r="C174" s="355"/>
      <c r="D174" s="355"/>
      <c r="E174" s="355"/>
      <c r="F174" s="355"/>
      <c r="G174" s="355"/>
      <c r="H174" s="355"/>
      <c r="I174" s="355"/>
      <c r="J174" s="355"/>
      <c r="K174" s="355"/>
      <c r="L174" s="355"/>
      <c r="M174" s="355"/>
    </row>
    <row r="175" spans="1:14">
      <c r="A175" s="355"/>
      <c r="B175" s="355"/>
      <c r="C175" s="355"/>
      <c r="D175" s="355"/>
      <c r="E175" s="355"/>
      <c r="F175" s="355"/>
      <c r="G175" s="355"/>
      <c r="H175" s="355"/>
      <c r="I175" s="355"/>
      <c r="J175" s="355"/>
      <c r="K175" s="355"/>
      <c r="L175" s="355"/>
      <c r="M175" s="355"/>
    </row>
    <row r="176" spans="1:14" ht="21">
      <c r="A176" s="431" t="s">
        <v>543</v>
      </c>
      <c r="B176" s="355"/>
      <c r="C176" s="355"/>
      <c r="D176" s="355"/>
      <c r="E176" s="355"/>
      <c r="F176" s="355"/>
      <c r="G176" s="355"/>
      <c r="H176" s="355"/>
      <c r="I176" s="355"/>
      <c r="J176" s="355"/>
      <c r="K176" s="355"/>
      <c r="L176" s="355"/>
      <c r="M176" s="355"/>
    </row>
    <row r="177" spans="1:13">
      <c r="A177" s="355"/>
      <c r="B177" s="355"/>
      <c r="C177" s="355"/>
      <c r="D177" s="355"/>
      <c r="E177" s="355"/>
      <c r="F177" s="355"/>
      <c r="G177" s="355"/>
      <c r="H177" s="355"/>
      <c r="I177" s="355"/>
      <c r="J177" s="355"/>
      <c r="K177" s="355"/>
      <c r="L177" s="355"/>
      <c r="M177" s="355"/>
    </row>
    <row r="178" spans="1:13">
      <c r="A178" s="531" t="s">
        <v>545</v>
      </c>
      <c r="B178" s="531"/>
      <c r="C178" s="531"/>
      <c r="D178" s="531"/>
      <c r="E178" s="531"/>
      <c r="F178" s="531"/>
      <c r="G178" s="531"/>
      <c r="H178" s="531"/>
      <c r="I178" s="531"/>
      <c r="J178" s="531"/>
      <c r="K178" s="531"/>
      <c r="L178" s="355"/>
      <c r="M178" s="355"/>
    </row>
    <row r="179" spans="1:13">
      <c r="A179" s="355"/>
      <c r="B179" s="355"/>
      <c r="C179" s="355"/>
      <c r="D179" s="355"/>
      <c r="E179" s="355"/>
      <c r="F179" s="355"/>
      <c r="G179" s="355"/>
      <c r="H179" s="355"/>
      <c r="I179" s="355"/>
      <c r="J179" s="355"/>
      <c r="K179" s="355"/>
      <c r="L179" s="355"/>
      <c r="M179" s="355"/>
    </row>
    <row r="180" spans="1:13">
      <c r="A180" s="436" t="s">
        <v>577</v>
      </c>
      <c r="B180" s="438" t="s">
        <v>152</v>
      </c>
      <c r="C180" s="438" t="s">
        <v>153</v>
      </c>
      <c r="D180" s="438" t="s">
        <v>154</v>
      </c>
      <c r="E180" s="438" t="s">
        <v>578</v>
      </c>
      <c r="F180" s="438" t="s">
        <v>579</v>
      </c>
      <c r="G180" s="438" t="s">
        <v>580</v>
      </c>
      <c r="H180" s="438" t="s">
        <v>581</v>
      </c>
      <c r="I180" s="355"/>
      <c r="J180" s="355"/>
      <c r="K180" s="355"/>
      <c r="L180" s="355"/>
      <c r="M180" s="355"/>
    </row>
    <row r="181" spans="1:13">
      <c r="A181" s="439" t="s">
        <v>595</v>
      </c>
      <c r="B181" s="474">
        <v>13557.550077499996</v>
      </c>
      <c r="C181" s="474">
        <v>13770.137169999991</v>
      </c>
      <c r="D181" s="474">
        <v>14073.552639000007</v>
      </c>
      <c r="E181" s="474">
        <v>14300.588535000003</v>
      </c>
      <c r="F181" s="474">
        <v>14928.848237500004</v>
      </c>
      <c r="G181" s="474">
        <v>9826.1498675000057</v>
      </c>
      <c r="H181" s="474">
        <v>12030.107023500002</v>
      </c>
      <c r="I181" s="355"/>
      <c r="J181" s="355"/>
      <c r="K181" s="355"/>
      <c r="L181" s="355"/>
      <c r="M181" s="355"/>
    </row>
    <row r="182" spans="1:13">
      <c r="A182" s="355" t="s">
        <v>582</v>
      </c>
      <c r="B182" s="474">
        <v>28954.183756499999</v>
      </c>
      <c r="C182" s="474">
        <v>29229.208115000005</v>
      </c>
      <c r="D182" s="474">
        <v>29451.481177999991</v>
      </c>
      <c r="E182" s="474">
        <v>31699.8606005</v>
      </c>
      <c r="F182" s="474">
        <v>31254.865288500008</v>
      </c>
      <c r="G182" s="474">
        <v>14526.805316</v>
      </c>
      <c r="H182" s="474">
        <v>15840.499966999996</v>
      </c>
      <c r="I182" s="355"/>
      <c r="J182" s="355"/>
      <c r="K182" s="355"/>
      <c r="L182" s="355"/>
      <c r="M182" s="355"/>
    </row>
    <row r="183" spans="1:13">
      <c r="A183" s="439" t="s">
        <v>596</v>
      </c>
      <c r="B183" s="460">
        <f>B181*44/3600</f>
        <v>165.70338983611106</v>
      </c>
      <c r="C183" s="460">
        <f t="shared" ref="C183:H184" si="58">C181*44/3600</f>
        <v>168.30167652222212</v>
      </c>
      <c r="D183" s="460">
        <f t="shared" si="58"/>
        <v>172.01008781000007</v>
      </c>
      <c r="E183" s="460">
        <f t="shared" si="58"/>
        <v>174.78497098333338</v>
      </c>
      <c r="F183" s="460">
        <f t="shared" si="58"/>
        <v>182.4637006805556</v>
      </c>
      <c r="G183" s="460">
        <f t="shared" si="58"/>
        <v>120.09738726944451</v>
      </c>
      <c r="H183" s="460">
        <f t="shared" si="58"/>
        <v>147.03464139833335</v>
      </c>
      <c r="I183" s="355"/>
      <c r="J183" s="355"/>
      <c r="K183" s="355"/>
      <c r="L183" s="355"/>
      <c r="M183" s="355"/>
    </row>
    <row r="184" spans="1:13">
      <c r="A184" s="237" t="s">
        <v>583</v>
      </c>
      <c r="B184" s="460">
        <f>B182*44/3600</f>
        <v>353.88446813500002</v>
      </c>
      <c r="C184" s="460">
        <f t="shared" si="58"/>
        <v>357.24587696111115</v>
      </c>
      <c r="D184" s="460">
        <f t="shared" si="58"/>
        <v>359.96254773111104</v>
      </c>
      <c r="E184" s="460">
        <f t="shared" si="58"/>
        <v>387.4427406727778</v>
      </c>
      <c r="F184" s="460">
        <f t="shared" si="58"/>
        <v>382.00390908166673</v>
      </c>
      <c r="G184" s="460">
        <f t="shared" si="58"/>
        <v>177.5498427511111</v>
      </c>
      <c r="H184" s="460">
        <f t="shared" si="58"/>
        <v>193.60611070777776</v>
      </c>
      <c r="I184" s="355"/>
      <c r="J184" s="355"/>
      <c r="K184" s="355"/>
      <c r="L184" s="355"/>
      <c r="M184" s="355"/>
    </row>
    <row r="185" spans="1:13">
      <c r="A185" s="532" t="s">
        <v>584</v>
      </c>
      <c r="B185" s="532"/>
      <c r="C185" s="532"/>
      <c r="D185" s="532"/>
      <c r="E185" s="532"/>
      <c r="F185" s="532"/>
      <c r="G185" s="532"/>
      <c r="H185" s="532"/>
      <c r="I185" s="355"/>
      <c r="J185" s="355"/>
      <c r="K185" s="355"/>
      <c r="L185" s="355"/>
      <c r="M185" s="355"/>
    </row>
    <row r="186" spans="1:13">
      <c r="A186" s="355"/>
      <c r="B186" s="355"/>
      <c r="C186" s="355"/>
      <c r="D186" s="355"/>
      <c r="E186" s="355"/>
      <c r="F186" s="355"/>
      <c r="G186" s="355"/>
      <c r="H186" s="355"/>
      <c r="I186" s="355"/>
      <c r="J186" s="355"/>
      <c r="K186" s="355"/>
      <c r="L186" s="355"/>
      <c r="M186" s="355"/>
    </row>
    <row r="187" spans="1:13">
      <c r="A187" s="461" t="s">
        <v>585</v>
      </c>
      <c r="B187" s="462">
        <v>2018</v>
      </c>
      <c r="C187" s="462">
        <v>2019</v>
      </c>
      <c r="D187" s="462">
        <v>2020</v>
      </c>
      <c r="E187" s="462">
        <v>2025</v>
      </c>
      <c r="F187" s="462">
        <v>2030</v>
      </c>
      <c r="G187" s="462">
        <v>2035</v>
      </c>
      <c r="H187" s="462">
        <v>2040</v>
      </c>
      <c r="I187" s="462">
        <v>2045</v>
      </c>
      <c r="J187" s="462">
        <v>2050</v>
      </c>
      <c r="K187" s="355"/>
      <c r="L187" s="355"/>
      <c r="M187" s="355"/>
    </row>
    <row r="188" spans="1:13">
      <c r="A188" s="463" t="s">
        <v>586</v>
      </c>
      <c r="B188" s="464"/>
      <c r="C188" s="464">
        <v>1</v>
      </c>
      <c r="D188" s="464">
        <v>0.53619199286752905</v>
      </c>
      <c r="E188" s="464">
        <v>1.1422880895580272</v>
      </c>
      <c r="F188" s="464">
        <v>1.2558809424785182</v>
      </c>
      <c r="G188" s="464">
        <v>1.4090414788885288</v>
      </c>
      <c r="H188" s="464">
        <v>1.5917392274655779</v>
      </c>
      <c r="I188" s="464">
        <v>1.7954063493562997</v>
      </c>
      <c r="J188" s="464">
        <v>1.9898293358431327</v>
      </c>
      <c r="K188" s="355"/>
      <c r="L188" s="355"/>
      <c r="M188" s="355"/>
    </row>
    <row r="189" spans="1:13">
      <c r="A189" s="465" t="s">
        <v>587</v>
      </c>
      <c r="B189" s="466"/>
      <c r="C189" s="466">
        <v>1</v>
      </c>
      <c r="D189" s="466">
        <v>0.98499999999999999</v>
      </c>
      <c r="E189" s="466">
        <v>0.91330825483014066</v>
      </c>
      <c r="F189" s="466">
        <v>0.84683448562525598</v>
      </c>
      <c r="G189" s="466">
        <v>0.78519890984404295</v>
      </c>
      <c r="H189" s="466">
        <v>0.72804938684689524</v>
      </c>
      <c r="I189" s="466">
        <v>0.67505940602161607</v>
      </c>
      <c r="J189" s="466">
        <v>0.62592622134037912</v>
      </c>
      <c r="K189" s="355"/>
      <c r="L189" s="355"/>
      <c r="M189" s="355"/>
    </row>
    <row r="190" spans="1:13">
      <c r="A190" s="467" t="s">
        <v>588</v>
      </c>
      <c r="B190" s="468">
        <v>854.54475589700007</v>
      </c>
      <c r="C190" s="468">
        <v>873.86362250900004</v>
      </c>
      <c r="D190" s="468">
        <v>596.83967486100016</v>
      </c>
      <c r="E190" s="468">
        <f t="shared" ref="E190:J190" si="59">$C$190*E189*E188</f>
        <v>911.6679604105251</v>
      </c>
      <c r="F190" s="468">
        <f t="shared" si="59"/>
        <v>929.37431650895917</v>
      </c>
      <c r="G190" s="468">
        <f t="shared" si="59"/>
        <v>966.8233411386409</v>
      </c>
      <c r="H190" s="468">
        <f t="shared" si="59"/>
        <v>1012.6897646662835</v>
      </c>
      <c r="I190" s="468">
        <f t="shared" si="59"/>
        <v>1059.1279045199626</v>
      </c>
      <c r="J190" s="468">
        <f t="shared" si="59"/>
        <v>1088.3852199726828</v>
      </c>
      <c r="K190" s="355"/>
      <c r="L190" s="355"/>
      <c r="M190" s="355"/>
    </row>
    <row r="191" spans="1:13">
      <c r="A191" s="237" t="s">
        <v>589</v>
      </c>
      <c r="B191" s="469"/>
      <c r="C191" s="469"/>
      <c r="D191" s="470">
        <f>D190/$C$190</f>
        <v>0.68298949571487999</v>
      </c>
      <c r="E191" s="470">
        <f t="shared" ref="E191:J191" si="60">E190/$C$190</f>
        <v>1.0432611415874973</v>
      </c>
      <c r="F191" s="470">
        <f t="shared" si="60"/>
        <v>1.0635232919303577</v>
      </c>
      <c r="G191" s="470">
        <f t="shared" si="60"/>
        <v>1.1063778331483107</v>
      </c>
      <c r="H191" s="470">
        <f t="shared" si="60"/>
        <v>1.1588647685764648</v>
      </c>
      <c r="I191" s="470">
        <f t="shared" si="60"/>
        <v>1.2120059437639017</v>
      </c>
      <c r="J191" s="470">
        <f t="shared" si="60"/>
        <v>1.245486357296528</v>
      </c>
      <c r="K191" s="355"/>
      <c r="L191" s="355"/>
      <c r="M191" s="355"/>
    </row>
    <row r="192" spans="1:13">
      <c r="A192" s="533" t="s">
        <v>590</v>
      </c>
      <c r="B192" s="534"/>
      <c r="C192" s="534"/>
      <c r="D192" s="534"/>
      <c r="E192" s="534"/>
      <c r="F192" s="534"/>
      <c r="G192" s="534"/>
      <c r="H192" s="534"/>
      <c r="I192" s="534"/>
      <c r="J192" s="535"/>
      <c r="K192" s="355"/>
      <c r="L192" s="355"/>
      <c r="M192" s="355"/>
    </row>
    <row r="193" spans="1:22">
      <c r="A193" s="355"/>
      <c r="B193" s="355"/>
      <c r="C193" s="355"/>
      <c r="D193" s="355"/>
      <c r="E193" s="355"/>
      <c r="F193" s="355"/>
      <c r="G193" s="355"/>
      <c r="H193" s="355"/>
      <c r="I193" s="355"/>
      <c r="J193" s="355"/>
      <c r="K193" s="355"/>
      <c r="L193" s="355"/>
      <c r="M193" s="355"/>
    </row>
    <row r="194" spans="1:22">
      <c r="A194" s="461" t="s">
        <v>591</v>
      </c>
      <c r="B194" s="462">
        <v>2018</v>
      </c>
      <c r="C194" s="462">
        <v>2019</v>
      </c>
      <c r="D194" s="462">
        <v>2020</v>
      </c>
      <c r="E194" s="462">
        <v>2025</v>
      </c>
      <c r="F194" s="462">
        <v>2030</v>
      </c>
      <c r="G194" s="462">
        <v>2035</v>
      </c>
      <c r="H194" s="462">
        <v>2040</v>
      </c>
      <c r="I194" s="462">
        <v>2045</v>
      </c>
      <c r="J194" s="462">
        <v>2050</v>
      </c>
      <c r="K194" s="355"/>
      <c r="L194" s="355"/>
      <c r="M194" s="355"/>
    </row>
    <row r="195" spans="1:22">
      <c r="A195" s="463" t="s">
        <v>586</v>
      </c>
      <c r="B195" s="471"/>
      <c r="C195" s="471">
        <v>1</v>
      </c>
      <c r="D195" s="471">
        <v>0.44563782003342767</v>
      </c>
      <c r="E195" s="471">
        <v>0.96151765436937453</v>
      </c>
      <c r="F195" s="471">
        <v>0.96517932254598748</v>
      </c>
      <c r="G195" s="471">
        <v>1.0054168307825717</v>
      </c>
      <c r="H195" s="471">
        <v>1.0640948052616099</v>
      </c>
      <c r="I195" s="471">
        <v>1.1310695308864491</v>
      </c>
      <c r="J195" s="471">
        <v>1.1835388472709474</v>
      </c>
      <c r="K195" s="355"/>
      <c r="L195" s="355"/>
      <c r="M195" s="355"/>
    </row>
    <row r="196" spans="1:22">
      <c r="A196" s="465" t="s">
        <v>587</v>
      </c>
      <c r="B196" s="466"/>
      <c r="C196" s="466">
        <v>1</v>
      </c>
      <c r="D196" s="466">
        <v>0.98499999999999999</v>
      </c>
      <c r="E196" s="466">
        <v>0.91330825483014066</v>
      </c>
      <c r="F196" s="466">
        <v>0.84683448562525598</v>
      </c>
      <c r="G196" s="466">
        <v>0.78519890984404295</v>
      </c>
      <c r="H196" s="466">
        <v>0.72804938684689524</v>
      </c>
      <c r="I196" s="466">
        <v>0.67505940602161607</v>
      </c>
      <c r="J196" s="466">
        <v>0.62592622134037912</v>
      </c>
      <c r="K196" s="355"/>
      <c r="L196" s="355"/>
      <c r="M196" s="355"/>
    </row>
    <row r="197" spans="1:22">
      <c r="A197" s="467" t="s">
        <v>592</v>
      </c>
      <c r="B197" s="472">
        <v>5903.7976366930016</v>
      </c>
      <c r="C197" s="472">
        <v>6076.5395623849945</v>
      </c>
      <c r="D197" s="472">
        <v>2509.3328292910014</v>
      </c>
      <c r="E197" s="472">
        <v>6338.1240104176941</v>
      </c>
      <c r="F197" s="472">
        <v>6434.8559396955197</v>
      </c>
      <c r="G197" s="472">
        <v>6648.8648685072094</v>
      </c>
      <c r="H197" s="472">
        <v>6920.3214620554681</v>
      </c>
      <c r="I197" s="472">
        <v>7224.7199661410759</v>
      </c>
      <c r="J197" s="472">
        <v>7417.5780659631846</v>
      </c>
      <c r="K197" s="355"/>
      <c r="L197" s="355"/>
      <c r="M197" s="355"/>
    </row>
    <row r="198" spans="1:22">
      <c r="A198" s="237" t="s">
        <v>589</v>
      </c>
      <c r="B198" s="469"/>
      <c r="C198" s="469"/>
      <c r="D198" s="470">
        <f t="shared" ref="D198:J198" si="61">D197/$C$197</f>
        <v>0.41295424863589758</v>
      </c>
      <c r="E198" s="470">
        <f t="shared" si="61"/>
        <v>1.0430482588563992</v>
      </c>
      <c r="F198" s="470">
        <f t="shared" si="61"/>
        <v>1.0589671759118588</v>
      </c>
      <c r="G198" s="470">
        <f t="shared" si="61"/>
        <v>1.0941860577465872</v>
      </c>
      <c r="H198" s="470">
        <f t="shared" si="61"/>
        <v>1.1388589494082544</v>
      </c>
      <c r="I198" s="470">
        <f t="shared" si="61"/>
        <v>1.1889530039207759</v>
      </c>
      <c r="J198" s="470">
        <f t="shared" si="61"/>
        <v>1.2206911499234678</v>
      </c>
      <c r="K198" s="473"/>
      <c r="L198" s="355"/>
      <c r="M198" s="355"/>
    </row>
    <row r="199" spans="1:22">
      <c r="A199" s="533" t="s">
        <v>590</v>
      </c>
      <c r="B199" s="534"/>
      <c r="C199" s="534"/>
      <c r="D199" s="534"/>
      <c r="E199" s="534"/>
      <c r="F199" s="534"/>
      <c r="G199" s="534"/>
      <c r="H199" s="534"/>
      <c r="I199" s="534"/>
      <c r="J199" s="535"/>
      <c r="K199" s="355"/>
      <c r="L199" s="355"/>
      <c r="M199" s="355"/>
    </row>
    <row r="200" spans="1:22">
      <c r="A200" s="355"/>
      <c r="B200" s="355"/>
      <c r="C200" s="355"/>
      <c r="D200" s="355"/>
      <c r="E200" s="355"/>
      <c r="F200" s="355"/>
      <c r="G200" s="355"/>
      <c r="H200" s="355"/>
      <c r="I200" s="355"/>
      <c r="J200" s="355"/>
      <c r="K200" s="355"/>
      <c r="L200" s="355"/>
      <c r="M200" s="355"/>
    </row>
    <row r="201" spans="1:22">
      <c r="A201" s="436" t="s">
        <v>577</v>
      </c>
      <c r="B201" s="462">
        <v>2019</v>
      </c>
      <c r="C201" s="462">
        <v>2020</v>
      </c>
      <c r="D201" s="462">
        <v>2025</v>
      </c>
      <c r="E201" s="462">
        <v>2030</v>
      </c>
      <c r="F201" s="462">
        <v>2035</v>
      </c>
      <c r="G201" s="462">
        <v>2040</v>
      </c>
      <c r="H201" s="462">
        <v>2045</v>
      </c>
      <c r="I201" s="462">
        <v>2050</v>
      </c>
      <c r="J201" s="355"/>
      <c r="K201" s="355"/>
      <c r="L201" s="355"/>
      <c r="M201" s="355"/>
    </row>
    <row r="202" spans="1:22">
      <c r="A202" s="439" t="s">
        <v>591</v>
      </c>
      <c r="B202" s="460">
        <f>F184</f>
        <v>382.00390908166673</v>
      </c>
      <c r="C202" s="460">
        <f>G184</f>
        <v>177.5498427511111</v>
      </c>
      <c r="D202" s="460">
        <f t="shared" ref="D202:I202" si="62">$B$202*E198</f>
        <v>398.4485122439707</v>
      </c>
      <c r="E202" s="460">
        <f t="shared" si="62"/>
        <v>404.52960078750311</v>
      </c>
      <c r="F202" s="460">
        <f t="shared" si="62"/>
        <v>417.98335132185463</v>
      </c>
      <c r="G202" s="460">
        <f t="shared" si="62"/>
        <v>435.0485705665933</v>
      </c>
      <c r="H202" s="460">
        <f t="shared" si="62"/>
        <v>454.1846952121266</v>
      </c>
      <c r="I202" s="460">
        <f t="shared" si="62"/>
        <v>466.30879105215962</v>
      </c>
      <c r="J202" s="355"/>
      <c r="K202" s="355"/>
      <c r="L202" s="355"/>
      <c r="M202" s="355"/>
    </row>
    <row r="203" spans="1:22">
      <c r="A203" s="439" t="s">
        <v>593</v>
      </c>
      <c r="B203" s="460">
        <f>F183</f>
        <v>182.4637006805556</v>
      </c>
      <c r="C203" s="460">
        <f>G183</f>
        <v>120.09738726944451</v>
      </c>
      <c r="D203" s="460">
        <f t="shared" ref="D203:I203" si="63">$B$203*E191</f>
        <v>190.35728867027584</v>
      </c>
      <c r="E203" s="460">
        <f t="shared" si="63"/>
        <v>194.05439560557994</v>
      </c>
      <c r="F203" s="460">
        <f t="shared" si="63"/>
        <v>201.87379378717506</v>
      </c>
      <c r="G203" s="460">
        <f t="shared" si="63"/>
        <v>211.45075426277742</v>
      </c>
      <c r="H203" s="460">
        <f t="shared" si="63"/>
        <v>221.14708974599085</v>
      </c>
      <c r="I203" s="460">
        <f t="shared" si="63"/>
        <v>227.25604989946922</v>
      </c>
      <c r="J203" s="355"/>
      <c r="K203" s="355"/>
      <c r="L203" s="355"/>
      <c r="M203" s="355"/>
    </row>
    <row r="204" spans="1:22">
      <c r="A204" s="532" t="s">
        <v>594</v>
      </c>
      <c r="B204" s="532"/>
      <c r="C204" s="532"/>
      <c r="D204" s="532"/>
      <c r="E204" s="532"/>
      <c r="F204" s="532"/>
      <c r="G204" s="532"/>
      <c r="H204" s="532"/>
      <c r="I204" s="532"/>
      <c r="J204" s="355"/>
      <c r="K204" s="355"/>
      <c r="L204" s="355"/>
      <c r="M204" s="355"/>
    </row>
    <row r="207" spans="1:22">
      <c r="A207" s="531" t="s">
        <v>625</v>
      </c>
      <c r="B207" s="531"/>
      <c r="C207" s="531"/>
      <c r="D207" s="531"/>
      <c r="E207" s="531"/>
      <c r="F207" s="531"/>
      <c r="G207" s="531"/>
      <c r="H207" s="531"/>
      <c r="I207" s="531"/>
      <c r="J207" s="531"/>
      <c r="K207" s="531"/>
      <c r="L207" s="488"/>
      <c r="M207" s="488"/>
      <c r="N207" s="488"/>
      <c r="O207" s="488"/>
      <c r="P207" s="488"/>
      <c r="Q207" s="488"/>
      <c r="R207" s="488"/>
      <c r="S207" s="488"/>
      <c r="T207" s="488"/>
      <c r="U207" s="488"/>
      <c r="V207" s="488"/>
    </row>
    <row r="208" spans="1:22">
      <c r="A208" s="488"/>
      <c r="B208" s="488"/>
      <c r="C208" s="488"/>
      <c r="D208" s="488"/>
      <c r="E208" s="488"/>
      <c r="F208" s="488"/>
      <c r="G208" s="488"/>
      <c r="H208" s="488"/>
      <c r="I208" s="488"/>
      <c r="J208" s="488"/>
      <c r="K208" s="488"/>
      <c r="L208" s="488"/>
      <c r="M208" s="488"/>
      <c r="N208" s="488"/>
      <c r="O208" s="488"/>
      <c r="P208" s="488"/>
      <c r="Q208" s="488"/>
      <c r="R208" s="488"/>
      <c r="S208" s="488"/>
      <c r="T208" s="488"/>
      <c r="U208" s="488"/>
      <c r="V208" s="488"/>
    </row>
    <row r="209" spans="1:22">
      <c r="A209" s="436" t="s">
        <v>577</v>
      </c>
      <c r="B209" s="438" t="s">
        <v>152</v>
      </c>
      <c r="C209" s="438" t="s">
        <v>153</v>
      </c>
      <c r="D209" s="438" t="s">
        <v>154</v>
      </c>
      <c r="E209" s="438" t="s">
        <v>578</v>
      </c>
      <c r="F209" s="438" t="s">
        <v>579</v>
      </c>
      <c r="G209" s="438" t="s">
        <v>580</v>
      </c>
      <c r="H209" s="438" t="s">
        <v>581</v>
      </c>
      <c r="I209" s="488"/>
      <c r="J209" s="488"/>
      <c r="K209" s="488"/>
      <c r="L209" s="488"/>
      <c r="M209" s="488"/>
      <c r="N209" s="488"/>
      <c r="O209" s="488"/>
      <c r="P209" s="488"/>
      <c r="Q209" s="488"/>
      <c r="R209" s="488"/>
      <c r="S209" s="488"/>
      <c r="T209" s="488"/>
      <c r="U209" s="488"/>
      <c r="V209" s="488"/>
    </row>
    <row r="210" spans="1:22">
      <c r="A210" s="439" t="s">
        <v>627</v>
      </c>
      <c r="B210" s="474"/>
      <c r="C210" s="474"/>
      <c r="D210" s="474"/>
      <c r="E210" s="474"/>
      <c r="F210" s="474"/>
      <c r="G210" s="474"/>
      <c r="H210" s="474"/>
      <c r="I210" s="488"/>
      <c r="J210" s="488"/>
      <c r="K210" s="488"/>
      <c r="L210" s="488"/>
      <c r="M210" s="488"/>
      <c r="N210" s="488"/>
      <c r="O210" s="488"/>
      <c r="P210" s="488"/>
      <c r="Q210" s="488"/>
      <c r="R210" s="488"/>
      <c r="S210" s="488"/>
      <c r="T210" s="488"/>
      <c r="U210" s="488"/>
      <c r="V210" s="488"/>
    </row>
    <row r="211" spans="1:22">
      <c r="A211" s="488" t="s">
        <v>582</v>
      </c>
      <c r="B211" s="474"/>
      <c r="C211" s="474"/>
      <c r="D211" s="474"/>
      <c r="E211" s="474"/>
      <c r="F211" s="474"/>
      <c r="G211" s="474"/>
      <c r="H211" s="474"/>
      <c r="I211" s="488"/>
      <c r="J211" s="488"/>
      <c r="K211" s="488"/>
      <c r="L211" s="488"/>
      <c r="M211" s="488"/>
      <c r="N211" s="488"/>
      <c r="O211" s="488"/>
      <c r="P211" s="488"/>
      <c r="Q211" s="488"/>
      <c r="R211" s="488"/>
      <c r="S211" s="488"/>
      <c r="T211" s="488"/>
      <c r="U211" s="488"/>
      <c r="V211" s="488"/>
    </row>
    <row r="212" spans="1:22">
      <c r="A212" s="439" t="s">
        <v>628</v>
      </c>
      <c r="B212" s="460">
        <f>B210*44/3600</f>
        <v>0</v>
      </c>
      <c r="C212" s="460">
        <f t="shared" ref="C212:H213" si="64">C210*44/3600</f>
        <v>0</v>
      </c>
      <c r="D212" s="460">
        <f t="shared" si="64"/>
        <v>0</v>
      </c>
      <c r="E212" s="460">
        <f t="shared" si="64"/>
        <v>0</v>
      </c>
      <c r="F212" s="460">
        <f>6.2*11.63</f>
        <v>72.106000000000009</v>
      </c>
      <c r="G212" s="460">
        <f t="shared" ref="G212:K213" si="65">G210*44/3600</f>
        <v>0</v>
      </c>
      <c r="H212" s="460">
        <f t="shared" si="65"/>
        <v>0</v>
      </c>
      <c r="I212" s="488"/>
      <c r="J212" s="488"/>
      <c r="K212" s="488"/>
      <c r="L212" s="488"/>
      <c r="M212" s="488"/>
      <c r="N212" s="488"/>
      <c r="O212" s="488"/>
      <c r="P212" s="488"/>
      <c r="Q212" s="488"/>
      <c r="R212" s="488"/>
      <c r="S212" s="488"/>
      <c r="T212" s="488"/>
      <c r="U212" s="488"/>
      <c r="V212" s="488"/>
    </row>
    <row r="213" spans="1:22">
      <c r="A213" s="237" t="s">
        <v>583</v>
      </c>
      <c r="B213" s="460">
        <f>B211*44/3600</f>
        <v>0</v>
      </c>
      <c r="C213" s="460">
        <f t="shared" si="64"/>
        <v>0</v>
      </c>
      <c r="D213" s="460">
        <f t="shared" si="64"/>
        <v>0</v>
      </c>
      <c r="E213" s="460">
        <f t="shared" si="64"/>
        <v>0</v>
      </c>
      <c r="F213" s="460">
        <v>173.2</v>
      </c>
      <c r="G213" s="460">
        <f t="shared" si="65"/>
        <v>0</v>
      </c>
      <c r="H213" s="460">
        <f t="shared" si="65"/>
        <v>0</v>
      </c>
      <c r="I213" s="488"/>
      <c r="J213" s="488"/>
      <c r="K213" s="488"/>
      <c r="L213" s="488"/>
      <c r="M213" s="488"/>
      <c r="N213" s="488"/>
      <c r="O213" s="488"/>
      <c r="P213" s="488"/>
      <c r="Q213" s="488"/>
      <c r="R213" s="488"/>
      <c r="S213" s="488"/>
      <c r="T213" s="488"/>
      <c r="U213" s="488"/>
      <c r="V213" s="488"/>
    </row>
    <row r="214" spans="1:22">
      <c r="A214" s="532" t="s">
        <v>584</v>
      </c>
      <c r="B214" s="532"/>
      <c r="C214" s="532"/>
      <c r="D214" s="532"/>
      <c r="E214" s="532"/>
      <c r="F214" s="532"/>
      <c r="G214" s="532"/>
      <c r="H214" s="532"/>
      <c r="I214" s="488"/>
      <c r="J214" s="488"/>
      <c r="K214" s="488"/>
      <c r="L214" s="488"/>
      <c r="M214" s="488"/>
      <c r="N214" s="488"/>
      <c r="O214" s="488"/>
      <c r="P214" s="488"/>
      <c r="Q214" s="488"/>
      <c r="R214" s="488"/>
      <c r="S214" s="488"/>
      <c r="T214" s="488"/>
      <c r="U214" s="488"/>
      <c r="V214" s="488"/>
    </row>
    <row r="215" spans="1:22">
      <c r="A215" s="488"/>
      <c r="B215" s="488"/>
      <c r="C215" s="488"/>
      <c r="D215" s="488"/>
      <c r="E215" s="488"/>
      <c r="F215" s="488"/>
      <c r="G215" s="488"/>
      <c r="H215" s="488"/>
      <c r="I215" s="488"/>
      <c r="J215" s="488"/>
      <c r="K215" s="488"/>
      <c r="L215" s="488"/>
      <c r="M215" s="488"/>
      <c r="N215" s="488"/>
      <c r="O215" s="488"/>
      <c r="P215" s="488"/>
      <c r="Q215" s="488"/>
      <c r="R215" s="488"/>
      <c r="S215" s="488"/>
      <c r="T215" s="488"/>
      <c r="U215" s="488"/>
      <c r="V215" s="488"/>
    </row>
    <row r="216" spans="1:22">
      <c r="A216" s="461" t="s">
        <v>585</v>
      </c>
      <c r="B216" s="462">
        <v>2018</v>
      </c>
      <c r="C216" s="462">
        <v>2019</v>
      </c>
      <c r="D216" s="462">
        <v>2020</v>
      </c>
      <c r="E216" s="462">
        <v>2025</v>
      </c>
      <c r="F216" s="462">
        <v>2030</v>
      </c>
      <c r="G216" s="462">
        <v>2035</v>
      </c>
      <c r="H216" s="462">
        <v>2040</v>
      </c>
      <c r="I216" s="462">
        <v>2045</v>
      </c>
      <c r="J216" s="462">
        <v>2050</v>
      </c>
      <c r="K216" s="488"/>
      <c r="L216" s="488"/>
      <c r="M216" s="488"/>
      <c r="N216" s="488"/>
      <c r="O216" s="488"/>
      <c r="P216" s="488"/>
      <c r="Q216" s="488"/>
      <c r="R216" s="488"/>
      <c r="S216" s="488"/>
      <c r="T216" s="488"/>
      <c r="U216" s="488"/>
      <c r="V216" s="488"/>
    </row>
    <row r="217" spans="1:22">
      <c r="A217" s="463" t="s">
        <v>586</v>
      </c>
      <c r="B217" s="464"/>
      <c r="C217" s="464">
        <v>1</v>
      </c>
      <c r="D217" s="464">
        <v>0.53619199286752905</v>
      </c>
      <c r="E217" s="464">
        <v>1.1205514631334093</v>
      </c>
      <c r="F217" s="464">
        <v>1.2011364029665057</v>
      </c>
      <c r="G217" s="464">
        <v>1.2830902553383599</v>
      </c>
      <c r="H217" s="464">
        <v>1.4166809438596295</v>
      </c>
      <c r="I217" s="464">
        <v>1.6138253541868293</v>
      </c>
      <c r="J217" s="464">
        <v>1.7359777486040251</v>
      </c>
      <c r="K217" s="488"/>
      <c r="L217" s="488"/>
      <c r="M217" s="488"/>
      <c r="N217" s="488"/>
      <c r="O217" s="488"/>
      <c r="P217" s="488"/>
      <c r="Q217" s="488"/>
      <c r="R217" s="488"/>
      <c r="S217" s="488"/>
      <c r="T217" s="488"/>
      <c r="U217" s="488"/>
      <c r="V217" s="488"/>
    </row>
    <row r="218" spans="1:22">
      <c r="A218" s="465" t="s">
        <v>587</v>
      </c>
      <c r="B218" s="466"/>
      <c r="C218" s="466">
        <v>1</v>
      </c>
      <c r="D218" s="466">
        <v>0.98499999999999999</v>
      </c>
      <c r="E218" s="466">
        <v>0.91330825483014066</v>
      </c>
      <c r="F218" s="466">
        <v>0.84683448562525598</v>
      </c>
      <c r="G218" s="466">
        <v>0.78519890984404295</v>
      </c>
      <c r="H218" s="466">
        <v>0.72804938684689524</v>
      </c>
      <c r="I218" s="466">
        <v>0.67505940602161607</v>
      </c>
      <c r="J218" s="466">
        <v>0.62592622134037912</v>
      </c>
      <c r="K218" s="488"/>
      <c r="L218" s="488"/>
      <c r="M218" s="488"/>
      <c r="N218" s="488"/>
      <c r="O218" s="488"/>
      <c r="P218" s="488"/>
      <c r="Q218" s="488"/>
      <c r="R218" s="488"/>
      <c r="S218" s="488"/>
      <c r="T218" s="488"/>
      <c r="U218" s="488"/>
      <c r="V218" s="488"/>
    </row>
    <row r="219" spans="1:22">
      <c r="A219" s="467" t="s">
        <v>588</v>
      </c>
      <c r="B219" s="468">
        <v>0.85454475589700007</v>
      </c>
      <c r="C219" s="468">
        <v>0.87386362250900007</v>
      </c>
      <c r="D219" s="468">
        <v>0.5968396748610002</v>
      </c>
      <c r="E219" s="468">
        <v>0.89623424898382609</v>
      </c>
      <c r="F219" s="468">
        <v>0.89213817011298491</v>
      </c>
      <c r="G219" s="468">
        <v>0.88431577054173738</v>
      </c>
      <c r="H219" s="468">
        <v>0.9061013102490989</v>
      </c>
      <c r="I219" s="468">
        <v>0.95814704756053781</v>
      </c>
      <c r="J219" s="468">
        <v>0.95629086955001508</v>
      </c>
      <c r="K219" s="488"/>
      <c r="L219" s="488"/>
      <c r="M219" s="488"/>
      <c r="N219" s="488"/>
      <c r="O219" s="488"/>
      <c r="P219" s="488"/>
      <c r="Q219" s="488"/>
      <c r="R219" s="488"/>
      <c r="S219" s="488"/>
      <c r="T219" s="488"/>
      <c r="U219" s="488"/>
      <c r="V219" s="488"/>
    </row>
    <row r="220" spans="1:22">
      <c r="A220" s="237" t="s">
        <v>589</v>
      </c>
      <c r="B220" s="469"/>
      <c r="C220" s="469"/>
      <c r="D220" s="470">
        <f>D219/$C$219</f>
        <v>0.68298949571487999</v>
      </c>
      <c r="E220" s="470">
        <f t="shared" ref="E220:J220" si="66">E219/$C$219</f>
        <v>1.0255996769960471</v>
      </c>
      <c r="F220" s="470">
        <f t="shared" si="66"/>
        <v>1.0209123564973626</v>
      </c>
      <c r="G220" s="470">
        <f t="shared" si="66"/>
        <v>1.0119608457927651</v>
      </c>
      <c r="H220" s="470">
        <f t="shared" si="66"/>
        <v>1.0368909826541806</v>
      </c>
      <c r="I220" s="470">
        <f t="shared" si="66"/>
        <v>1.096449174540012</v>
      </c>
      <c r="J220" s="470">
        <f t="shared" si="66"/>
        <v>1.0943250696308349</v>
      </c>
      <c r="K220" s="488"/>
      <c r="L220" s="488"/>
      <c r="M220" s="488"/>
      <c r="N220" s="488"/>
      <c r="O220" s="488"/>
      <c r="P220" s="488"/>
      <c r="Q220" s="488"/>
      <c r="R220" s="488"/>
      <c r="S220" s="488"/>
      <c r="T220" s="488"/>
      <c r="U220" s="488"/>
      <c r="V220" s="488"/>
    </row>
    <row r="221" spans="1:22">
      <c r="A221" s="533" t="s">
        <v>590</v>
      </c>
      <c r="B221" s="534"/>
      <c r="C221" s="534"/>
      <c r="D221" s="534"/>
      <c r="E221" s="534"/>
      <c r="F221" s="534"/>
      <c r="G221" s="534"/>
      <c r="H221" s="534"/>
      <c r="I221" s="534"/>
      <c r="J221" s="535"/>
      <c r="K221" s="488"/>
      <c r="L221" s="488"/>
      <c r="M221" s="488"/>
      <c r="N221" s="488"/>
      <c r="O221" s="488"/>
      <c r="P221" s="488"/>
      <c r="Q221" s="488"/>
      <c r="R221" s="488"/>
      <c r="S221" s="488"/>
      <c r="T221" s="488"/>
      <c r="U221" s="488"/>
      <c r="V221" s="488"/>
    </row>
    <row r="222" spans="1:22">
      <c r="A222" s="488"/>
      <c r="B222" s="488"/>
      <c r="C222" s="488"/>
      <c r="D222" s="488"/>
      <c r="E222" s="488"/>
      <c r="F222" s="488"/>
      <c r="G222" s="488"/>
      <c r="H222" s="488"/>
      <c r="I222" s="488"/>
      <c r="J222" s="488"/>
      <c r="K222" s="488"/>
      <c r="L222" s="488"/>
      <c r="M222" s="488"/>
      <c r="N222" s="488"/>
      <c r="O222" s="488"/>
      <c r="P222" s="488"/>
      <c r="Q222" s="488"/>
      <c r="R222" s="488"/>
      <c r="S222" s="488"/>
      <c r="T222" s="488"/>
      <c r="U222" s="488"/>
      <c r="V222" s="488"/>
    </row>
    <row r="223" spans="1:22">
      <c r="A223" s="461" t="s">
        <v>591</v>
      </c>
      <c r="B223" s="462">
        <v>2018</v>
      </c>
      <c r="C223" s="462">
        <v>2019</v>
      </c>
      <c r="D223" s="462">
        <v>2020</v>
      </c>
      <c r="E223" s="462">
        <v>2025</v>
      </c>
      <c r="F223" s="462">
        <v>2030</v>
      </c>
      <c r="G223" s="462">
        <v>2035</v>
      </c>
      <c r="H223" s="462">
        <v>2040</v>
      </c>
      <c r="I223" s="462">
        <v>2045</v>
      </c>
      <c r="J223" s="462">
        <v>2050</v>
      </c>
      <c r="K223" s="488"/>
      <c r="L223" s="488"/>
      <c r="M223" s="488"/>
      <c r="N223" s="488"/>
      <c r="O223" s="488"/>
      <c r="P223" s="488"/>
      <c r="Q223" s="488"/>
      <c r="R223" s="488"/>
      <c r="S223" s="488"/>
      <c r="T223" s="488"/>
      <c r="U223" s="488"/>
      <c r="V223" s="488"/>
    </row>
    <row r="224" spans="1:22">
      <c r="A224" s="463" t="s">
        <v>586</v>
      </c>
      <c r="B224" s="471"/>
      <c r="C224" s="471">
        <v>1</v>
      </c>
      <c r="D224" s="471">
        <v>0.44563782003342767</v>
      </c>
      <c r="E224" s="471">
        <v>1.1289550985748806</v>
      </c>
      <c r="F224" s="471">
        <v>1.2093121833483269</v>
      </c>
      <c r="G224" s="471">
        <v>1.2673191125786336</v>
      </c>
      <c r="H224" s="471">
        <v>1.3796522178398569</v>
      </c>
      <c r="I224" s="471">
        <v>1.5594235801445901</v>
      </c>
      <c r="J224" s="471">
        <v>1.6539238172349704</v>
      </c>
      <c r="K224" s="488"/>
      <c r="L224" s="488"/>
      <c r="M224" s="570" t="s">
        <v>585</v>
      </c>
      <c r="N224" s="225">
        <v>2018</v>
      </c>
      <c r="O224" s="225">
        <v>2019</v>
      </c>
      <c r="P224" s="225">
        <v>2020</v>
      </c>
      <c r="Q224" s="225">
        <v>2025</v>
      </c>
      <c r="R224" s="225">
        <v>2030</v>
      </c>
      <c r="S224" s="225">
        <v>2035</v>
      </c>
      <c r="T224" s="225">
        <v>2040</v>
      </c>
      <c r="U224" s="225">
        <v>2045</v>
      </c>
      <c r="V224" s="225">
        <v>2050</v>
      </c>
    </row>
    <row r="225" spans="1:22">
      <c r="A225" s="465" t="s">
        <v>587</v>
      </c>
      <c r="B225" s="466"/>
      <c r="C225" s="466">
        <v>1</v>
      </c>
      <c r="D225" s="466">
        <v>0.98499999999999999</v>
      </c>
      <c r="E225" s="466">
        <v>0.91330825483014066</v>
      </c>
      <c r="F225" s="466">
        <v>0.84683448562525598</v>
      </c>
      <c r="G225" s="466">
        <v>0.78519890984404295</v>
      </c>
      <c r="H225" s="466">
        <v>0.72804938684689524</v>
      </c>
      <c r="I225" s="466">
        <v>0.67505940602161607</v>
      </c>
      <c r="J225" s="466">
        <v>0.62592622134037912</v>
      </c>
      <c r="K225" s="488"/>
      <c r="L225" s="488"/>
      <c r="M225" s="427" t="s">
        <v>629</v>
      </c>
      <c r="N225" s="225">
        <v>0</v>
      </c>
      <c r="O225" s="225">
        <v>0</v>
      </c>
      <c r="P225" s="225">
        <v>0</v>
      </c>
      <c r="Q225" s="225">
        <v>17.92468497967652</v>
      </c>
      <c r="R225" s="225">
        <v>38.361941314858349</v>
      </c>
      <c r="S225" s="225">
        <v>132.64736558126063</v>
      </c>
      <c r="T225" s="225">
        <v>217.46431445978376</v>
      </c>
      <c r="U225" s="225">
        <v>258.69970284134524</v>
      </c>
      <c r="V225" s="225">
        <v>334.70180434250528</v>
      </c>
    </row>
    <row r="226" spans="1:22">
      <c r="A226" s="467" t="s">
        <v>592</v>
      </c>
      <c r="B226" s="472">
        <v>5.9037976366930014</v>
      </c>
      <c r="C226" s="472">
        <v>6.0765395623849949</v>
      </c>
      <c r="D226" s="472">
        <v>2.5093328292910013</v>
      </c>
      <c r="E226" s="472">
        <v>6.2692560140969507</v>
      </c>
      <c r="F226" s="472">
        <v>6.2306542769309265</v>
      </c>
      <c r="G226" s="472">
        <v>6.0597237229090171</v>
      </c>
      <c r="H226" s="472">
        <v>6.122680233842269</v>
      </c>
      <c r="I226" s="472">
        <v>6.4227513885224141</v>
      </c>
      <c r="J226" s="472">
        <v>6.3233843573366162</v>
      </c>
      <c r="K226" s="488"/>
      <c r="L226" s="488"/>
      <c r="M226" s="427" t="s">
        <v>630</v>
      </c>
      <c r="N226" s="225">
        <v>0</v>
      </c>
      <c r="O226" s="225">
        <v>0</v>
      </c>
      <c r="P226" s="225">
        <v>0</v>
      </c>
      <c r="Q226" s="225">
        <v>0</v>
      </c>
      <c r="R226" s="225">
        <v>6.2449671907908977</v>
      </c>
      <c r="S226" s="225">
        <v>44.215788527086893</v>
      </c>
      <c r="T226" s="225">
        <v>72.488104819927912</v>
      </c>
      <c r="U226" s="225">
        <v>105.39617523165917</v>
      </c>
      <c r="V226" s="225">
        <v>267.7614434740043</v>
      </c>
    </row>
    <row r="227" spans="1:22">
      <c r="A227" s="237" t="s">
        <v>589</v>
      </c>
      <c r="B227" s="469"/>
      <c r="C227" s="469"/>
      <c r="D227" s="470">
        <f>D226/$C$226</f>
        <v>0.41295424863589758</v>
      </c>
      <c r="E227" s="470">
        <f t="shared" ref="E227:J227" si="67">E226/$C$226</f>
        <v>1.0317148353488734</v>
      </c>
      <c r="F227" s="470">
        <f t="shared" si="67"/>
        <v>1.0253622498403421</v>
      </c>
      <c r="G227" s="470">
        <f t="shared" si="67"/>
        <v>0.99723266189525506</v>
      </c>
      <c r="H227" s="470">
        <f t="shared" si="67"/>
        <v>1.0075932479305976</v>
      </c>
      <c r="I227" s="470">
        <f t="shared" si="67"/>
        <v>1.0569751620281616</v>
      </c>
      <c r="J227" s="470">
        <f t="shared" si="67"/>
        <v>1.0406225932403437</v>
      </c>
      <c r="K227" s="473"/>
      <c r="L227" s="488"/>
      <c r="M227" s="427" t="s">
        <v>631</v>
      </c>
      <c r="N227" s="225">
        <v>0</v>
      </c>
      <c r="O227" s="225">
        <v>0</v>
      </c>
      <c r="P227" s="225">
        <v>0</v>
      </c>
      <c r="Q227" s="225">
        <v>0</v>
      </c>
      <c r="R227" s="225">
        <v>0</v>
      </c>
      <c r="S227" s="225">
        <v>0</v>
      </c>
      <c r="T227" s="225">
        <v>0</v>
      </c>
      <c r="U227" s="225">
        <v>0</v>
      </c>
      <c r="V227" s="225">
        <v>0</v>
      </c>
    </row>
    <row r="228" spans="1:22">
      <c r="A228" s="533" t="s">
        <v>590</v>
      </c>
      <c r="B228" s="534"/>
      <c r="C228" s="534"/>
      <c r="D228" s="534"/>
      <c r="E228" s="534"/>
      <c r="F228" s="534"/>
      <c r="G228" s="534"/>
      <c r="H228" s="534"/>
      <c r="I228" s="534"/>
      <c r="J228" s="535"/>
      <c r="K228" s="488"/>
      <c r="L228" s="488"/>
      <c r="M228" s="427" t="s">
        <v>632</v>
      </c>
      <c r="N228" s="225">
        <v>854.54475589700007</v>
      </c>
      <c r="O228" s="225">
        <v>873.86362250900004</v>
      </c>
      <c r="P228" s="225">
        <v>596.83967486100016</v>
      </c>
      <c r="Q228" s="225">
        <v>878.30956400414959</v>
      </c>
      <c r="R228" s="225">
        <v>847.53126160733575</v>
      </c>
      <c r="S228" s="225">
        <v>707.45261643339018</v>
      </c>
      <c r="T228" s="225">
        <v>616.14889096938725</v>
      </c>
      <c r="U228" s="225">
        <v>594.05116948753334</v>
      </c>
      <c r="V228" s="225">
        <v>353.82762173350568</v>
      </c>
    </row>
    <row r="229" spans="1:22">
      <c r="A229" s="488"/>
      <c r="B229" s="488"/>
      <c r="C229" s="488"/>
      <c r="D229" s="488"/>
      <c r="E229" s="488"/>
      <c r="F229" s="488"/>
      <c r="G229" s="488"/>
      <c r="H229" s="488"/>
      <c r="I229" s="488"/>
      <c r="J229" s="488"/>
      <c r="K229" s="488"/>
      <c r="L229" s="488"/>
      <c r="M229" s="488" t="s">
        <v>633</v>
      </c>
      <c r="N229" s="225">
        <v>854.54475589700007</v>
      </c>
      <c r="O229" s="225">
        <v>873.86362250900004</v>
      </c>
      <c r="P229" s="225">
        <v>596.83967486100016</v>
      </c>
      <c r="Q229" s="225">
        <v>896.23424898382609</v>
      </c>
      <c r="R229" s="225">
        <v>892.13817011298488</v>
      </c>
      <c r="S229" s="225">
        <v>884.31577054173738</v>
      </c>
      <c r="T229" s="225">
        <v>906.1013102490989</v>
      </c>
      <c r="U229" s="225">
        <v>958.14704756053777</v>
      </c>
      <c r="V229" s="225">
        <v>956.29086955001503</v>
      </c>
    </row>
    <row r="230" spans="1:22">
      <c r="A230" s="436" t="s">
        <v>577</v>
      </c>
      <c r="B230" s="462">
        <v>2019</v>
      </c>
      <c r="C230" s="462">
        <v>2020</v>
      </c>
      <c r="D230" s="462">
        <v>2025</v>
      </c>
      <c r="E230" s="462">
        <v>2030</v>
      </c>
      <c r="F230" s="462">
        <v>2035</v>
      </c>
      <c r="G230" s="462">
        <v>2040</v>
      </c>
      <c r="H230" s="462">
        <v>2045</v>
      </c>
      <c r="I230" s="462">
        <v>2050</v>
      </c>
      <c r="J230" s="488"/>
      <c r="K230" s="488"/>
      <c r="L230" s="488"/>
      <c r="M230" s="488"/>
      <c r="N230" s="488">
        <f t="shared" ref="N230:P230" si="68">N225/N229</f>
        <v>0</v>
      </c>
      <c r="O230" s="488">
        <f t="shared" si="68"/>
        <v>0</v>
      </c>
      <c r="P230" s="488">
        <f t="shared" si="68"/>
        <v>0</v>
      </c>
      <c r="Q230" s="488">
        <f>Q225/Q229</f>
        <v>1.9999999999999997E-2</v>
      </c>
      <c r="R230" s="488">
        <f t="shared" ref="R230:V230" si="69">R225/R229</f>
        <v>4.2999999999999997E-2</v>
      </c>
      <c r="S230" s="488">
        <f t="shared" si="69"/>
        <v>0.15000000000000002</v>
      </c>
      <c r="T230" s="488">
        <f t="shared" si="69"/>
        <v>0.24000000000000002</v>
      </c>
      <c r="U230" s="488">
        <f t="shared" si="69"/>
        <v>0.27000000000000007</v>
      </c>
      <c r="V230" s="488">
        <f t="shared" si="69"/>
        <v>0.35000000000000003</v>
      </c>
    </row>
    <row r="231" spans="1:22">
      <c r="A231" s="439" t="s">
        <v>591</v>
      </c>
      <c r="B231" s="460">
        <f>F213</f>
        <v>173.2</v>
      </c>
      <c r="C231" s="460">
        <f>G213</f>
        <v>0</v>
      </c>
      <c r="D231" s="460">
        <f>$B$202*E227</f>
        <v>394.11910016081782</v>
      </c>
      <c r="E231" s="460">
        <f t="shared" ref="E231:I231" si="70">$B$202*F227</f>
        <v>391.69238766378328</v>
      </c>
      <c r="F231" s="460">
        <f t="shared" si="70"/>
        <v>380.94677510790353</v>
      </c>
      <c r="G231" s="460">
        <f t="shared" si="70"/>
        <v>384.90455947378126</v>
      </c>
      <c r="H231" s="460">
        <f t="shared" si="70"/>
        <v>403.76864369698581</v>
      </c>
      <c r="I231" s="460">
        <f t="shared" si="70"/>
        <v>397.52189849651251</v>
      </c>
      <c r="J231" s="488"/>
      <c r="K231" s="488"/>
      <c r="L231" s="488"/>
      <c r="M231" s="488"/>
      <c r="N231" s="488">
        <f t="shared" ref="N231:P231" si="71">N226/N229</f>
        <v>0</v>
      </c>
      <c r="O231" s="488">
        <f t="shared" si="71"/>
        <v>0</v>
      </c>
      <c r="P231" s="488">
        <f t="shared" si="71"/>
        <v>0</v>
      </c>
      <c r="Q231" s="488">
        <f>Q226/Q229</f>
        <v>0</v>
      </c>
      <c r="R231" s="488">
        <f t="shared" ref="R231:V231" si="72">R226/R229</f>
        <v>7.0000000000000036E-3</v>
      </c>
      <c r="S231" s="488">
        <f t="shared" si="72"/>
        <v>5.0000000000000031E-2</v>
      </c>
      <c r="T231" s="488">
        <f t="shared" si="72"/>
        <v>0.08</v>
      </c>
      <c r="U231" s="488">
        <f t="shared" si="72"/>
        <v>0.11000000000000001</v>
      </c>
      <c r="V231" s="488">
        <f t="shared" si="72"/>
        <v>0.28000000000000008</v>
      </c>
    </row>
    <row r="232" spans="1:22">
      <c r="A232" s="439" t="s">
        <v>634</v>
      </c>
      <c r="B232" s="460">
        <f>B231*O245</f>
        <v>0</v>
      </c>
      <c r="C232" s="460">
        <f t="shared" ref="C232:I232" si="73">C231*P245</f>
        <v>0</v>
      </c>
      <c r="D232" s="460">
        <f t="shared" si="73"/>
        <v>7.8823820032163567</v>
      </c>
      <c r="E232" s="460">
        <f t="shared" si="73"/>
        <v>16.842772669542683</v>
      </c>
      <c r="F232" s="460">
        <f t="shared" si="73"/>
        <v>57.142016266185529</v>
      </c>
      <c r="G232" s="460">
        <f t="shared" si="73"/>
        <v>92.377094273707513</v>
      </c>
      <c r="H232" s="460">
        <f t="shared" si="73"/>
        <v>109.01753379818615</v>
      </c>
      <c r="I232" s="460">
        <f t="shared" si="73"/>
        <v>139.13266447377939</v>
      </c>
      <c r="J232" s="488"/>
      <c r="K232" s="488"/>
      <c r="L232" s="488"/>
      <c r="M232" s="488"/>
      <c r="N232" s="488"/>
      <c r="O232" s="488"/>
      <c r="P232" s="488"/>
      <c r="Q232" s="488"/>
      <c r="R232" s="488"/>
      <c r="S232" s="488"/>
      <c r="T232" s="488"/>
      <c r="U232" s="488"/>
      <c r="V232" s="488"/>
    </row>
    <row r="233" spans="1:22">
      <c r="A233" s="439" t="s">
        <v>635</v>
      </c>
      <c r="B233" s="460">
        <f>B231*O246</f>
        <v>0</v>
      </c>
      <c r="C233" s="460">
        <f t="shared" ref="C233:I233" si="74">C231*P246</f>
        <v>0</v>
      </c>
      <c r="D233" s="460">
        <f t="shared" si="74"/>
        <v>0</v>
      </c>
      <c r="E233" s="460">
        <f t="shared" si="74"/>
        <v>2.7418467136464826</v>
      </c>
      <c r="F233" s="460">
        <f t="shared" si="74"/>
        <v>19.047338755395181</v>
      </c>
      <c r="G233" s="460">
        <f t="shared" si="74"/>
        <v>30.792364757902501</v>
      </c>
      <c r="H233" s="460">
        <f t="shared" si="74"/>
        <v>44.41455080666843</v>
      </c>
      <c r="I233" s="460">
        <f t="shared" si="74"/>
        <v>111.30613157902353</v>
      </c>
      <c r="J233" s="488"/>
      <c r="K233" s="488"/>
      <c r="L233" s="488"/>
      <c r="M233" s="488"/>
      <c r="N233" s="488">
        <f t="shared" ref="N233:P233" si="75">N228/N229</f>
        <v>1</v>
      </c>
      <c r="O233" s="488">
        <f t="shared" si="75"/>
        <v>1</v>
      </c>
      <c r="P233" s="488">
        <f t="shared" si="75"/>
        <v>1</v>
      </c>
      <c r="Q233" s="488">
        <f>Q228/Q229</f>
        <v>0.98</v>
      </c>
      <c r="R233" s="488">
        <f t="shared" ref="R233:V233" si="76">R228/R229</f>
        <v>0.95000000000000018</v>
      </c>
      <c r="S233" s="488">
        <f t="shared" si="76"/>
        <v>0.80000000000000027</v>
      </c>
      <c r="T233" s="488">
        <f t="shared" si="76"/>
        <v>0.68</v>
      </c>
      <c r="U233" s="488">
        <f t="shared" si="76"/>
        <v>0.61999999999999988</v>
      </c>
      <c r="V233" s="488">
        <f t="shared" si="76"/>
        <v>0.37000000000000011</v>
      </c>
    </row>
    <row r="234" spans="1:22">
      <c r="A234" s="439" t="s">
        <v>636</v>
      </c>
      <c r="B234" s="460">
        <f>B231*O247</f>
        <v>173.2</v>
      </c>
      <c r="C234" s="460">
        <f t="shared" ref="C234:I234" si="77">C231*P247</f>
        <v>0</v>
      </c>
      <c r="D234" s="460">
        <f t="shared" si="77"/>
        <v>386.23671815760139</v>
      </c>
      <c r="E234" s="460">
        <f t="shared" si="77"/>
        <v>372.10776828059409</v>
      </c>
      <c r="F234" s="460">
        <f t="shared" si="77"/>
        <v>303.98324047765311</v>
      </c>
      <c r="G234" s="460">
        <f t="shared" si="77"/>
        <v>257.91056699855176</v>
      </c>
      <c r="H234" s="460">
        <f t="shared" si="77"/>
        <v>241.25229916499643</v>
      </c>
      <c r="I234" s="460">
        <f t="shared" si="77"/>
        <v>128.99920493540742</v>
      </c>
      <c r="J234" s="488"/>
      <c r="K234" s="488"/>
      <c r="L234" s="488"/>
      <c r="M234" s="488"/>
      <c r="N234" s="488"/>
      <c r="O234" s="488"/>
      <c r="P234" s="488"/>
      <c r="Q234" s="488"/>
      <c r="R234" s="488"/>
      <c r="S234" s="488"/>
      <c r="T234" s="488"/>
      <c r="U234" s="488"/>
      <c r="V234" s="488"/>
    </row>
    <row r="235" spans="1:22">
      <c r="A235" s="439" t="s">
        <v>637</v>
      </c>
      <c r="B235" s="460">
        <f>F212</f>
        <v>72.106000000000009</v>
      </c>
      <c r="C235" s="460">
        <f>G212</f>
        <v>0</v>
      </c>
      <c r="D235" s="460">
        <f t="shared" ref="D235:I235" si="78">$B$203*E220</f>
        <v>187.13471248148124</v>
      </c>
      <c r="E235" s="460">
        <f t="shared" si="78"/>
        <v>186.27944663701544</v>
      </c>
      <c r="F235" s="460">
        <f t="shared" si="78"/>
        <v>184.64612086717298</v>
      </c>
      <c r="G235" s="460">
        <f t="shared" si="78"/>
        <v>189.19496589737957</v>
      </c>
      <c r="H235" s="460">
        <f t="shared" si="78"/>
        <v>200.06217399471103</v>
      </c>
      <c r="I235" s="460">
        <f t="shared" si="78"/>
        <v>199.67460195234884</v>
      </c>
      <c r="J235" s="488"/>
      <c r="K235" s="488"/>
      <c r="L235" s="488"/>
      <c r="M235" s="488"/>
      <c r="N235" s="488"/>
      <c r="O235" s="488"/>
      <c r="P235" s="488"/>
      <c r="Q235" s="488"/>
      <c r="R235" s="488"/>
      <c r="S235" s="488"/>
      <c r="T235" s="488"/>
      <c r="U235" s="488"/>
      <c r="V235" s="488"/>
    </row>
    <row r="236" spans="1:22">
      <c r="A236" s="439" t="s">
        <v>634</v>
      </c>
      <c r="B236" s="460">
        <f>B235*N230</f>
        <v>0</v>
      </c>
      <c r="C236" s="460">
        <f t="shared" ref="C236:I236" si="79">C235*O230</f>
        <v>0</v>
      </c>
      <c r="D236" s="460">
        <f t="shared" si="79"/>
        <v>0</v>
      </c>
      <c r="E236" s="460">
        <f t="shared" si="79"/>
        <v>3.7255889327403082</v>
      </c>
      <c r="F236" s="460">
        <f t="shared" si="79"/>
        <v>7.9397831972884374</v>
      </c>
      <c r="G236" s="460">
        <f t="shared" si="79"/>
        <v>28.379244884606941</v>
      </c>
      <c r="H236" s="460">
        <f t="shared" si="79"/>
        <v>48.014921758730651</v>
      </c>
      <c r="I236" s="460">
        <f t="shared" si="79"/>
        <v>53.912142527134201</v>
      </c>
      <c r="J236" s="488"/>
      <c r="K236" s="488"/>
      <c r="L236" s="488"/>
      <c r="M236" s="488"/>
      <c r="N236" s="488"/>
      <c r="O236" s="488"/>
      <c r="P236" s="488"/>
      <c r="Q236" s="488"/>
      <c r="R236" s="488"/>
      <c r="S236" s="488"/>
      <c r="T236" s="488"/>
      <c r="U236" s="488"/>
      <c r="V236" s="488"/>
    </row>
    <row r="237" spans="1:22">
      <c r="A237" s="439" t="s">
        <v>635</v>
      </c>
      <c r="B237" s="460">
        <f>B235*N231</f>
        <v>0</v>
      </c>
      <c r="C237" s="460">
        <f t="shared" ref="C237:I237" si="80">C235*O231</f>
        <v>0</v>
      </c>
      <c r="D237" s="460">
        <f t="shared" si="80"/>
        <v>0</v>
      </c>
      <c r="E237" s="460">
        <f t="shared" si="80"/>
        <v>0</v>
      </c>
      <c r="F237" s="460">
        <f t="shared" si="80"/>
        <v>1.2925228460702116</v>
      </c>
      <c r="G237" s="460">
        <f t="shared" si="80"/>
        <v>9.4597482948689837</v>
      </c>
      <c r="H237" s="460">
        <f t="shared" si="80"/>
        <v>16.004973919576884</v>
      </c>
      <c r="I237" s="460">
        <f t="shared" si="80"/>
        <v>21.964206214758374</v>
      </c>
      <c r="J237" s="488"/>
      <c r="K237" s="488"/>
      <c r="L237" s="488"/>
      <c r="M237" s="488"/>
      <c r="N237" s="488"/>
      <c r="O237" s="488"/>
      <c r="P237" s="488"/>
      <c r="Q237" s="488"/>
      <c r="R237" s="488"/>
      <c r="S237" s="488"/>
      <c r="T237" s="488"/>
      <c r="U237" s="488"/>
      <c r="V237" s="488"/>
    </row>
    <row r="238" spans="1:22">
      <c r="A238" s="439" t="s">
        <v>636</v>
      </c>
      <c r="B238" s="460">
        <f>B235*N233</f>
        <v>72.106000000000009</v>
      </c>
      <c r="C238" s="460">
        <f t="shared" ref="C238:I238" si="81">C235*O233</f>
        <v>0</v>
      </c>
      <c r="D238" s="460">
        <f t="shared" si="81"/>
        <v>187.13471248148124</v>
      </c>
      <c r="E238" s="460">
        <f t="shared" si="81"/>
        <v>182.55385770427512</v>
      </c>
      <c r="F238" s="460">
        <f t="shared" si="81"/>
        <v>175.41381482381436</v>
      </c>
      <c r="G238" s="460">
        <f t="shared" si="81"/>
        <v>151.35597271790371</v>
      </c>
      <c r="H238" s="460">
        <f t="shared" si="81"/>
        <v>136.04227831640353</v>
      </c>
      <c r="I238" s="460">
        <f t="shared" si="81"/>
        <v>123.79825321045625</v>
      </c>
      <c r="J238" s="488"/>
      <c r="K238" s="488"/>
      <c r="L238" s="488"/>
      <c r="M238" s="488"/>
      <c r="N238" s="488"/>
      <c r="O238" s="488"/>
      <c r="P238" s="488"/>
      <c r="Q238" s="488"/>
      <c r="R238" s="488"/>
      <c r="S238" s="488"/>
      <c r="T238" s="488"/>
      <c r="U238" s="488"/>
      <c r="V238" s="488"/>
    </row>
    <row r="239" spans="1:22">
      <c r="A239" s="532" t="s">
        <v>594</v>
      </c>
      <c r="B239" s="532"/>
      <c r="C239" s="532"/>
      <c r="D239" s="532"/>
      <c r="E239" s="532"/>
      <c r="F239" s="532"/>
      <c r="G239" s="532"/>
      <c r="H239" s="532"/>
      <c r="I239" s="532"/>
      <c r="J239" s="488"/>
      <c r="K239" s="488"/>
      <c r="L239" s="488"/>
      <c r="M239" s="570" t="s">
        <v>638</v>
      </c>
      <c r="N239" s="225">
        <v>2018</v>
      </c>
      <c r="O239" s="225">
        <v>2019</v>
      </c>
      <c r="P239" s="225">
        <v>2020</v>
      </c>
      <c r="Q239" s="225">
        <v>2025</v>
      </c>
      <c r="R239" s="225">
        <v>2030</v>
      </c>
      <c r="S239" s="225">
        <v>2035</v>
      </c>
      <c r="T239" s="225">
        <v>2040</v>
      </c>
      <c r="U239" s="225">
        <v>2045</v>
      </c>
      <c r="V239" s="225">
        <v>2050</v>
      </c>
    </row>
    <row r="240" spans="1:22">
      <c r="A240" s="488"/>
      <c r="B240" s="488"/>
      <c r="C240" s="488"/>
      <c r="D240" s="488"/>
      <c r="E240" s="488"/>
      <c r="F240" s="488"/>
      <c r="G240" s="488"/>
      <c r="H240" s="488"/>
      <c r="I240" s="488"/>
      <c r="J240" s="488"/>
      <c r="K240" s="488"/>
      <c r="L240" s="488"/>
      <c r="M240" s="427" t="s">
        <v>629</v>
      </c>
      <c r="N240" s="225">
        <v>0</v>
      </c>
      <c r="O240" s="225">
        <v>0</v>
      </c>
      <c r="P240" s="225">
        <v>0</v>
      </c>
      <c r="Q240" s="225">
        <v>125.38512028193901</v>
      </c>
      <c r="R240" s="225">
        <v>267.91813390802986</v>
      </c>
      <c r="S240" s="225">
        <v>908.95855843635252</v>
      </c>
      <c r="T240" s="225">
        <v>1469.4432561221447</v>
      </c>
      <c r="U240" s="225">
        <v>1734.1428749010518</v>
      </c>
      <c r="V240" s="225">
        <v>2213.1845250678161</v>
      </c>
    </row>
    <row r="241" spans="1:22">
      <c r="A241" s="488"/>
      <c r="B241" s="488"/>
      <c r="C241" s="488"/>
      <c r="D241" s="488"/>
      <c r="E241" s="488"/>
      <c r="F241" s="488"/>
      <c r="G241" s="488"/>
      <c r="H241" s="488"/>
      <c r="I241" s="488"/>
      <c r="J241" s="488"/>
      <c r="K241" s="488"/>
      <c r="L241" s="488"/>
      <c r="M241" s="427" t="s">
        <v>630</v>
      </c>
      <c r="N241" s="225">
        <v>0</v>
      </c>
      <c r="O241" s="225">
        <v>0</v>
      </c>
      <c r="P241" s="225">
        <v>0</v>
      </c>
      <c r="Q241" s="225">
        <v>0</v>
      </c>
      <c r="R241" s="225">
        <v>43.614579938516478</v>
      </c>
      <c r="S241" s="225">
        <v>302.98618614545092</v>
      </c>
      <c r="T241" s="225">
        <v>489.81441870738155</v>
      </c>
      <c r="U241" s="225">
        <v>706.5026527374655</v>
      </c>
      <c r="V241" s="225">
        <v>1770.5476200542532</v>
      </c>
    </row>
    <row r="242" spans="1:22">
      <c r="A242" s="488"/>
      <c r="B242" s="488"/>
      <c r="C242" s="488"/>
      <c r="D242" s="488"/>
      <c r="E242" s="488"/>
      <c r="F242" s="488"/>
      <c r="G242" s="488"/>
      <c r="H242" s="488"/>
      <c r="I242" s="488"/>
      <c r="J242" s="488"/>
      <c r="K242" s="488"/>
      <c r="L242" s="488"/>
      <c r="M242" s="427" t="s">
        <v>631</v>
      </c>
      <c r="N242" s="225">
        <v>0</v>
      </c>
      <c r="O242" s="225">
        <v>0</v>
      </c>
      <c r="P242" s="225">
        <v>0</v>
      </c>
      <c r="Q242" s="225">
        <v>0</v>
      </c>
      <c r="R242" s="225">
        <v>0</v>
      </c>
      <c r="S242" s="225">
        <v>12.3148818863706</v>
      </c>
      <c r="T242" s="225">
        <v>60.836887333658844</v>
      </c>
      <c r="U242" s="225">
        <v>144.50340305397842</v>
      </c>
      <c r="V242" s="225">
        <v>287.66071770176961</v>
      </c>
    </row>
    <row r="243" spans="1:22">
      <c r="A243" s="488"/>
      <c r="B243" s="488"/>
      <c r="C243" s="488"/>
      <c r="D243" s="488"/>
      <c r="E243" s="488"/>
      <c r="F243" s="488"/>
      <c r="G243" s="488"/>
      <c r="H243" s="488"/>
      <c r="I243" s="488"/>
      <c r="J243" s="488"/>
      <c r="K243" s="488"/>
      <c r="L243" s="488"/>
      <c r="M243" s="427" t="s">
        <v>632</v>
      </c>
      <c r="N243" s="225">
        <v>5903.7976366930016</v>
      </c>
      <c r="O243" s="225">
        <v>6076.5395623849945</v>
      </c>
      <c r="P243" s="225">
        <v>2509.3328292910014</v>
      </c>
      <c r="Q243" s="225">
        <v>6143.8708938150103</v>
      </c>
      <c r="R243" s="225">
        <v>5919.1215630843799</v>
      </c>
      <c r="S243" s="225">
        <v>4835.4640964408418</v>
      </c>
      <c r="T243" s="225">
        <v>4102.585671679085</v>
      </c>
      <c r="U243" s="225">
        <v>3837.6024578299189</v>
      </c>
      <c r="V243" s="225">
        <v>2051.9914945127789</v>
      </c>
    </row>
    <row r="244" spans="1:22">
      <c r="A244" s="488"/>
      <c r="B244" s="488"/>
      <c r="C244" s="488"/>
      <c r="D244" s="488"/>
      <c r="E244" s="488"/>
      <c r="F244" s="488"/>
      <c r="G244" s="488"/>
      <c r="H244" s="488"/>
      <c r="I244" s="488"/>
      <c r="J244" s="488"/>
      <c r="K244" s="488"/>
      <c r="L244" s="488"/>
      <c r="M244" s="488" t="s">
        <v>633</v>
      </c>
      <c r="N244" s="225">
        <v>5903.7976366930016</v>
      </c>
      <c r="O244" s="225">
        <v>6076.5395623849945</v>
      </c>
      <c r="P244" s="225">
        <v>2509.3328292910014</v>
      </c>
      <c r="Q244" s="225">
        <v>6269.2560140969508</v>
      </c>
      <c r="R244" s="225">
        <v>6230.6542769309262</v>
      </c>
      <c r="S244" s="225">
        <v>6059.7237229090169</v>
      </c>
      <c r="T244" s="225">
        <v>6122.6802338422694</v>
      </c>
      <c r="U244" s="225">
        <v>6422.7513885224143</v>
      </c>
      <c r="V244" s="225">
        <v>6323.3843573366166</v>
      </c>
    </row>
    <row r="245" spans="1:22">
      <c r="A245" s="488"/>
      <c r="B245" s="488"/>
      <c r="C245" s="488"/>
      <c r="D245" s="488"/>
      <c r="E245" s="488"/>
      <c r="F245" s="488"/>
      <c r="G245" s="488"/>
      <c r="H245" s="488"/>
      <c r="I245" s="488"/>
      <c r="J245" s="488"/>
      <c r="K245" s="488"/>
      <c r="L245" s="488"/>
      <c r="M245" s="488"/>
      <c r="N245" s="488">
        <f>N240/N244</f>
        <v>0</v>
      </c>
      <c r="O245" s="488">
        <f t="shared" ref="O245:V245" si="82">O240/O244</f>
        <v>0</v>
      </c>
      <c r="P245" s="488">
        <f t="shared" si="82"/>
        <v>0</v>
      </c>
      <c r="Q245" s="488">
        <f t="shared" si="82"/>
        <v>0.02</v>
      </c>
      <c r="R245" s="488">
        <f t="shared" si="82"/>
        <v>4.3000000000000003E-2</v>
      </c>
      <c r="S245" s="488">
        <f t="shared" si="82"/>
        <v>0.15</v>
      </c>
      <c r="T245" s="488">
        <f t="shared" si="82"/>
        <v>0.24000000000000002</v>
      </c>
      <c r="U245" s="488">
        <f t="shared" si="82"/>
        <v>0.26999999999999996</v>
      </c>
      <c r="V245" s="488">
        <f t="shared" si="82"/>
        <v>0.35000000000000003</v>
      </c>
    </row>
    <row r="246" spans="1:22">
      <c r="A246" s="488"/>
      <c r="B246" s="488"/>
      <c r="C246" s="488"/>
      <c r="D246" s="488"/>
      <c r="E246" s="488"/>
      <c r="F246" s="488"/>
      <c r="G246" s="488"/>
      <c r="H246" s="488"/>
      <c r="I246" s="488"/>
      <c r="J246" s="488"/>
      <c r="K246" s="488"/>
      <c r="L246" s="488"/>
      <c r="M246" s="488"/>
      <c r="N246" s="488">
        <f>N241/N244</f>
        <v>0</v>
      </c>
      <c r="O246" s="488">
        <f t="shared" ref="O246:V246" si="83">O241/O244</f>
        <v>0</v>
      </c>
      <c r="P246" s="488">
        <f t="shared" si="83"/>
        <v>0</v>
      </c>
      <c r="Q246" s="488">
        <f t="shared" si="83"/>
        <v>0</v>
      </c>
      <c r="R246" s="488">
        <f t="shared" si="83"/>
        <v>6.9999999999999993E-3</v>
      </c>
      <c r="S246" s="488">
        <f t="shared" si="83"/>
        <v>5.000000000000001E-2</v>
      </c>
      <c r="T246" s="488">
        <f t="shared" si="83"/>
        <v>0.08</v>
      </c>
      <c r="U246" s="488">
        <f t="shared" si="83"/>
        <v>0.10999999999999999</v>
      </c>
      <c r="V246" s="488">
        <f t="shared" si="83"/>
        <v>0.28000000000000008</v>
      </c>
    </row>
    <row r="247" spans="1:22">
      <c r="A247" s="488"/>
      <c r="B247" s="488"/>
      <c r="C247" s="488"/>
      <c r="D247" s="488"/>
      <c r="E247" s="488"/>
      <c r="F247" s="488"/>
      <c r="G247" s="488"/>
      <c r="H247" s="488"/>
      <c r="I247" s="488"/>
      <c r="J247" s="488"/>
      <c r="K247" s="488"/>
      <c r="L247" s="488"/>
      <c r="M247" s="488"/>
      <c r="N247" s="488">
        <f>N243/N244</f>
        <v>1</v>
      </c>
      <c r="O247" s="488">
        <f t="shared" ref="O247:V247" si="84">O243/O244</f>
        <v>1</v>
      </c>
      <c r="P247" s="488">
        <f t="shared" si="84"/>
        <v>1</v>
      </c>
      <c r="Q247" s="488">
        <f t="shared" si="84"/>
        <v>0.97999999999999976</v>
      </c>
      <c r="R247" s="488">
        <f t="shared" si="84"/>
        <v>0.95</v>
      </c>
      <c r="S247" s="488">
        <f t="shared" si="84"/>
        <v>0.79796774862196851</v>
      </c>
      <c r="T247" s="488">
        <f t="shared" si="84"/>
        <v>0.67006368371201375</v>
      </c>
      <c r="U247" s="488">
        <f t="shared" si="84"/>
        <v>0.59750132391669275</v>
      </c>
      <c r="V247" s="488">
        <f t="shared" si="84"/>
        <v>0.32450842437435973</v>
      </c>
    </row>
    <row r="248" spans="1:22">
      <c r="A248" s="488"/>
      <c r="B248" s="488"/>
      <c r="C248" s="488"/>
      <c r="D248" s="488"/>
      <c r="E248" s="488"/>
      <c r="F248" s="488"/>
      <c r="G248" s="488"/>
      <c r="H248" s="488"/>
      <c r="I248" s="488"/>
      <c r="J248" s="488"/>
      <c r="K248" s="488"/>
      <c r="L248" s="488"/>
      <c r="M248" s="488"/>
      <c r="N248" s="488"/>
      <c r="O248" s="488"/>
      <c r="P248" s="488"/>
      <c r="Q248" s="488"/>
      <c r="R248" s="488"/>
      <c r="S248" s="488"/>
      <c r="T248" s="488"/>
      <c r="U248" s="488"/>
      <c r="V248" s="488"/>
    </row>
    <row r="249" spans="1:22">
      <c r="A249" s="488"/>
      <c r="B249" s="488"/>
      <c r="C249" s="488"/>
      <c r="D249" s="488"/>
      <c r="E249" s="488"/>
      <c r="F249" s="488"/>
      <c r="G249" s="488"/>
      <c r="H249" s="488"/>
      <c r="I249" s="488"/>
      <c r="J249" s="488"/>
      <c r="K249" s="488"/>
      <c r="L249" s="488"/>
      <c r="M249" s="488"/>
      <c r="N249" s="488"/>
      <c r="O249" s="488"/>
      <c r="P249" s="488"/>
      <c r="Q249" s="488"/>
      <c r="R249" s="488"/>
      <c r="S249" s="488"/>
      <c r="T249" s="488"/>
      <c r="U249" s="488"/>
      <c r="V249" s="488"/>
    </row>
  </sheetData>
  <mergeCells count="27">
    <mergeCell ref="A214:H214"/>
    <mergeCell ref="A221:J221"/>
    <mergeCell ref="A228:J228"/>
    <mergeCell ref="A239:I239"/>
    <mergeCell ref="A131:K131"/>
    <mergeCell ref="A146:M146"/>
    <mergeCell ref="A152:I152"/>
    <mergeCell ref="A165:M165"/>
    <mergeCell ref="A207:K207"/>
    <mergeCell ref="N22:U22"/>
    <mergeCell ref="A80:K80"/>
    <mergeCell ref="A7:K7"/>
    <mergeCell ref="F26:I26"/>
    <mergeCell ref="A35:K35"/>
    <mergeCell ref="A53:K53"/>
    <mergeCell ref="A55:K55"/>
    <mergeCell ref="A28:K28"/>
    <mergeCell ref="A87:K87"/>
    <mergeCell ref="A102:M102"/>
    <mergeCell ref="A108:I108"/>
    <mergeCell ref="A121:M121"/>
    <mergeCell ref="A129:I129"/>
    <mergeCell ref="A178:K178"/>
    <mergeCell ref="A185:H185"/>
    <mergeCell ref="A192:J192"/>
    <mergeCell ref="A199:J199"/>
    <mergeCell ref="A204:I204"/>
  </mergeCells>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Y65"/>
  <sheetViews>
    <sheetView zoomScaleNormal="100" workbookViewId="0">
      <selection activeCell="E59" sqref="E59"/>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25">
      <c r="A3" s="519" t="s">
        <v>55</v>
      </c>
      <c r="B3" s="519"/>
      <c r="C3" s="519"/>
      <c r="D3" s="519"/>
      <c r="E3" s="519"/>
      <c r="F3" s="519"/>
      <c r="G3" s="519"/>
      <c r="H3" s="519"/>
      <c r="I3" s="519"/>
      <c r="J3" s="519"/>
      <c r="K3" s="519"/>
      <c r="L3" s="519"/>
      <c r="M3" s="519"/>
      <c r="P3" s="237" t="s">
        <v>605</v>
      </c>
      <c r="Q3" s="237">
        <v>2013</v>
      </c>
      <c r="R3" s="237">
        <v>2018</v>
      </c>
      <c r="S3" s="237">
        <v>2019</v>
      </c>
      <c r="T3" s="237">
        <v>2025</v>
      </c>
      <c r="U3" s="237">
        <v>2030</v>
      </c>
      <c r="V3" s="237">
        <v>2035</v>
      </c>
      <c r="W3" s="237">
        <v>2040</v>
      </c>
      <c r="X3" s="237">
        <v>2045</v>
      </c>
      <c r="Y3" s="237">
        <v>2050</v>
      </c>
    </row>
    <row r="4" spans="1:25" ht="15.6">
      <c r="O4" s="425"/>
      <c r="P4" s="237" t="s">
        <v>607</v>
      </c>
      <c r="Q4" s="237">
        <v>51.973707796550656</v>
      </c>
      <c r="R4" s="237">
        <v>51.973707796550656</v>
      </c>
      <c r="S4" s="237">
        <v>51.88284467103221</v>
      </c>
      <c r="T4" s="237">
        <v>51.337665917921541</v>
      </c>
      <c r="U4" s="237">
        <v>50.883350290329318</v>
      </c>
      <c r="V4" s="237">
        <v>50.429034662737088</v>
      </c>
      <c r="W4" s="237">
        <v>49.974719035144865</v>
      </c>
      <c r="X4" s="237">
        <v>49.520403407552635</v>
      </c>
      <c r="Y4" s="237">
        <v>49.066087779960412</v>
      </c>
    </row>
    <row r="5" spans="1:25" ht="15.6">
      <c r="A5" s="35"/>
      <c r="B5" s="30">
        <v>2010</v>
      </c>
      <c r="C5" s="30">
        <v>2011</v>
      </c>
      <c r="D5" s="30">
        <v>2012</v>
      </c>
      <c r="E5" s="30">
        <v>2013</v>
      </c>
      <c r="F5" s="30">
        <v>2014</v>
      </c>
      <c r="G5" s="30">
        <v>2015</v>
      </c>
      <c r="H5" s="30">
        <v>2016</v>
      </c>
      <c r="I5" s="30">
        <v>2017</v>
      </c>
      <c r="J5" s="30">
        <v>2018</v>
      </c>
      <c r="K5" s="30">
        <v>2019</v>
      </c>
      <c r="L5" s="174">
        <v>2020</v>
      </c>
      <c r="M5" s="275" t="s">
        <v>389</v>
      </c>
      <c r="O5" s="425"/>
      <c r="P5" s="237" t="s">
        <v>606</v>
      </c>
      <c r="Q5" s="237"/>
      <c r="R5" s="237"/>
      <c r="S5" s="237">
        <v>0.99825174825174823</v>
      </c>
      <c r="T5" s="237">
        <v>0.989492119089317</v>
      </c>
      <c r="U5" s="237">
        <v>0.9911504424778762</v>
      </c>
      <c r="V5" s="237">
        <v>0.99107142857142849</v>
      </c>
      <c r="W5" s="237">
        <v>0.99099099099099108</v>
      </c>
      <c r="X5" s="237">
        <v>0.99090909090909085</v>
      </c>
      <c r="Y5" s="237">
        <v>0.99082568807339455</v>
      </c>
    </row>
    <row r="6" spans="1:25" ht="24.6">
      <c r="A6" s="30" t="s">
        <v>201</v>
      </c>
      <c r="B6" s="139"/>
      <c r="C6" s="139"/>
      <c r="D6" s="44"/>
      <c r="E6" s="77"/>
      <c r="F6" s="77">
        <v>0.08</v>
      </c>
      <c r="G6" s="77">
        <v>0.09</v>
      </c>
      <c r="H6" s="77">
        <v>0.09</v>
      </c>
      <c r="I6" s="140">
        <v>0.08</v>
      </c>
      <c r="J6" s="140">
        <v>0.08</v>
      </c>
      <c r="K6" s="140">
        <f>J6</f>
        <v>0.08</v>
      </c>
      <c r="L6" s="140">
        <f>K6</f>
        <v>0.08</v>
      </c>
      <c r="M6" s="276" t="s">
        <v>452</v>
      </c>
      <c r="O6" s="425"/>
      <c r="X6" t="s">
        <v>510</v>
      </c>
      <c r="Y6">
        <f>Y4/S4</f>
        <v>0.94570928196147119</v>
      </c>
    </row>
    <row r="7" spans="1:25" ht="15.6">
      <c r="A7" s="278" t="s">
        <v>421</v>
      </c>
      <c r="B7" s="278">
        <f>'Cadrage macroéconomique '!B6</f>
        <v>4591.2092599999996</v>
      </c>
      <c r="C7" s="278">
        <f>'Cadrage macroéconomique '!C6</f>
        <v>4456.9951799999999</v>
      </c>
      <c r="D7" s="278">
        <f>'Cadrage macroéconomique '!D6</f>
        <v>4430.9669000000004</v>
      </c>
      <c r="E7" s="278">
        <f>'Cadrage macroéconomique '!E6</f>
        <v>4541.6331799999998</v>
      </c>
      <c r="F7" s="278">
        <f>'Cadrage macroéconomique '!F6</f>
        <v>4630.7796200000003</v>
      </c>
      <c r="G7" s="278">
        <f>'Cadrage macroéconomique '!G6</f>
        <v>4800.1645600000002</v>
      </c>
      <c r="H7" s="278">
        <f>'Cadrage macroéconomique '!H6</f>
        <v>4966.1388399999996</v>
      </c>
      <c r="I7" s="278">
        <f>'Cadrage macroéconomique '!I6</f>
        <v>5163.7141000000001</v>
      </c>
      <c r="J7" s="278">
        <f>'Cadrage macroéconomique '!J6</f>
        <v>5195.0469199999998</v>
      </c>
      <c r="K7" s="278">
        <f>'Cadrage macroéconomique '!K6</f>
        <v>5360.5267800000001</v>
      </c>
      <c r="L7" s="174">
        <f>'Cadrage macroéconomique '!L6</f>
        <v>5009.8740600000001</v>
      </c>
      <c r="M7" s="277" t="s">
        <v>390</v>
      </c>
      <c r="O7" s="425"/>
      <c r="S7" s="237" t="s">
        <v>12</v>
      </c>
      <c r="T7" s="237">
        <v>2018</v>
      </c>
      <c r="U7" s="237">
        <v>2030</v>
      </c>
      <c r="V7" s="237">
        <v>2050</v>
      </c>
    </row>
    <row r="8" spans="1:25" ht="15.6">
      <c r="A8" s="30" t="s">
        <v>202</v>
      </c>
      <c r="B8" s="39">
        <f t="shared" ref="B8:K8" si="0">B7*B6</f>
        <v>0</v>
      </c>
      <c r="C8" s="39">
        <f t="shared" si="0"/>
        <v>0</v>
      </c>
      <c r="D8" s="39">
        <f t="shared" si="0"/>
        <v>0</v>
      </c>
      <c r="E8" s="39">
        <f t="shared" si="0"/>
        <v>0</v>
      </c>
      <c r="F8" s="39">
        <f t="shared" si="0"/>
        <v>370.46236960000005</v>
      </c>
      <c r="G8" s="39">
        <f t="shared" si="0"/>
        <v>432.01481039999999</v>
      </c>
      <c r="H8" s="141">
        <f t="shared" si="0"/>
        <v>446.95249559999996</v>
      </c>
      <c r="I8" s="141">
        <f t="shared" si="0"/>
        <v>413.097128</v>
      </c>
      <c r="J8" s="141">
        <f t="shared" si="0"/>
        <v>415.6037536</v>
      </c>
      <c r="K8" s="141">
        <f t="shared" si="0"/>
        <v>428.8421424</v>
      </c>
      <c r="L8" s="174"/>
      <c r="M8" s="277"/>
      <c r="O8" s="425"/>
      <c r="S8" s="237" t="s">
        <v>619</v>
      </c>
      <c r="T8" s="237">
        <v>143</v>
      </c>
      <c r="U8" s="237">
        <v>111</v>
      </c>
      <c r="V8" s="237">
        <v>100</v>
      </c>
    </row>
    <row r="9" spans="1:25" ht="15.6">
      <c r="A9" s="30" t="s">
        <v>203</v>
      </c>
      <c r="B9" s="77"/>
      <c r="C9" s="77"/>
      <c r="D9" s="77"/>
      <c r="E9" s="77"/>
      <c r="F9" s="77">
        <v>0.04</v>
      </c>
      <c r="G9" s="77">
        <v>0.04</v>
      </c>
      <c r="H9" s="77">
        <v>0.03</v>
      </c>
      <c r="I9" s="140">
        <v>0.04</v>
      </c>
      <c r="J9" s="140">
        <v>0.04</v>
      </c>
      <c r="K9" s="140">
        <f>J9</f>
        <v>0.04</v>
      </c>
      <c r="L9" s="140">
        <f>K9</f>
        <v>0.04</v>
      </c>
      <c r="M9" s="276" t="s">
        <v>391</v>
      </c>
      <c r="O9" s="425"/>
      <c r="S9" s="237"/>
      <c r="T9" s="237"/>
      <c r="U9" s="237">
        <f>U8/T8</f>
        <v>0.77622377622377625</v>
      </c>
      <c r="V9" s="237">
        <f>V8/T8</f>
        <v>0.69930069930069927</v>
      </c>
    </row>
    <row r="10" spans="1:25">
      <c r="A10" s="30" t="s">
        <v>204</v>
      </c>
      <c r="B10" s="39">
        <f>B9*B7</f>
        <v>0</v>
      </c>
      <c r="C10" s="39">
        <f>C9*C7</f>
        <v>0</v>
      </c>
      <c r="D10" s="39">
        <f>D9*D7</f>
        <v>0</v>
      </c>
      <c r="E10" s="39">
        <f>E9*E7</f>
        <v>0</v>
      </c>
      <c r="F10" s="39">
        <f>F9*F7</f>
        <v>185.23118480000002</v>
      </c>
      <c r="G10" s="39">
        <f>G7*G9</f>
        <v>192.00658240000001</v>
      </c>
      <c r="H10" s="141">
        <f>H7*H9</f>
        <v>148.98416519999998</v>
      </c>
      <c r="I10" s="141">
        <f>I7*I9</f>
        <v>206.548564</v>
      </c>
      <c r="J10" s="141">
        <f>J7*J9</f>
        <v>207.8018768</v>
      </c>
      <c r="K10" s="141">
        <f>K7*K9</f>
        <v>214.4210712</v>
      </c>
      <c r="L10" s="174"/>
      <c r="M10" s="277"/>
    </row>
    <row r="11" spans="1:25">
      <c r="B11" s="142"/>
      <c r="M11" s="279"/>
    </row>
    <row r="12" spans="1:25">
      <c r="B12" s="30">
        <v>2010</v>
      </c>
      <c r="C12" s="30">
        <v>2011</v>
      </c>
      <c r="D12" s="30">
        <v>2012</v>
      </c>
      <c r="E12" s="30">
        <v>2013</v>
      </c>
      <c r="F12" s="30">
        <v>2014</v>
      </c>
      <c r="G12" s="30">
        <v>2015</v>
      </c>
      <c r="H12" s="30">
        <v>2016</v>
      </c>
      <c r="I12" s="30">
        <v>2017</v>
      </c>
      <c r="J12" s="30">
        <v>2018</v>
      </c>
      <c r="K12" s="30">
        <v>2019</v>
      </c>
      <c r="L12" s="174">
        <v>2020</v>
      </c>
      <c r="M12" s="277"/>
    </row>
    <row r="13" spans="1:25">
      <c r="A13" s="41" t="s">
        <v>205</v>
      </c>
      <c r="B13" s="39">
        <f t="shared" ref="B13:K13" si="1">SUM(B10,B8)</f>
        <v>0</v>
      </c>
      <c r="C13" s="39">
        <f t="shared" si="1"/>
        <v>0</v>
      </c>
      <c r="D13" s="39">
        <f t="shared" si="1"/>
        <v>0</v>
      </c>
      <c r="E13" s="39">
        <f t="shared" si="1"/>
        <v>0</v>
      </c>
      <c r="F13" s="39">
        <f t="shared" si="1"/>
        <v>555.69355440000004</v>
      </c>
      <c r="G13" s="39">
        <f t="shared" si="1"/>
        <v>624.02139280000006</v>
      </c>
      <c r="H13" s="39">
        <f t="shared" si="1"/>
        <v>595.93666079999991</v>
      </c>
      <c r="I13" s="39">
        <f t="shared" si="1"/>
        <v>619.64569200000005</v>
      </c>
      <c r="J13" s="39">
        <f t="shared" si="1"/>
        <v>623.40563040000006</v>
      </c>
      <c r="K13" s="39">
        <f t="shared" si="1"/>
        <v>643.26321359999997</v>
      </c>
      <c r="L13" s="174"/>
      <c r="M13" s="277" t="s">
        <v>392</v>
      </c>
    </row>
    <row r="14" spans="1:25" ht="28.8">
      <c r="A14" s="119" t="s">
        <v>208</v>
      </c>
      <c r="B14" s="30"/>
      <c r="C14" s="30"/>
      <c r="D14" s="30"/>
      <c r="E14" s="39"/>
      <c r="F14" s="39"/>
      <c r="G14" s="39"/>
      <c r="H14" s="39"/>
      <c r="I14" s="39"/>
      <c r="J14" s="39"/>
      <c r="K14" s="39">
        <f>'Bilan d''énergie SDES historique'!D28</f>
        <v>0</v>
      </c>
      <c r="L14" s="273"/>
      <c r="M14" s="277" t="s">
        <v>209</v>
      </c>
    </row>
    <row r="15" spans="1:25">
      <c r="A15" s="119" t="s">
        <v>210</v>
      </c>
      <c r="B15" s="30"/>
      <c r="C15" s="30"/>
      <c r="D15" s="30"/>
      <c r="E15" s="39"/>
      <c r="F15" s="39"/>
      <c r="G15" s="39"/>
      <c r="H15" s="39"/>
      <c r="I15" s="39"/>
      <c r="J15" s="39"/>
      <c r="K15" s="39">
        <f>'Bilan d''énergie SDES historique'!N28</f>
        <v>294</v>
      </c>
      <c r="L15" s="273"/>
      <c r="M15" s="277" t="s">
        <v>211</v>
      </c>
    </row>
    <row r="16" spans="1:25">
      <c r="A16" s="119" t="s">
        <v>212</v>
      </c>
      <c r="B16" s="39">
        <f>GES!V7</f>
        <v>3.4351685420702855</v>
      </c>
      <c r="C16" s="39">
        <f>GES!W7</f>
        <v>3.426410791747402</v>
      </c>
      <c r="D16" s="39">
        <f>GES!X7</f>
        <v>3.2325611320090895</v>
      </c>
      <c r="E16" s="39">
        <f>GES!Y7</f>
        <v>3.2039500060254946</v>
      </c>
      <c r="F16" s="39">
        <f>GES!Z7</f>
        <v>3.1267524348165887</v>
      </c>
      <c r="G16" s="39">
        <f>GES!AA7</f>
        <v>3.0353294170492546</v>
      </c>
      <c r="H16" s="39">
        <f>GES!AB7</f>
        <v>3.011849980612602</v>
      </c>
      <c r="I16" s="39">
        <f>GES!AC7</f>
        <v>3.0195631380786319</v>
      </c>
      <c r="J16" s="39">
        <f>GES!AD7</f>
        <v>2.3117825368295191</v>
      </c>
      <c r="K16" s="39">
        <f>GES!AE7</f>
        <v>2.231163316408789</v>
      </c>
      <c r="L16" s="174"/>
      <c r="M16" s="277" t="s">
        <v>213</v>
      </c>
    </row>
    <row r="17" spans="1:23">
      <c r="A17" s="1" t="s">
        <v>214</v>
      </c>
      <c r="B17" s="30"/>
      <c r="C17" s="30"/>
      <c r="D17" s="30"/>
      <c r="E17" s="39"/>
      <c r="F17" s="39"/>
      <c r="G17" s="39"/>
      <c r="H17" s="39"/>
      <c r="I17" s="39"/>
      <c r="J17" s="39"/>
      <c r="K17" s="39">
        <f>'Bilan d''énergie SDES historique'!D35</f>
        <v>0</v>
      </c>
      <c r="L17" s="273"/>
      <c r="M17" s="277" t="s">
        <v>209</v>
      </c>
    </row>
    <row r="18" spans="1:23" ht="24.6">
      <c r="A18" s="1" t="s">
        <v>215</v>
      </c>
      <c r="B18" s="30"/>
      <c r="C18" s="30"/>
      <c r="D18" s="30"/>
      <c r="E18" s="39"/>
      <c r="F18" s="39"/>
      <c r="G18" s="39"/>
      <c r="H18" s="39"/>
      <c r="I18" s="39"/>
      <c r="J18" s="39"/>
      <c r="K18" s="39">
        <v>0</v>
      </c>
      <c r="L18" s="273"/>
      <c r="M18" s="277" t="s">
        <v>216</v>
      </c>
    </row>
    <row r="19" spans="1:23">
      <c r="A19" s="1" t="s">
        <v>217</v>
      </c>
      <c r="B19" s="30"/>
      <c r="C19" s="30"/>
      <c r="D19" s="30"/>
      <c r="E19" s="39"/>
      <c r="F19" s="39"/>
      <c r="G19" s="39"/>
      <c r="H19" s="39"/>
      <c r="I19" s="39"/>
      <c r="J19" s="39"/>
      <c r="K19" s="39">
        <v>0</v>
      </c>
      <c r="L19" s="273"/>
      <c r="M19" s="277" t="s">
        <v>209</v>
      </c>
      <c r="O19" s="541" t="s">
        <v>399</v>
      </c>
      <c r="P19" s="541"/>
      <c r="Q19" s="541"/>
      <c r="R19" s="541"/>
      <c r="S19" s="541"/>
      <c r="T19" s="541"/>
      <c r="U19" s="541"/>
      <c r="V19" s="541"/>
      <c r="W19" s="541"/>
    </row>
    <row r="20" spans="1:23">
      <c r="A20" s="540" t="s">
        <v>393</v>
      </c>
      <c r="B20" s="540"/>
      <c r="C20" s="540"/>
      <c r="D20" s="540"/>
      <c r="E20" s="540"/>
      <c r="F20" s="540"/>
      <c r="G20" s="540"/>
      <c r="H20" s="540"/>
      <c r="I20" s="540"/>
      <c r="J20" s="540"/>
      <c r="K20" s="540"/>
      <c r="L20" s="540"/>
      <c r="M20" s="540"/>
      <c r="O20" s="541"/>
      <c r="P20" s="541"/>
      <c r="Q20" s="541"/>
      <c r="R20" s="541"/>
      <c r="S20" s="541"/>
      <c r="T20" s="541"/>
      <c r="U20" s="541"/>
      <c r="V20" s="541"/>
      <c r="W20" s="541"/>
    </row>
    <row r="22" spans="1:23">
      <c r="A22" s="519" t="s">
        <v>140</v>
      </c>
      <c r="B22" s="519"/>
      <c r="C22" s="519"/>
      <c r="D22" s="519"/>
      <c r="E22" s="519"/>
      <c r="F22" s="519"/>
      <c r="G22" s="519"/>
      <c r="H22" s="519"/>
      <c r="I22" s="519"/>
      <c r="J22" s="519"/>
      <c r="O22" s="519" t="s">
        <v>141</v>
      </c>
      <c r="P22" s="519"/>
      <c r="Q22" s="519"/>
      <c r="R22" s="519"/>
      <c r="S22" s="519"/>
      <c r="T22" s="519"/>
      <c r="U22" s="519"/>
      <c r="V22" s="519"/>
      <c r="W22" s="519"/>
    </row>
    <row r="24" spans="1:23">
      <c r="A24" s="167"/>
      <c r="B24" s="30">
        <v>2019</v>
      </c>
      <c r="C24" s="30">
        <v>2020</v>
      </c>
      <c r="D24" s="30">
        <v>2025</v>
      </c>
      <c r="E24" s="30">
        <v>2030</v>
      </c>
      <c r="F24" s="30">
        <v>2035</v>
      </c>
      <c r="G24" s="30">
        <v>2040</v>
      </c>
      <c r="H24" s="30">
        <v>2045</v>
      </c>
      <c r="I24" s="174">
        <v>2050</v>
      </c>
      <c r="J24" s="275" t="s">
        <v>389</v>
      </c>
      <c r="K24" t="s">
        <v>405</v>
      </c>
      <c r="O24" s="167"/>
      <c r="P24" s="30">
        <v>2015</v>
      </c>
      <c r="Q24" s="30">
        <v>2020</v>
      </c>
      <c r="R24" s="30">
        <v>2025</v>
      </c>
      <c r="S24" s="30">
        <v>2030</v>
      </c>
      <c r="T24" s="30">
        <v>2035</v>
      </c>
      <c r="U24" s="30">
        <v>2040</v>
      </c>
      <c r="V24" s="30">
        <v>2045</v>
      </c>
      <c r="W24" s="30">
        <v>2050</v>
      </c>
    </row>
    <row r="25" spans="1:23" ht="13.8" customHeight="1">
      <c r="A25" s="30" t="s">
        <v>201</v>
      </c>
      <c r="B25" s="140">
        <f>K6</f>
        <v>0.08</v>
      </c>
      <c r="C25" s="154">
        <f>L6</f>
        <v>0.08</v>
      </c>
      <c r="D25" s="139">
        <f>C25</f>
        <v>0.08</v>
      </c>
      <c r="E25" s="139">
        <f>D25</f>
        <v>0.08</v>
      </c>
      <c r="F25" s="139">
        <f>E25</f>
        <v>0.08</v>
      </c>
      <c r="G25" s="139">
        <f>F25</f>
        <v>0.08</v>
      </c>
      <c r="H25" s="139">
        <v>7.4999999999999997E-2</v>
      </c>
      <c r="I25" s="139">
        <v>7.0000000000000007E-2</v>
      </c>
      <c r="J25" s="283" t="s">
        <v>540</v>
      </c>
      <c r="K25" t="s">
        <v>405</v>
      </c>
      <c r="O25" s="30" t="s">
        <v>201</v>
      </c>
      <c r="P25" s="75">
        <v>4.3999999999999997E-2</v>
      </c>
      <c r="Q25" s="30"/>
      <c r="R25" s="30"/>
      <c r="S25" s="30"/>
      <c r="T25" s="30"/>
      <c r="U25" s="30"/>
      <c r="V25" s="30"/>
      <c r="W25" s="30"/>
    </row>
    <row r="26" spans="1:23" ht="13.8" customHeight="1">
      <c r="A26" s="278" t="s">
        <v>421</v>
      </c>
      <c r="B26" s="30">
        <f>K7</f>
        <v>5360.5267800000001</v>
      </c>
      <c r="C26" s="30">
        <f>B26</f>
        <v>5360.5267800000001</v>
      </c>
      <c r="D26" s="123">
        <f>'Cadrage macroéconomique '!C16</f>
        <v>5903.6793298107114</v>
      </c>
      <c r="E26" s="123">
        <f>'Cadrage macroéconomique '!D16</f>
        <v>6356.4759659205911</v>
      </c>
      <c r="F26" s="123">
        <f>'Cadrage macroéconomique '!E16</f>
        <v>6824.5842434018341</v>
      </c>
      <c r="G26" s="123">
        <f>'Cadrage macroéconomique '!F16</f>
        <v>7308.0041622544413</v>
      </c>
      <c r="H26" s="123">
        <f>'Cadrage macroéconomique '!G16</f>
        <v>7806.7357224784091</v>
      </c>
      <c r="I26" s="280">
        <f>'Cadrage macroéconomique '!H16</f>
        <v>8320.7789240737402</v>
      </c>
      <c r="J26" s="283" t="s">
        <v>219</v>
      </c>
      <c r="K26" t="s">
        <v>405</v>
      </c>
      <c r="O26" s="30" t="s">
        <v>220</v>
      </c>
      <c r="P26" s="121" t="s">
        <v>221</v>
      </c>
      <c r="Q26" s="30"/>
      <c r="R26" s="30"/>
      <c r="S26" s="30"/>
      <c r="T26" s="30"/>
      <c r="U26" s="30"/>
      <c r="V26" s="30"/>
      <c r="W26" s="30"/>
    </row>
    <row r="27" spans="1:23" ht="13.8" customHeight="1">
      <c r="A27" s="30" t="s">
        <v>222</v>
      </c>
      <c r="B27" s="145">
        <f>B26*B25</f>
        <v>428.8421424</v>
      </c>
      <c r="C27" s="160">
        <f>C25*C26</f>
        <v>428.8421424</v>
      </c>
      <c r="D27" s="160">
        <f t="shared" ref="D27:I27" si="2">D26*D25</f>
        <v>472.29434638485691</v>
      </c>
      <c r="E27" s="160">
        <f t="shared" si="2"/>
        <v>508.51807727364729</v>
      </c>
      <c r="F27" s="160">
        <f t="shared" si="2"/>
        <v>545.96673947214674</v>
      </c>
      <c r="G27" s="160">
        <f t="shared" si="2"/>
        <v>584.64033298035531</v>
      </c>
      <c r="H27" s="160">
        <f t="shared" si="2"/>
        <v>585.50517918588071</v>
      </c>
      <c r="I27" s="281">
        <f t="shared" si="2"/>
        <v>582.45452468516191</v>
      </c>
      <c r="J27" s="283"/>
      <c r="O27" s="30" t="s">
        <v>222</v>
      </c>
      <c r="P27" s="121">
        <v>746</v>
      </c>
      <c r="Q27" s="30"/>
      <c r="R27" s="30"/>
      <c r="S27" s="30"/>
      <c r="T27" s="30"/>
      <c r="U27" s="30"/>
      <c r="V27" s="30"/>
      <c r="W27" s="30"/>
    </row>
    <row r="28" spans="1:23" ht="13.8" customHeight="1">
      <c r="A28" s="30" t="s">
        <v>203</v>
      </c>
      <c r="B28" s="140">
        <f>K9</f>
        <v>0.04</v>
      </c>
      <c r="C28" s="154">
        <f>L9</f>
        <v>0.04</v>
      </c>
      <c r="D28" s="139">
        <f>C28</f>
        <v>0.04</v>
      </c>
      <c r="E28" s="139">
        <f>D28</f>
        <v>0.04</v>
      </c>
      <c r="F28" s="139">
        <f>E28</f>
        <v>0.04</v>
      </c>
      <c r="G28" s="139">
        <f>F28</f>
        <v>0.04</v>
      </c>
      <c r="H28" s="139">
        <f>G28</f>
        <v>0.04</v>
      </c>
      <c r="I28" s="139">
        <v>3.5000000000000003E-2</v>
      </c>
      <c r="J28" s="283" t="s">
        <v>218</v>
      </c>
      <c r="K28" t="s">
        <v>405</v>
      </c>
      <c r="O28" s="30" t="s">
        <v>203</v>
      </c>
      <c r="P28" s="75">
        <v>5.8999999999999997E-2</v>
      </c>
      <c r="Q28" s="30"/>
      <c r="R28" s="30"/>
      <c r="S28" s="30"/>
      <c r="T28" s="30"/>
      <c r="U28" s="30"/>
      <c r="V28" s="30"/>
      <c r="W28" s="30"/>
    </row>
    <row r="29" spans="1:23" ht="13.8" customHeight="1">
      <c r="A29" s="30" t="s">
        <v>223</v>
      </c>
      <c r="B29" s="145">
        <f>B26*B28</f>
        <v>214.4210712</v>
      </c>
      <c r="C29" s="160">
        <f>B29</f>
        <v>214.4210712</v>
      </c>
      <c r="D29" s="160">
        <f t="shared" ref="D29:I29" si="3">D28*D26</f>
        <v>236.14717319242845</v>
      </c>
      <c r="E29" s="160">
        <f t="shared" si="3"/>
        <v>254.25903863682365</v>
      </c>
      <c r="F29" s="160">
        <f t="shared" si="3"/>
        <v>272.98336973607337</v>
      </c>
      <c r="G29" s="160">
        <f t="shared" si="3"/>
        <v>292.32016649017766</v>
      </c>
      <c r="H29" s="160">
        <f t="shared" si="3"/>
        <v>312.26942889913636</v>
      </c>
      <c r="I29" s="281">
        <f t="shared" si="3"/>
        <v>291.22726234258096</v>
      </c>
      <c r="J29" s="283"/>
      <c r="K29" t="s">
        <v>405</v>
      </c>
      <c r="O29" s="30" t="s">
        <v>223</v>
      </c>
      <c r="P29" s="121" t="s">
        <v>224</v>
      </c>
      <c r="Q29" s="30"/>
      <c r="R29" s="30"/>
      <c r="S29" s="30"/>
      <c r="T29" s="30"/>
      <c r="U29" s="30"/>
      <c r="V29" s="30"/>
      <c r="W29" s="30"/>
    </row>
    <row r="30" spans="1:23" ht="13.8" customHeight="1">
      <c r="J30" s="284"/>
      <c r="K30" t="s">
        <v>405</v>
      </c>
    </row>
    <row r="31" spans="1:23" ht="13.8" customHeight="1">
      <c r="B31" s="30">
        <v>2019</v>
      </c>
      <c r="C31" s="30">
        <v>2020</v>
      </c>
      <c r="D31" s="30">
        <v>2025</v>
      </c>
      <c r="E31" s="30">
        <v>2030</v>
      </c>
      <c r="F31" s="30">
        <v>2035</v>
      </c>
      <c r="G31" s="30">
        <v>2040</v>
      </c>
      <c r="H31" s="30">
        <v>2045</v>
      </c>
      <c r="I31" s="174">
        <v>2050</v>
      </c>
      <c r="J31" s="275" t="s">
        <v>389</v>
      </c>
      <c r="K31" t="s">
        <v>405</v>
      </c>
      <c r="P31" s="30">
        <v>2015</v>
      </c>
      <c r="Q31" s="73">
        <v>2017</v>
      </c>
      <c r="R31" s="30">
        <v>2025</v>
      </c>
      <c r="S31" s="30">
        <v>2030</v>
      </c>
      <c r="T31" s="30">
        <v>2035</v>
      </c>
      <c r="U31" s="30">
        <v>2040</v>
      </c>
      <c r="V31" s="30">
        <v>2045</v>
      </c>
      <c r="W31" s="30">
        <v>2050</v>
      </c>
    </row>
    <row r="32" spans="1:23" ht="13.8" customHeight="1">
      <c r="A32" s="119" t="s">
        <v>205</v>
      </c>
      <c r="B32" s="160">
        <f t="shared" ref="B32:I32" si="4">SUM(B29,B27)</f>
        <v>643.26321359999997</v>
      </c>
      <c r="C32" s="160">
        <f t="shared" si="4"/>
        <v>643.26321359999997</v>
      </c>
      <c r="D32" s="160">
        <f t="shared" si="4"/>
        <v>708.44151957728536</v>
      </c>
      <c r="E32" s="160">
        <f t="shared" si="4"/>
        <v>762.77711591047091</v>
      </c>
      <c r="F32" s="160">
        <f t="shared" si="4"/>
        <v>818.95010920822006</v>
      </c>
      <c r="G32" s="160">
        <f t="shared" si="4"/>
        <v>876.96049947053302</v>
      </c>
      <c r="H32" s="160">
        <f t="shared" si="4"/>
        <v>897.77460808501701</v>
      </c>
      <c r="I32" s="281">
        <f t="shared" si="4"/>
        <v>873.68178702774287</v>
      </c>
      <c r="J32" s="283"/>
      <c r="K32" t="s">
        <v>405</v>
      </c>
      <c r="O32" s="119" t="s">
        <v>205</v>
      </c>
      <c r="P32" s="121" t="s">
        <v>225</v>
      </c>
      <c r="Q32" s="121" t="s">
        <v>226</v>
      </c>
      <c r="R32" s="30"/>
      <c r="S32" s="30"/>
      <c r="T32" s="30"/>
      <c r="U32" s="30"/>
      <c r="V32" s="30"/>
      <c r="W32" s="121" t="s">
        <v>227</v>
      </c>
    </row>
    <row r="33" spans="1:23" ht="13.8" customHeight="1">
      <c r="A33" s="119" t="s">
        <v>206</v>
      </c>
      <c r="B33" s="303">
        <v>1</v>
      </c>
      <c r="C33" s="303">
        <f>$B$33+($I$33-$B$33)*1/31</f>
        <v>0.9925806451612903</v>
      </c>
      <c r="D33" s="303">
        <f>$B$33+($I$33-$B$33)*6/31</f>
        <v>0.9554838709677419</v>
      </c>
      <c r="E33" s="303">
        <f>$B$33+($I$33-$B$33)*11/31</f>
        <v>0.91838709677419361</v>
      </c>
      <c r="F33" s="303">
        <f>$B$33+($I$33-$B$33)*16/31</f>
        <v>0.88129032258064521</v>
      </c>
      <c r="G33" s="303">
        <f>$B$33+($I$33-$B$33)*21/31</f>
        <v>0.84419354838709681</v>
      </c>
      <c r="H33" s="303">
        <f>$B$33+($I$33-$B$33)*26/31</f>
        <v>0.80709677419354842</v>
      </c>
      <c r="I33" s="304">
        <v>0.77</v>
      </c>
      <c r="J33" s="283" t="s">
        <v>395</v>
      </c>
      <c r="K33" t="s">
        <v>405</v>
      </c>
      <c r="O33" s="119" t="s">
        <v>206</v>
      </c>
      <c r="P33" s="144">
        <v>1</v>
      </c>
      <c r="Q33" s="144">
        <v>1</v>
      </c>
      <c r="R33" s="30"/>
      <c r="S33" s="30"/>
      <c r="T33" s="30"/>
      <c r="U33" s="30"/>
      <c r="V33" s="30"/>
      <c r="W33" s="144">
        <v>0.9</v>
      </c>
    </row>
    <row r="34" spans="1:23" ht="13.8" customHeight="1">
      <c r="A34" s="119" t="s">
        <v>207</v>
      </c>
      <c r="B34" s="144">
        <v>0</v>
      </c>
      <c r="C34" s="144">
        <v>0</v>
      </c>
      <c r="D34" s="144">
        <v>0</v>
      </c>
      <c r="E34" s="144">
        <v>0</v>
      </c>
      <c r="F34" s="144">
        <v>0</v>
      </c>
      <c r="G34" s="144">
        <v>0</v>
      </c>
      <c r="H34" s="144">
        <v>0</v>
      </c>
      <c r="I34" s="282">
        <v>0</v>
      </c>
      <c r="J34" s="283"/>
      <c r="K34" t="s">
        <v>406</v>
      </c>
      <c r="O34" s="119" t="s">
        <v>207</v>
      </c>
      <c r="P34" s="144">
        <v>0</v>
      </c>
      <c r="Q34" s="144">
        <v>0</v>
      </c>
      <c r="R34" s="30"/>
      <c r="S34" s="30"/>
      <c r="T34" s="30"/>
      <c r="U34" s="30"/>
      <c r="V34" s="30"/>
      <c r="W34" s="144">
        <v>0</v>
      </c>
    </row>
    <row r="35" spans="1:23" ht="13.8" customHeight="1">
      <c r="A35" s="285" t="s">
        <v>228</v>
      </c>
      <c r="B35" s="160">
        <f>K14</f>
        <v>0</v>
      </c>
      <c r="C35" s="145">
        <f>L14</f>
        <v>0</v>
      </c>
      <c r="D35" s="160">
        <f t="shared" ref="D35:I35" si="5">$B35*(1-D34)*D33*(D32/$B32)</f>
        <v>0</v>
      </c>
      <c r="E35" s="160">
        <f t="shared" si="5"/>
        <v>0</v>
      </c>
      <c r="F35" s="160">
        <f t="shared" si="5"/>
        <v>0</v>
      </c>
      <c r="G35" s="160">
        <f t="shared" si="5"/>
        <v>0</v>
      </c>
      <c r="H35" s="160">
        <f t="shared" si="5"/>
        <v>0</v>
      </c>
      <c r="I35" s="281">
        <f t="shared" si="5"/>
        <v>0</v>
      </c>
      <c r="J35" s="283" t="s">
        <v>229</v>
      </c>
      <c r="K35" t="s">
        <v>405</v>
      </c>
      <c r="O35" s="119" t="s">
        <v>228</v>
      </c>
      <c r="P35" s="30">
        <v>17.399999999999999</v>
      </c>
      <c r="Q35" s="30">
        <v>17.760000000000002</v>
      </c>
      <c r="R35" s="30"/>
      <c r="S35" s="30"/>
      <c r="T35" s="30"/>
      <c r="U35" s="30"/>
      <c r="V35" s="30"/>
      <c r="W35" s="30">
        <v>34.67</v>
      </c>
    </row>
    <row r="36" spans="1:23" ht="13.8" customHeight="1">
      <c r="A36" s="285" t="s">
        <v>210</v>
      </c>
      <c r="B36" s="160">
        <f>K15</f>
        <v>294</v>
      </c>
      <c r="C36" s="145">
        <f>L15</f>
        <v>0</v>
      </c>
      <c r="D36" s="160">
        <f>$B36*D33*(D32/$B32)+1.1*D34*D35*D33*(D32/$B32)</f>
        <v>309.37554451055951</v>
      </c>
      <c r="E36" s="160">
        <f>$B36*E33*(E32/$B32)+1.1*E34*E35*E33*(E32/$B32)</f>
        <v>320.17103725180613</v>
      </c>
      <c r="F36" s="160">
        <f>$B36*F33*(F32/$B32)+1.1*F34*F35*F33*(F32/$B32)</f>
        <v>329.86410609963207</v>
      </c>
      <c r="G36" s="160">
        <f>$B36*G33*(G32/$B32)+1.1*G34*G35*G33*(G32/$B32)</f>
        <v>338.36129251017519</v>
      </c>
      <c r="H36" s="160">
        <f>$B36*H33*(H32/$B32)+1.1*H34*H35*H33*(H32/$B32)</f>
        <v>331.17042385875766</v>
      </c>
      <c r="I36" s="281">
        <f>$B36*I33*(I32/$B32)+1.1*I34*B35*I33*(I32/$B32)</f>
        <v>307.46991086346873</v>
      </c>
      <c r="J36" s="283" t="s">
        <v>229</v>
      </c>
      <c r="O36" s="119" t="s">
        <v>210</v>
      </c>
      <c r="P36" s="30">
        <v>412</v>
      </c>
      <c r="Q36" s="30">
        <v>313</v>
      </c>
      <c r="R36" s="30"/>
      <c r="S36" s="30"/>
      <c r="T36" s="30"/>
      <c r="U36" s="30"/>
      <c r="V36" s="30"/>
      <c r="W36" s="30">
        <v>610</v>
      </c>
    </row>
    <row r="37" spans="1:23" ht="13.8" customHeight="1">
      <c r="A37" s="30" t="s">
        <v>231</v>
      </c>
      <c r="B37" s="160">
        <f t="shared" ref="B37:C39" si="6">K17</f>
        <v>0</v>
      </c>
      <c r="C37" s="160">
        <f t="shared" si="6"/>
        <v>0</v>
      </c>
      <c r="D37" s="160">
        <f t="shared" ref="D37:I37" si="7">$B37*D$32/$B$32</f>
        <v>0</v>
      </c>
      <c r="E37" s="160">
        <f t="shared" si="7"/>
        <v>0</v>
      </c>
      <c r="F37" s="160">
        <f t="shared" si="7"/>
        <v>0</v>
      </c>
      <c r="G37" s="160">
        <f t="shared" si="7"/>
        <v>0</v>
      </c>
      <c r="H37" s="160">
        <f t="shared" si="7"/>
        <v>0</v>
      </c>
      <c r="I37" s="281">
        <f t="shared" si="7"/>
        <v>0</v>
      </c>
      <c r="J37" s="283" t="s">
        <v>394</v>
      </c>
      <c r="K37" t="s">
        <v>405</v>
      </c>
      <c r="O37" s="30" t="s">
        <v>231</v>
      </c>
      <c r="P37" s="30"/>
      <c r="Q37" s="148">
        <v>23.03</v>
      </c>
      <c r="R37" s="30"/>
      <c r="S37" s="30"/>
      <c r="T37" s="30"/>
      <c r="U37" s="30"/>
      <c r="V37" s="30"/>
      <c r="W37" s="30">
        <v>44.952869724770601</v>
      </c>
    </row>
    <row r="38" spans="1:23" ht="13.8" customHeight="1">
      <c r="A38" s="30" t="s">
        <v>232</v>
      </c>
      <c r="B38" s="160">
        <f t="shared" si="6"/>
        <v>0</v>
      </c>
      <c r="C38" s="160">
        <f t="shared" si="6"/>
        <v>0</v>
      </c>
      <c r="D38" s="160">
        <f t="shared" ref="D38:I38" si="8">$B38*D32/$B32</f>
        <v>0</v>
      </c>
      <c r="E38" s="160">
        <f t="shared" si="8"/>
        <v>0</v>
      </c>
      <c r="F38" s="160">
        <f t="shared" si="8"/>
        <v>0</v>
      </c>
      <c r="G38" s="160">
        <f t="shared" si="8"/>
        <v>0</v>
      </c>
      <c r="H38" s="160">
        <f t="shared" si="8"/>
        <v>0</v>
      </c>
      <c r="I38" s="281">
        <f t="shared" si="8"/>
        <v>0</v>
      </c>
      <c r="J38" s="283" t="s">
        <v>394</v>
      </c>
      <c r="K38" t="s">
        <v>405</v>
      </c>
      <c r="O38" s="30" t="s">
        <v>232</v>
      </c>
      <c r="P38" s="30"/>
      <c r="Q38" s="148">
        <v>2.4900000000000002</v>
      </c>
      <c r="R38" s="30"/>
      <c r="S38" s="30"/>
      <c r="T38" s="30"/>
      <c r="U38" s="30"/>
      <c r="V38" s="30"/>
      <c r="W38" s="30">
        <v>4.8602972477064199</v>
      </c>
    </row>
    <row r="39" spans="1:23" ht="13.8" customHeight="1">
      <c r="A39" s="30" t="s">
        <v>233</v>
      </c>
      <c r="B39" s="160">
        <f t="shared" si="6"/>
        <v>0</v>
      </c>
      <c r="C39" s="160">
        <f t="shared" si="6"/>
        <v>0</v>
      </c>
      <c r="D39" s="160">
        <f t="shared" ref="D39:I39" si="9">$B39*D32/$B32</f>
        <v>0</v>
      </c>
      <c r="E39" s="160">
        <f t="shared" si="9"/>
        <v>0</v>
      </c>
      <c r="F39" s="160">
        <f t="shared" si="9"/>
        <v>0</v>
      </c>
      <c r="G39" s="160">
        <f t="shared" si="9"/>
        <v>0</v>
      </c>
      <c r="H39" s="160">
        <f t="shared" si="9"/>
        <v>0</v>
      </c>
      <c r="I39" s="281">
        <f t="shared" si="9"/>
        <v>0</v>
      </c>
      <c r="J39" s="283" t="s">
        <v>394</v>
      </c>
      <c r="K39" t="s">
        <v>405</v>
      </c>
      <c r="O39" s="30" t="s">
        <v>233</v>
      </c>
      <c r="P39" s="30"/>
      <c r="Q39" s="148">
        <v>20.13</v>
      </c>
      <c r="R39" s="30"/>
      <c r="S39" s="30"/>
      <c r="T39" s="30"/>
      <c r="U39" s="30"/>
      <c r="V39" s="30"/>
      <c r="W39" s="30">
        <v>39.292282568807302</v>
      </c>
    </row>
    <row r="40" spans="1:23" ht="13.8" customHeight="1">
      <c r="A40" s="540" t="s">
        <v>608</v>
      </c>
      <c r="B40" s="540"/>
      <c r="C40" s="540"/>
      <c r="D40" s="540"/>
      <c r="E40" s="540"/>
      <c r="F40" s="540"/>
      <c r="G40" s="540"/>
      <c r="H40" s="540"/>
      <c r="I40" s="540"/>
      <c r="J40" s="540"/>
      <c r="K40" t="s">
        <v>405</v>
      </c>
      <c r="Q40" s="147">
        <v>2018</v>
      </c>
    </row>
    <row r="41" spans="1:23" ht="13.8" customHeight="1"/>
    <row r="42" spans="1:23" ht="13.8" customHeight="1">
      <c r="A42" s="519" t="s">
        <v>144</v>
      </c>
      <c r="B42" s="519"/>
      <c r="C42" s="519"/>
      <c r="D42" s="519"/>
      <c r="E42" s="519"/>
      <c r="F42" s="519"/>
      <c r="G42" s="519"/>
      <c r="H42" s="519"/>
      <c r="I42" s="519"/>
      <c r="J42" s="519"/>
      <c r="O42" s="519" t="s">
        <v>145</v>
      </c>
      <c r="P42" s="519"/>
      <c r="Q42" s="519"/>
      <c r="R42" s="519"/>
      <c r="S42" s="519"/>
      <c r="T42" s="519"/>
      <c r="U42" s="519"/>
      <c r="V42" s="519"/>
      <c r="W42" s="519"/>
    </row>
    <row r="43" spans="1:23" ht="13.8" customHeight="1"/>
    <row r="44" spans="1:23" ht="13.8" customHeight="1">
      <c r="A44" s="167"/>
      <c r="B44" s="30">
        <v>2019</v>
      </c>
      <c r="C44" s="30">
        <v>2020</v>
      </c>
      <c r="D44" s="30">
        <v>2025</v>
      </c>
      <c r="E44" s="30">
        <v>2030</v>
      </c>
      <c r="F44" s="30">
        <v>2035</v>
      </c>
      <c r="G44" s="30">
        <v>2040</v>
      </c>
      <c r="H44" s="30">
        <v>2045</v>
      </c>
      <c r="I44" s="30">
        <v>2050</v>
      </c>
      <c r="J44" s="275" t="s">
        <v>389</v>
      </c>
      <c r="O44" s="167"/>
      <c r="P44" s="73">
        <v>2011</v>
      </c>
      <c r="Q44" s="30">
        <v>2020</v>
      </c>
      <c r="R44" s="30">
        <v>2025</v>
      </c>
      <c r="S44" s="30">
        <v>2030</v>
      </c>
      <c r="T44" s="30">
        <v>2035</v>
      </c>
      <c r="U44" s="30">
        <v>2040</v>
      </c>
      <c r="V44" s="30">
        <v>2045</v>
      </c>
      <c r="W44" s="30">
        <v>2050</v>
      </c>
    </row>
    <row r="45" spans="1:23" ht="13.8" customHeight="1">
      <c r="A45" s="30" t="s">
        <v>201</v>
      </c>
      <c r="B45" s="140">
        <f>B25</f>
        <v>0.08</v>
      </c>
      <c r="C45" s="140">
        <f t="shared" ref="C45:I45" si="10">C25</f>
        <v>0.08</v>
      </c>
      <c r="D45" s="140">
        <f t="shared" si="10"/>
        <v>0.08</v>
      </c>
      <c r="E45" s="140">
        <f t="shared" si="10"/>
        <v>0.08</v>
      </c>
      <c r="F45" s="140">
        <f t="shared" si="10"/>
        <v>0.08</v>
      </c>
      <c r="G45" s="140">
        <f t="shared" si="10"/>
        <v>0.08</v>
      </c>
      <c r="H45" s="140">
        <f t="shared" si="10"/>
        <v>7.4999999999999997E-2</v>
      </c>
      <c r="I45" s="140">
        <f t="shared" si="10"/>
        <v>7.0000000000000007E-2</v>
      </c>
      <c r="J45" s="287" t="s">
        <v>218</v>
      </c>
      <c r="K45" t="s">
        <v>405</v>
      </c>
      <c r="O45" s="30" t="s">
        <v>201</v>
      </c>
      <c r="P45" s="30">
        <v>4.3999999999999997E-2</v>
      </c>
      <c r="Q45" s="30"/>
      <c r="R45" s="30"/>
      <c r="S45" s="30"/>
      <c r="T45" s="30"/>
      <c r="U45" s="30"/>
      <c r="V45" s="30"/>
      <c r="W45" s="30"/>
    </row>
    <row r="46" spans="1:23" ht="13.8" customHeight="1">
      <c r="A46" s="30" t="s">
        <v>420</v>
      </c>
      <c r="B46" s="30">
        <f>B26</f>
        <v>5360.5267800000001</v>
      </c>
      <c r="C46" s="30">
        <f t="shared" ref="C46:I46" si="11">C26</f>
        <v>5360.5267800000001</v>
      </c>
      <c r="D46" s="30">
        <f t="shared" si="11"/>
        <v>5903.6793298107114</v>
      </c>
      <c r="E46" s="30">
        <f t="shared" si="11"/>
        <v>6356.4759659205911</v>
      </c>
      <c r="F46" s="30">
        <f t="shared" si="11"/>
        <v>6824.5842434018341</v>
      </c>
      <c r="G46" s="30">
        <f t="shared" si="11"/>
        <v>7308.0041622544413</v>
      </c>
      <c r="H46" s="30">
        <f t="shared" si="11"/>
        <v>7806.7357224784091</v>
      </c>
      <c r="I46" s="30">
        <f t="shared" si="11"/>
        <v>8320.7789240737402</v>
      </c>
      <c r="J46" s="287" t="s">
        <v>219</v>
      </c>
      <c r="K46" t="s">
        <v>405</v>
      </c>
      <c r="O46" s="30" t="s">
        <v>220</v>
      </c>
      <c r="P46" s="30">
        <v>15487.057199999999</v>
      </c>
      <c r="Q46" s="30"/>
      <c r="R46" s="30"/>
      <c r="S46" s="30"/>
      <c r="T46" s="30"/>
      <c r="U46" s="30"/>
      <c r="V46" s="30"/>
      <c r="W46" s="30"/>
    </row>
    <row r="47" spans="1:23" ht="13.8" customHeight="1">
      <c r="A47" s="30" t="s">
        <v>222</v>
      </c>
      <c r="B47" s="145">
        <f>B27</f>
        <v>428.8421424</v>
      </c>
      <c r="C47" s="145">
        <f t="shared" ref="C47:I47" si="12">C27</f>
        <v>428.8421424</v>
      </c>
      <c r="D47" s="145">
        <f t="shared" si="12"/>
        <v>472.29434638485691</v>
      </c>
      <c r="E47" s="145">
        <f t="shared" si="12"/>
        <v>508.51807727364729</v>
      </c>
      <c r="F47" s="145">
        <f t="shared" si="12"/>
        <v>545.96673947214674</v>
      </c>
      <c r="G47" s="145">
        <f t="shared" si="12"/>
        <v>584.64033298035531</v>
      </c>
      <c r="H47" s="145">
        <f t="shared" si="12"/>
        <v>585.50517918588071</v>
      </c>
      <c r="I47" s="145">
        <f t="shared" si="12"/>
        <v>582.45452468516191</v>
      </c>
      <c r="J47" s="287"/>
      <c r="K47" t="s">
        <v>405</v>
      </c>
      <c r="O47" s="30" t="s">
        <v>222</v>
      </c>
      <c r="P47" s="30">
        <v>681.43051679999996</v>
      </c>
      <c r="Q47" s="30"/>
      <c r="R47" s="30"/>
      <c r="S47" s="30"/>
      <c r="T47" s="30"/>
      <c r="U47" s="30"/>
      <c r="V47" s="30"/>
      <c r="W47" s="30"/>
    </row>
    <row r="48" spans="1:23" ht="13.8" customHeight="1">
      <c r="A48" s="30" t="s">
        <v>203</v>
      </c>
      <c r="B48" s="140">
        <f>B28</f>
        <v>0.04</v>
      </c>
      <c r="C48" s="140">
        <f t="shared" ref="C48:I48" si="13">C28</f>
        <v>0.04</v>
      </c>
      <c r="D48" s="140">
        <f t="shared" si="13"/>
        <v>0.04</v>
      </c>
      <c r="E48" s="140">
        <f t="shared" si="13"/>
        <v>0.04</v>
      </c>
      <c r="F48" s="140">
        <f t="shared" si="13"/>
        <v>0.04</v>
      </c>
      <c r="G48" s="140">
        <f t="shared" si="13"/>
        <v>0.04</v>
      </c>
      <c r="H48" s="140">
        <f t="shared" si="13"/>
        <v>0.04</v>
      </c>
      <c r="I48" s="140">
        <f t="shared" si="13"/>
        <v>3.5000000000000003E-2</v>
      </c>
      <c r="J48" s="287" t="s">
        <v>218</v>
      </c>
      <c r="K48" t="s">
        <v>405</v>
      </c>
      <c r="O48" s="30" t="s">
        <v>203</v>
      </c>
      <c r="P48" s="30">
        <v>6.6000000000000003E-2</v>
      </c>
      <c r="Q48" s="30"/>
      <c r="R48" s="30"/>
      <c r="S48" s="30"/>
      <c r="T48" s="30"/>
      <c r="U48" s="30"/>
      <c r="V48" s="30"/>
      <c r="W48" s="30"/>
    </row>
    <row r="49" spans="1:23" ht="13.8" customHeight="1">
      <c r="A49" s="30" t="s">
        <v>223</v>
      </c>
      <c r="B49" s="145">
        <f>B29</f>
        <v>214.4210712</v>
      </c>
      <c r="C49" s="145">
        <f t="shared" ref="C49:I49" si="14">C29</f>
        <v>214.4210712</v>
      </c>
      <c r="D49" s="145">
        <f t="shared" si="14"/>
        <v>236.14717319242845</v>
      </c>
      <c r="E49" s="145">
        <f t="shared" si="14"/>
        <v>254.25903863682365</v>
      </c>
      <c r="F49" s="145">
        <f t="shared" si="14"/>
        <v>272.98336973607337</v>
      </c>
      <c r="G49" s="145">
        <f t="shared" si="14"/>
        <v>292.32016649017766</v>
      </c>
      <c r="H49" s="145">
        <f t="shared" si="14"/>
        <v>312.26942889913636</v>
      </c>
      <c r="I49" s="145">
        <f t="shared" si="14"/>
        <v>291.22726234258096</v>
      </c>
      <c r="J49" s="287"/>
      <c r="K49" t="s">
        <v>405</v>
      </c>
      <c r="O49" s="30" t="s">
        <v>223</v>
      </c>
      <c r="P49" s="30">
        <v>1022.1457752</v>
      </c>
      <c r="Q49" s="30"/>
      <c r="R49" s="30"/>
      <c r="S49" s="30"/>
      <c r="T49" s="30"/>
      <c r="U49" s="30"/>
      <c r="V49" s="30"/>
      <c r="W49" s="30"/>
    </row>
    <row r="50" spans="1:23" ht="13.8" customHeight="1">
      <c r="J50" s="288"/>
      <c r="P50" t="s">
        <v>234</v>
      </c>
    </row>
    <row r="51" spans="1:23" ht="13.8" customHeight="1">
      <c r="B51" s="30">
        <v>2019</v>
      </c>
      <c r="C51" s="30">
        <v>2020</v>
      </c>
      <c r="D51" s="30">
        <v>2025</v>
      </c>
      <c r="E51" s="30">
        <v>2030</v>
      </c>
      <c r="F51" s="30">
        <v>2035</v>
      </c>
      <c r="G51" s="30">
        <v>2040</v>
      </c>
      <c r="H51" s="30">
        <v>2045</v>
      </c>
      <c r="I51" s="174">
        <v>2050</v>
      </c>
      <c r="J51" s="275" t="s">
        <v>389</v>
      </c>
      <c r="K51" t="s">
        <v>405</v>
      </c>
      <c r="P51" s="30">
        <v>2015</v>
      </c>
      <c r="Q51" s="30">
        <v>2020</v>
      </c>
      <c r="R51" s="30">
        <v>2025</v>
      </c>
      <c r="S51" s="30">
        <v>2030</v>
      </c>
      <c r="T51" s="30">
        <v>2035</v>
      </c>
      <c r="U51" s="30">
        <v>2040</v>
      </c>
      <c r="V51" s="30">
        <v>2045</v>
      </c>
      <c r="W51" s="30">
        <v>2050</v>
      </c>
    </row>
    <row r="52" spans="1:23" ht="13.8" customHeight="1">
      <c r="A52" s="119" t="s">
        <v>205</v>
      </c>
      <c r="B52" s="160">
        <f t="shared" ref="B52:I52" si="15">SUM(B49,B47)</f>
        <v>643.26321359999997</v>
      </c>
      <c r="C52" s="160">
        <f t="shared" si="15"/>
        <v>643.26321359999997</v>
      </c>
      <c r="D52" s="160">
        <f t="shared" si="15"/>
        <v>708.44151957728536</v>
      </c>
      <c r="E52" s="160">
        <f t="shared" si="15"/>
        <v>762.77711591047091</v>
      </c>
      <c r="F52" s="160">
        <f t="shared" si="15"/>
        <v>818.95010920822006</v>
      </c>
      <c r="G52" s="160">
        <f t="shared" si="15"/>
        <v>876.96049947053302</v>
      </c>
      <c r="H52" s="160">
        <f t="shared" si="15"/>
        <v>897.77460808501701</v>
      </c>
      <c r="I52" s="281">
        <f t="shared" si="15"/>
        <v>873.68178702774287</v>
      </c>
      <c r="J52" s="287"/>
      <c r="K52" t="s">
        <v>405</v>
      </c>
      <c r="O52" s="119" t="s">
        <v>205</v>
      </c>
      <c r="P52" s="30">
        <v>1703.576292</v>
      </c>
      <c r="Q52" s="30"/>
      <c r="R52" s="30"/>
      <c r="S52" s="30"/>
      <c r="T52" s="30"/>
      <c r="U52" s="30"/>
      <c r="V52" s="30"/>
      <c r="W52" s="30">
        <v>4420.68</v>
      </c>
    </row>
    <row r="53" spans="1:23" ht="13.8" customHeight="1">
      <c r="A53" s="119" t="s">
        <v>206</v>
      </c>
      <c r="B53" s="303">
        <v>1</v>
      </c>
      <c r="C53" s="303">
        <f>$B$53+($I53-$B$53)*1/31</f>
        <v>0.98451612903225805</v>
      </c>
      <c r="D53" s="303">
        <f>$B$53+($I53-$B$53)*6/31</f>
        <v>0.90709677419354839</v>
      </c>
      <c r="E53" s="303">
        <f>$B$53+($I53-$B$53)*11/31</f>
        <v>0.82967741935483874</v>
      </c>
      <c r="F53" s="303">
        <f>$B$53+($I53-$B$53)*16/31</f>
        <v>0.75225806451612898</v>
      </c>
      <c r="G53" s="303">
        <f>$B$53+($I53-$B$53)*21/31</f>
        <v>0.67483870967741932</v>
      </c>
      <c r="H53" s="303">
        <f>$B$53+($I53-$B$53)*26/31</f>
        <v>0.59741935483870967</v>
      </c>
      <c r="I53" s="304">
        <v>0.52</v>
      </c>
      <c r="J53" s="287" t="s">
        <v>395</v>
      </c>
      <c r="K53" t="s">
        <v>405</v>
      </c>
      <c r="O53" s="119" t="s">
        <v>206</v>
      </c>
      <c r="P53" s="30">
        <v>1</v>
      </c>
      <c r="Q53" s="30"/>
      <c r="R53" s="30"/>
      <c r="S53" s="30"/>
      <c r="T53" s="30"/>
      <c r="U53" s="30"/>
      <c r="V53" s="30"/>
      <c r="W53" s="30">
        <v>0.73</v>
      </c>
    </row>
    <row r="54" spans="1:23" ht="13.8" customHeight="1">
      <c r="A54" s="119" t="s">
        <v>207</v>
      </c>
      <c r="B54" s="303">
        <v>0</v>
      </c>
      <c r="C54" s="303">
        <f>$B$54+($I54-$B$54)*1/31</f>
        <v>1.6129032258064516E-2</v>
      </c>
      <c r="D54" s="303">
        <f>$B$54+($I54-$B$54)*6/31</f>
        <v>9.6774193548387094E-2</v>
      </c>
      <c r="E54" s="303">
        <f>$B$54+($I54-$B$54)*11/31</f>
        <v>0.17741935483870969</v>
      </c>
      <c r="F54" s="303">
        <f>$B$54+($I54-$B$54)*16/31</f>
        <v>0.25806451612903225</v>
      </c>
      <c r="G54" s="303">
        <f>$B$54+($I54-$B$54)*21/31</f>
        <v>0.33870967741935482</v>
      </c>
      <c r="H54" s="303">
        <f>$B$54+($I54-$B$54)*26/31</f>
        <v>0.41935483870967744</v>
      </c>
      <c r="I54" s="304">
        <v>0.5</v>
      </c>
      <c r="J54" s="287" t="s">
        <v>395</v>
      </c>
      <c r="K54" t="s">
        <v>405</v>
      </c>
      <c r="O54" s="119" t="s">
        <v>207</v>
      </c>
      <c r="P54" s="30">
        <v>0</v>
      </c>
      <c r="Q54" s="30"/>
      <c r="R54" s="30"/>
      <c r="S54" s="30"/>
      <c r="T54" s="30"/>
      <c r="U54" s="30"/>
      <c r="V54" s="30"/>
      <c r="W54" s="30">
        <v>0.5</v>
      </c>
    </row>
    <row r="55" spans="1:23" ht="13.8" customHeight="1">
      <c r="A55" s="119" t="s">
        <v>235</v>
      </c>
      <c r="B55" s="85">
        <v>0</v>
      </c>
      <c r="C55" s="85">
        <v>0</v>
      </c>
      <c r="D55" s="85">
        <v>0.1</v>
      </c>
      <c r="E55" s="85">
        <v>0.2</v>
      </c>
      <c r="F55" s="85">
        <v>0.4</v>
      </c>
      <c r="G55" s="85">
        <v>0.6</v>
      </c>
      <c r="H55" s="85">
        <v>0.8</v>
      </c>
      <c r="I55" s="282">
        <v>1</v>
      </c>
      <c r="J55" s="287" t="s">
        <v>396</v>
      </c>
      <c r="K55" t="s">
        <v>405</v>
      </c>
      <c r="O55" s="119" t="s">
        <v>228</v>
      </c>
      <c r="P55" s="30">
        <v>28.27</v>
      </c>
      <c r="Q55" s="30"/>
      <c r="R55" s="30"/>
      <c r="S55" s="30"/>
      <c r="T55" s="30"/>
      <c r="U55" s="30"/>
      <c r="V55" s="30"/>
      <c r="W55" s="30">
        <v>26.776028657013001</v>
      </c>
    </row>
    <row r="56" spans="1:23" ht="13.8" customHeight="1">
      <c r="A56" s="285" t="s">
        <v>228</v>
      </c>
      <c r="B56" s="160">
        <f>K14</f>
        <v>0</v>
      </c>
      <c r="C56" s="160">
        <f>L14</f>
        <v>0</v>
      </c>
      <c r="D56" s="160">
        <f t="shared" ref="D56:I56" si="16">$B56*(1-D54)*D53*(D52/$B52)*(1-D55)</f>
        <v>0</v>
      </c>
      <c r="E56" s="160">
        <f t="shared" si="16"/>
        <v>0</v>
      </c>
      <c r="F56" s="160">
        <f t="shared" si="16"/>
        <v>0</v>
      </c>
      <c r="G56" s="160">
        <f t="shared" si="16"/>
        <v>0</v>
      </c>
      <c r="H56" s="160">
        <f t="shared" si="16"/>
        <v>0</v>
      </c>
      <c r="I56" s="160">
        <f t="shared" si="16"/>
        <v>0</v>
      </c>
      <c r="J56" s="287" t="s">
        <v>230</v>
      </c>
      <c r="K56" t="s">
        <v>405</v>
      </c>
      <c r="O56" s="119" t="s">
        <v>210</v>
      </c>
      <c r="P56" s="30">
        <v>368</v>
      </c>
      <c r="Q56" s="30"/>
      <c r="R56" s="30"/>
      <c r="S56" s="30"/>
      <c r="T56" s="30"/>
      <c r="U56" s="30"/>
      <c r="V56" s="30"/>
      <c r="W56" s="30">
        <v>1039.6506900941899</v>
      </c>
    </row>
    <row r="57" spans="1:23" ht="13.8" customHeight="1">
      <c r="A57" s="285" t="s">
        <v>210</v>
      </c>
      <c r="B57" s="160">
        <f>K15</f>
        <v>294</v>
      </c>
      <c r="C57" s="160">
        <f>B57</f>
        <v>294</v>
      </c>
      <c r="D57" s="152">
        <f t="shared" ref="D57:I57" si="17">$B57*(D52/$B52)*D53+1.1*D54*$B56*D53*(D52/$B52)</f>
        <v>293.70831572035564</v>
      </c>
      <c r="E57" s="152">
        <f t="shared" si="17"/>
        <v>289.24478672695653</v>
      </c>
      <c r="F57" s="152">
        <f t="shared" si="17"/>
        <v>281.56775088738721</v>
      </c>
      <c r="G57" s="152">
        <f t="shared" si="17"/>
        <v>270.48216428402236</v>
      </c>
      <c r="H57" s="152">
        <f t="shared" si="17"/>
        <v>245.13494204093493</v>
      </c>
      <c r="I57" s="286">
        <f t="shared" si="17"/>
        <v>207.64201772597886</v>
      </c>
      <c r="J57" s="287"/>
      <c r="K57" t="s">
        <v>406</v>
      </c>
      <c r="O57" s="119" t="s">
        <v>212</v>
      </c>
      <c r="P57" s="30">
        <v>145</v>
      </c>
      <c r="Q57" s="30"/>
      <c r="R57" s="30"/>
      <c r="S57" s="30"/>
      <c r="T57" s="30"/>
      <c r="U57" s="30"/>
      <c r="V57" s="30"/>
      <c r="W57" s="30">
        <v>0</v>
      </c>
    </row>
    <row r="58" spans="1:23" ht="13.8" customHeight="1">
      <c r="A58" s="119" t="s">
        <v>212</v>
      </c>
      <c r="B58" s="299">
        <f>K16</f>
        <v>2.231163316408789</v>
      </c>
      <c r="C58" s="299">
        <f>$B$58+($I$58-$B$58)*1/31</f>
        <v>2.1591903062020537</v>
      </c>
      <c r="D58" s="299">
        <f>$B$58+($I$58-$B$58)*6/31</f>
        <v>1.7993252551683783</v>
      </c>
      <c r="E58" s="299">
        <f>$B$58+($I$58-$B$58)*11/31</f>
        <v>1.4394602041347024</v>
      </c>
      <c r="F58" s="299">
        <f>$B$58+($I$58-$B$58)*16/31</f>
        <v>1.0795951531010268</v>
      </c>
      <c r="G58" s="299">
        <f>$B$58+($I$58-$B$58)*21/31</f>
        <v>0.71973010206735122</v>
      </c>
      <c r="H58" s="299">
        <f>$B$58+($I$58-$B$58)*26/31</f>
        <v>0.35986505103367583</v>
      </c>
      <c r="I58" s="305">
        <v>0</v>
      </c>
      <c r="J58" s="287" t="s">
        <v>397</v>
      </c>
      <c r="K58" t="s">
        <v>405</v>
      </c>
      <c r="O58" s="30" t="s">
        <v>231</v>
      </c>
      <c r="P58" s="30"/>
      <c r="Q58" s="30"/>
      <c r="R58" s="30"/>
      <c r="S58" s="30"/>
      <c r="T58" s="30"/>
      <c r="U58" s="30"/>
      <c r="V58" s="30"/>
      <c r="W58" s="30"/>
    </row>
    <row r="59" spans="1:23" ht="13.8" customHeight="1">
      <c r="A59" s="30" t="s">
        <v>231</v>
      </c>
      <c r="B59" s="160">
        <f>K17</f>
        <v>0</v>
      </c>
      <c r="C59" s="163">
        <f>L17</f>
        <v>0</v>
      </c>
      <c r="D59" s="152">
        <f t="shared" ref="D59:I59" si="18">$B59*D52/$B52</f>
        <v>0</v>
      </c>
      <c r="E59" s="152">
        <f t="shared" si="18"/>
        <v>0</v>
      </c>
      <c r="F59" s="152">
        <f t="shared" si="18"/>
        <v>0</v>
      </c>
      <c r="G59" s="152">
        <f t="shared" si="18"/>
        <v>0</v>
      </c>
      <c r="H59" s="152">
        <f t="shared" si="18"/>
        <v>0</v>
      </c>
      <c r="I59" s="286">
        <f t="shared" si="18"/>
        <v>0</v>
      </c>
      <c r="J59" s="287"/>
      <c r="K59" t="s">
        <v>405</v>
      </c>
      <c r="O59" s="30" t="s">
        <v>232</v>
      </c>
      <c r="P59" s="30"/>
      <c r="Q59" s="30"/>
      <c r="R59" s="30"/>
      <c r="S59" s="30"/>
      <c r="T59" s="30"/>
      <c r="U59" s="30"/>
      <c r="V59" s="30"/>
      <c r="W59" s="30"/>
    </row>
    <row r="60" spans="1:23" ht="13.8" customHeight="1">
      <c r="A60" s="30" t="s">
        <v>236</v>
      </c>
      <c r="B60" s="299">
        <v>0</v>
      </c>
      <c r="C60" s="306">
        <v>0</v>
      </c>
      <c r="D60" s="306">
        <f>C60+($I60-$C60)/6</f>
        <v>8.3333333333333329E-2</v>
      </c>
      <c r="E60" s="306">
        <f>D60+($I60-$C60)/6</f>
        <v>0.16666666666666666</v>
      </c>
      <c r="F60" s="306">
        <f>E60+($I60-$C60)/6</f>
        <v>0.25</v>
      </c>
      <c r="G60" s="306">
        <f>F60+($I60-$C60)/6</f>
        <v>0.33333333333333331</v>
      </c>
      <c r="H60" s="306">
        <f>G60+($I60-$C60)/6</f>
        <v>0.41666666666666663</v>
      </c>
      <c r="I60" s="307">
        <v>0.5</v>
      </c>
      <c r="J60" s="287" t="s">
        <v>398</v>
      </c>
      <c r="K60" t="s">
        <v>405</v>
      </c>
      <c r="O60" s="30" t="s">
        <v>233</v>
      </c>
      <c r="P60" s="30"/>
      <c r="Q60" s="30"/>
      <c r="R60" s="30"/>
      <c r="S60" s="30"/>
      <c r="T60" s="30"/>
      <c r="U60" s="30"/>
      <c r="V60" s="30"/>
      <c r="W60" s="30"/>
    </row>
    <row r="61" spans="1:23" ht="13.8" customHeight="1">
      <c r="A61" s="30" t="s">
        <v>237</v>
      </c>
      <c r="B61" s="152">
        <f t="shared" ref="B61:I61" si="19">B60*B59</f>
        <v>0</v>
      </c>
      <c r="C61" s="152">
        <f t="shared" si="19"/>
        <v>0</v>
      </c>
      <c r="D61" s="152">
        <f t="shared" si="19"/>
        <v>0</v>
      </c>
      <c r="E61" s="152">
        <f t="shared" si="19"/>
        <v>0</v>
      </c>
      <c r="F61" s="152">
        <f t="shared" si="19"/>
        <v>0</v>
      </c>
      <c r="G61" s="152">
        <f t="shared" si="19"/>
        <v>0</v>
      </c>
      <c r="H61" s="152">
        <f t="shared" si="19"/>
        <v>0</v>
      </c>
      <c r="I61" s="286">
        <f t="shared" si="19"/>
        <v>0</v>
      </c>
      <c r="J61" s="287"/>
      <c r="K61" t="s">
        <v>405</v>
      </c>
    </row>
    <row r="62" spans="1:23" ht="13.8" customHeight="1">
      <c r="A62" s="30" t="s">
        <v>232</v>
      </c>
      <c r="B62" s="39">
        <f>K18</f>
        <v>0</v>
      </c>
      <c r="C62" s="143">
        <f>L18</f>
        <v>0</v>
      </c>
      <c r="D62" s="149">
        <f t="shared" ref="D62:I62" si="20">$B62*(D52/$B52) + $B56*(1-D54)*D53*D55*(D52/$B52)</f>
        <v>0</v>
      </c>
      <c r="E62" s="149">
        <f t="shared" si="20"/>
        <v>0</v>
      </c>
      <c r="F62" s="149">
        <f t="shared" si="20"/>
        <v>0</v>
      </c>
      <c r="G62" s="149">
        <f t="shared" si="20"/>
        <v>0</v>
      </c>
      <c r="H62" s="149">
        <f t="shared" si="20"/>
        <v>0</v>
      </c>
      <c r="I62" s="286">
        <f t="shared" si="20"/>
        <v>0</v>
      </c>
      <c r="J62" s="287" t="s">
        <v>238</v>
      </c>
      <c r="K62" t="s">
        <v>406</v>
      </c>
    </row>
    <row r="63" spans="1:23" ht="13.8" customHeight="1">
      <c r="A63" s="30" t="s">
        <v>233</v>
      </c>
      <c r="B63" s="39">
        <f>K19</f>
        <v>0</v>
      </c>
      <c r="C63" s="143">
        <f>L19</f>
        <v>0</v>
      </c>
      <c r="D63" s="149">
        <f t="shared" ref="D63:I63" si="21">$B63*D52/$B52</f>
        <v>0</v>
      </c>
      <c r="E63" s="149">
        <f t="shared" si="21"/>
        <v>0</v>
      </c>
      <c r="F63" s="149">
        <f t="shared" si="21"/>
        <v>0</v>
      </c>
      <c r="G63" s="149">
        <f t="shared" si="21"/>
        <v>0</v>
      </c>
      <c r="H63" s="149">
        <f t="shared" si="21"/>
        <v>0</v>
      </c>
      <c r="I63" s="286">
        <f t="shared" si="21"/>
        <v>0</v>
      </c>
      <c r="J63" s="287" t="s">
        <v>239</v>
      </c>
      <c r="K63" t="s">
        <v>405</v>
      </c>
    </row>
    <row r="64" spans="1:23">
      <c r="A64" s="540" t="s">
        <v>618</v>
      </c>
      <c r="B64" s="540"/>
      <c r="C64" s="540"/>
      <c r="D64" s="540"/>
      <c r="E64" s="540"/>
      <c r="F64" s="540"/>
      <c r="G64" s="540"/>
      <c r="H64" s="540"/>
      <c r="I64" s="540"/>
      <c r="J64" s="540"/>
      <c r="K64" t="s">
        <v>405</v>
      </c>
    </row>
    <row r="65" spans="9:9">
      <c r="I65">
        <f>I57/B57</f>
        <v>0.70626536641489412</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Pour Enerdata</vt:lpstr>
      <vt:lpstr>DESCRIPTION</vt:lpstr>
      <vt:lpstr>Hypothèses</vt:lpstr>
      <vt:lpstr>Compatibilité CDN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CH4</vt:lpstr>
      <vt:lpstr>N2O</vt:lpstr>
      <vt:lpstr>HFC</vt:lpstr>
      <vt:lpstr>CO2</vt:lpstr>
      <vt:lpstr>Bilan d'énergie SDES historique</vt:lpstr>
      <vt:lpstr>Calculs</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2023-02-09T09:49:02Z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