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omments8.xml" ContentType="application/vnd.openxmlformats-officedocument.spreadsheetml.comment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omments9.xml" ContentType="application/vnd.openxmlformats-officedocument.spreadsheetml.comments+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drawings/drawing5.xml" ContentType="application/vnd.openxmlformats-officedocument.drawing+xml"/>
  <Override PartName="/xl/comments15.xml" ContentType="application/vnd.openxmlformats-officedocument.spreadsheetml.comments+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omments16.xml" ContentType="application/vnd.openxmlformats-officedocument.spreadsheetml.comments+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435" firstSheet="4" activeTab="14"/>
  </bookViews>
  <sheets>
    <sheet name="Suivi intégration" sheetId="9" state="hidden" r:id="rId1"/>
    <sheet name="Notes de version" sheetId="2" state="hidden" r:id="rId2"/>
    <sheet name="ReadMe" sheetId="20" r:id="rId3"/>
    <sheet name="Bilan Energétique" sheetId="6" r:id="rId4"/>
    <sheet name="GES" sheetId="5" r:id="rId5"/>
    <sheet name="Bilan sols" sheetId="25" r:id="rId6"/>
    <sheet name="Rep Graph" sheetId="23" state="hidden" r:id="rId7"/>
    <sheet name="Indicateurs" sheetId="8" r:id="rId8"/>
    <sheet name="Sorties graphiques" sheetId="24" state="hidden" r:id="rId9"/>
    <sheet name="Sorties tableaux" sheetId="26" state="hidden" r:id="rId10"/>
    <sheet name="Comparaison AME" sheetId="18" r:id="rId11"/>
    <sheet name="Valeurs manquantes" sheetId="21" r:id="rId12"/>
    <sheet name="Puits C" sheetId="10" r:id="rId13"/>
    <sheet name="Transformations" sheetId="12" r:id="rId14"/>
    <sheet name="Carburants" sheetId="31" r:id="rId15"/>
    <sheet name="Chaleur" sheetId="17" r:id="rId16"/>
    <sheet name="Electricité" sheetId="11" r:id="rId17"/>
    <sheet name="H2 Industrie" sheetId="22" r:id="rId18"/>
    <sheet name="Calcul indicateurs" sheetId="19" r:id="rId19"/>
    <sheet name="ClimAgri" sheetId="4" state="hidden" r:id="rId20"/>
    <sheet name="Energie BAU" sheetId="7" state="hidden" r:id="rId21"/>
    <sheet name="GEStime STM" sheetId="28" state="hidden" r:id="rId22"/>
    <sheet name="Bilan E - old" sheetId="1" state="hidden" r:id="rId23"/>
    <sheet name="Tableau flux BAU" sheetId="15" state="hidden" r:id="rId24"/>
    <sheet name="Bilan de matière" sheetId="30" state="hidden" r:id="rId25"/>
    <sheet name="Flux Bio - Ressources" sheetId="29" state="hidden" r:id="rId26"/>
  </sheets>
  <externalReferences>
    <externalReference r:id="rId27"/>
    <externalReference r:id="rId28"/>
    <externalReference r:id="rId29"/>
    <externalReference r:id="rId30"/>
  </externalReferences>
  <definedNames>
    <definedName name="_xlnm._FilterDatabase" localSheetId="22" hidden="1">'Bilan E - old'!$A$1:$U$10</definedName>
    <definedName name="_xlnm._FilterDatabase" localSheetId="3" hidden="1">'Bilan Energétique'!$A$1:$Y$33</definedName>
    <definedName name="_xlnm._FilterDatabase" localSheetId="25" hidden="1">'Flux Bio - Ressources'!$A$1:$AQ$346</definedName>
    <definedName name="_Order1" hidden="1">255</definedName>
    <definedName name="_Order2" hidden="1">255</definedName>
    <definedName name="Actuel_2015">'Flux Bio - Ressources'!$A$4:$AM$346</definedName>
    <definedName name="Agriculture">"$'agriculture 2015'.$a$#ref !"</definedName>
    <definedName name="AME" localSheetId="19">[1]Data!$B$13</definedName>
    <definedName name="AME">[2]Data!$B$13</definedName>
    <definedName name="AMS_original" localSheetId="19">[1]Data!$B$14</definedName>
    <definedName name="AMS_original">[2]Data!$B$14</definedName>
    <definedName name="CC_1" localSheetId="15">#REF!</definedName>
    <definedName name="CC_1" localSheetId="20">#REF!</definedName>
    <definedName name="CC_1">#REF!</definedName>
    <definedName name="CC_2" localSheetId="15">#REF!</definedName>
    <definedName name="CC_2">#REF!</definedName>
    <definedName name="CC_3" localSheetId="15">#REF!</definedName>
    <definedName name="CC_3">#REF!</definedName>
    <definedName name="Choix_scenario" localSheetId="19">[1]ReadMe!$H$10</definedName>
    <definedName name="Choix_scenario">[2]ReadMe!$H$10</definedName>
    <definedName name="ddlBaseYears">[3]List!$C$1:$C$10</definedName>
    <definedName name="ddlMSList">[3]List!$B$1:$B$34</definedName>
    <definedName name="Deb_periode">[4]Paramètrage!$C$505:$F$505</definedName>
    <definedName name="EstDecarbone">'Bilan Energétique'!$C$43:$Y$43</definedName>
    <definedName name="Fact_NV_rehab">[4]Paramètrage!$D$18</definedName>
    <definedName name="facteur_emmissions_vecteur">'Bilan Energétique'!$C$41:$Y$41</definedName>
    <definedName name="Fin_periode">[4]Paramètrage!$C$506:$F$506</definedName>
    <definedName name="horizon_long" localSheetId="19">[1]Data!$B$35</definedName>
    <definedName name="horizon_long">[2]Data!$B$35</definedName>
    <definedName name="horizon_moyen" localSheetId="19">[1]Data!$B$34</definedName>
    <definedName name="horizon_moyen">[2]Data!$B$34</definedName>
    <definedName name="INDSC1" localSheetId="15">#REF!</definedName>
    <definedName name="INDSC1" localSheetId="20">#REF!</definedName>
    <definedName name="INDSC1">#REF!</definedName>
    <definedName name="Mon_scenario" localSheetId="19">[1]Data!$B$15</definedName>
    <definedName name="Mon_scenario">[2]Data!$B$15</definedName>
    <definedName name="Mtep_en_TWh" localSheetId="19">[1]Data!$C$25</definedName>
    <definedName name="Mtep_en_TWh">[2]Data!$C$25</definedName>
    <definedName name="PCI_H2">'H2 Industrie'!$H$3</definedName>
    <definedName name="Periode_constr">[4]Paramètrage!$C$509:$C$512</definedName>
    <definedName name="RESSC1" localSheetId="15">#REF!</definedName>
    <definedName name="RESSC1" localSheetId="20">#REF!</definedName>
    <definedName name="RESSC1">#REF!</definedName>
    <definedName name="RESSC2" localSheetId="15">#REF!</definedName>
    <definedName name="RESSC2" localSheetId="20">#REF!</definedName>
    <definedName name="RESSC2">#REF!</definedName>
    <definedName name="Substrat" localSheetId="15">#REF!</definedName>
    <definedName name="Substrat" localSheetId="20">#REF!</definedName>
    <definedName name="Substrat">#REF!</definedName>
    <definedName name="TERSC1" localSheetId="15">#REF!</definedName>
    <definedName name="TERSC1" localSheetId="20">#REF!</definedName>
    <definedName name="TERSC1">#REF!</definedName>
    <definedName name="TERSC2" localSheetId="15">#REF!</definedName>
    <definedName name="TERSC2" localSheetId="20">#REF!</definedName>
    <definedName name="TERSC2">#REF!</definedName>
    <definedName name="Tertiaire">"$data.$a$#ref !"</definedName>
    <definedName name="Transports">"$data.$a$#ref !"</definedName>
    <definedName name="TRANSSC1" localSheetId="15">#REF!</definedName>
    <definedName name="TRANSSC1" localSheetId="20">#REF!</definedName>
    <definedName name="TRANSSC1">#REF!</definedName>
    <definedName name="TRANSSC2" localSheetId="15">#REF!</definedName>
    <definedName name="TRANSSC2" localSheetId="20">#REF!</definedName>
    <definedName name="TRANSSC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31" l="1"/>
  <c r="E3" i="31"/>
  <c r="D4" i="31"/>
  <c r="D3" i="31"/>
  <c r="C23" i="11"/>
  <c r="E23" i="11"/>
  <c r="C21" i="11"/>
  <c r="E21" i="11"/>
  <c r="C22" i="11"/>
  <c r="E22" i="11"/>
  <c r="C20" i="11"/>
  <c r="E20" i="11"/>
  <c r="C19" i="11"/>
  <c r="E19" i="11"/>
  <c r="C18" i="11"/>
  <c r="E18" i="11"/>
  <c r="C16" i="11"/>
  <c r="E16" i="11"/>
  <c r="E24" i="11" s="1"/>
  <c r="E18" i="17"/>
  <c r="F18" i="17"/>
  <c r="D18" i="17"/>
  <c r="B18" i="17"/>
  <c r="C12" i="17"/>
  <c r="D12" i="17"/>
  <c r="E12" i="17"/>
  <c r="F12" i="17"/>
  <c r="B12" i="17"/>
  <c r="B25" i="30" l="1"/>
  <c r="B22" i="30"/>
  <c r="B21" i="30"/>
  <c r="B20" i="30"/>
  <c r="B23" i="30"/>
  <c r="B24" i="30"/>
  <c r="B19" i="30" l="1"/>
  <c r="H15" i="30"/>
  <c r="G15" i="30"/>
  <c r="F15" i="30"/>
  <c r="E15" i="30"/>
  <c r="B15" i="30"/>
  <c r="AQ346" i="29"/>
  <c r="AQ345" i="29"/>
  <c r="AQ344" i="29"/>
  <c r="AQ343" i="29"/>
  <c r="AQ342" i="29"/>
  <c r="AQ341" i="29"/>
  <c r="AQ340" i="29"/>
  <c r="AQ339" i="29"/>
  <c r="AQ338" i="29"/>
  <c r="AQ337" i="29"/>
  <c r="AQ336" i="29"/>
  <c r="AQ335" i="29"/>
  <c r="AQ334" i="29"/>
  <c r="AQ333" i="29"/>
  <c r="AQ332" i="29"/>
  <c r="AQ331" i="29"/>
  <c r="AQ330" i="29"/>
  <c r="AQ329" i="29"/>
  <c r="AQ328" i="29"/>
  <c r="AQ327" i="29"/>
  <c r="AQ323" i="29"/>
  <c r="AQ322" i="29"/>
  <c r="AQ320" i="29"/>
  <c r="AQ319" i="29"/>
  <c r="AQ318" i="29"/>
  <c r="AQ314" i="29"/>
  <c r="AQ313" i="29"/>
  <c r="AQ312" i="29"/>
  <c r="AQ310" i="29"/>
  <c r="AQ308" i="29"/>
  <c r="AQ307" i="29"/>
  <c r="AQ306" i="29"/>
  <c r="AQ305" i="29"/>
  <c r="AQ304" i="29"/>
  <c r="AQ303" i="29"/>
  <c r="AQ302" i="29"/>
  <c r="AQ301" i="29"/>
  <c r="AQ300" i="29"/>
  <c r="AQ299" i="29"/>
  <c r="AQ298" i="29"/>
  <c r="AQ297" i="29"/>
  <c r="AQ296" i="29"/>
  <c r="AQ295" i="29"/>
  <c r="AQ294" i="29"/>
  <c r="AQ292" i="29"/>
  <c r="AQ291" i="29"/>
  <c r="AQ290" i="29"/>
  <c r="AQ289" i="29"/>
  <c r="AQ288" i="29"/>
  <c r="AQ287" i="29"/>
  <c r="AQ286" i="29"/>
  <c r="AQ284" i="29"/>
  <c r="AQ283" i="29"/>
  <c r="AQ282" i="29"/>
  <c r="AQ281" i="29"/>
  <c r="AQ280" i="29"/>
  <c r="AQ279" i="29"/>
  <c r="AQ278" i="29"/>
  <c r="AQ277" i="29"/>
  <c r="AQ276" i="29"/>
  <c r="AQ275" i="29"/>
  <c r="AQ273" i="29"/>
  <c r="AQ272" i="29"/>
  <c r="AQ271" i="29"/>
  <c r="AQ270" i="29"/>
  <c r="AQ269" i="29"/>
  <c r="AQ268" i="29"/>
  <c r="AQ267" i="29"/>
  <c r="AQ265" i="29"/>
  <c r="AQ264" i="29"/>
  <c r="AQ263" i="29"/>
  <c r="AQ262" i="29"/>
  <c r="AQ260" i="29"/>
  <c r="AQ259" i="29"/>
  <c r="AQ258" i="29"/>
  <c r="AQ257" i="29"/>
  <c r="AQ256" i="29"/>
  <c r="AQ255" i="29"/>
  <c r="AQ253" i="29"/>
  <c r="AQ252" i="29"/>
  <c r="AQ251" i="29"/>
  <c r="AQ250" i="29"/>
  <c r="AQ249" i="29"/>
  <c r="AQ247" i="29"/>
  <c r="AQ246" i="29"/>
  <c r="AQ245" i="29"/>
  <c r="AQ244" i="29"/>
  <c r="AQ242" i="29"/>
  <c r="AQ241" i="29"/>
  <c r="AQ240" i="29"/>
  <c r="AQ239" i="29"/>
  <c r="AQ238" i="29"/>
  <c r="AQ237" i="29"/>
  <c r="AQ236" i="29"/>
  <c r="AQ235" i="29"/>
  <c r="AQ234" i="29"/>
  <c r="AQ233" i="29"/>
  <c r="AQ232" i="29"/>
  <c r="AQ231" i="29"/>
  <c r="AQ230" i="29"/>
  <c r="AQ229" i="29"/>
  <c r="AQ228" i="29"/>
  <c r="AQ227" i="29"/>
  <c r="AQ226" i="29"/>
  <c r="AQ225" i="29"/>
  <c r="AQ224" i="29"/>
  <c r="AQ223" i="29"/>
  <c r="AQ222" i="29"/>
  <c r="AQ221" i="29"/>
  <c r="AQ220" i="29"/>
  <c r="AQ219" i="29"/>
  <c r="AQ218" i="29"/>
  <c r="AQ217" i="29"/>
  <c r="AQ216" i="29"/>
  <c r="AQ215" i="29"/>
  <c r="AQ214" i="29"/>
  <c r="AQ213" i="29"/>
  <c r="AQ212" i="29"/>
  <c r="AQ211" i="29"/>
  <c r="AQ208" i="29"/>
  <c r="AQ207" i="29"/>
  <c r="AQ205" i="29"/>
  <c r="AQ204" i="29"/>
  <c r="AQ203" i="29"/>
  <c r="AQ199" i="29"/>
  <c r="AQ198" i="29"/>
  <c r="AQ197" i="29"/>
  <c r="AQ195" i="29"/>
  <c r="AQ193" i="29"/>
  <c r="AQ192" i="29"/>
  <c r="AQ191" i="29"/>
  <c r="AQ190" i="29"/>
  <c r="AQ189" i="29"/>
  <c r="AQ188" i="29"/>
  <c r="AQ187" i="29"/>
  <c r="AQ186" i="29"/>
  <c r="AQ185" i="29"/>
  <c r="AQ184" i="29"/>
  <c r="AQ183" i="29"/>
  <c r="AQ182" i="29"/>
  <c r="AQ181" i="29"/>
  <c r="AQ180" i="29"/>
  <c r="AQ179" i="29"/>
  <c r="AQ177" i="29"/>
  <c r="AQ176" i="29"/>
  <c r="AQ175" i="29"/>
  <c r="AQ174" i="29"/>
  <c r="AQ173" i="29"/>
  <c r="AQ172" i="29"/>
  <c r="AQ171" i="29"/>
  <c r="AQ169" i="29"/>
  <c r="AQ168" i="29"/>
  <c r="AQ167" i="29"/>
  <c r="AQ166" i="29"/>
  <c r="AQ165" i="29"/>
  <c r="AQ164" i="29"/>
  <c r="AQ163" i="29"/>
  <c r="AQ162" i="29"/>
  <c r="AQ161" i="29"/>
  <c r="AQ160" i="29"/>
  <c r="AQ158" i="29"/>
  <c r="AQ157" i="29"/>
  <c r="AQ156" i="29"/>
  <c r="AQ155" i="29"/>
  <c r="AQ154" i="29"/>
  <c r="AQ153" i="29"/>
  <c r="AQ152" i="29"/>
  <c r="AQ150" i="29"/>
  <c r="AQ149" i="29"/>
  <c r="AQ148" i="29"/>
  <c r="AQ147" i="29"/>
  <c r="AQ145" i="29"/>
  <c r="AQ144" i="29"/>
  <c r="AQ143" i="29"/>
  <c r="AQ142" i="29"/>
  <c r="AQ141" i="29"/>
  <c r="AQ140" i="29"/>
  <c r="AQ138" i="29"/>
  <c r="AQ137" i="29"/>
  <c r="AQ136" i="29"/>
  <c r="AQ135" i="29"/>
  <c r="AQ134" i="29"/>
  <c r="AQ132" i="29"/>
  <c r="AQ131" i="29"/>
  <c r="AQ130" i="29"/>
  <c r="AQ129" i="29"/>
  <c r="AQ127" i="29"/>
  <c r="AQ126" i="29"/>
  <c r="AQ125" i="29"/>
  <c r="AQ124" i="29"/>
  <c r="AQ123" i="29"/>
  <c r="AQ122" i="29"/>
  <c r="AQ121" i="29"/>
  <c r="AQ120" i="29"/>
  <c r="AQ119" i="29"/>
  <c r="AQ118" i="29"/>
  <c r="AQ117" i="29"/>
  <c r="AQ116" i="29"/>
  <c r="AQ115" i="29"/>
  <c r="AQ114" i="29"/>
  <c r="AQ113" i="29"/>
  <c r="AQ112" i="29"/>
  <c r="AQ111" i="29"/>
  <c r="AQ110" i="29"/>
  <c r="AQ109" i="29"/>
  <c r="AQ108" i="29"/>
  <c r="AQ107" i="29"/>
  <c r="AQ106" i="29"/>
  <c r="AQ105" i="29"/>
  <c r="AQ104" i="29"/>
  <c r="AQ103" i="29"/>
  <c r="AQ102" i="29"/>
  <c r="AQ101" i="29"/>
  <c r="AQ100" i="29"/>
  <c r="AQ99" i="29"/>
  <c r="AQ98" i="29"/>
  <c r="AQ97" i="29"/>
  <c r="AQ96" i="29"/>
  <c r="AQ93" i="29"/>
  <c r="AQ92" i="29"/>
  <c r="AQ90" i="29"/>
  <c r="AQ89" i="29"/>
  <c r="AQ88" i="29"/>
  <c r="AQ84" i="29"/>
  <c r="AQ83" i="29"/>
  <c r="AQ80" i="29"/>
  <c r="AQ78" i="29"/>
  <c r="AQ77" i="29"/>
  <c r="AQ76" i="29"/>
  <c r="AQ75" i="29"/>
  <c r="AQ74" i="29"/>
  <c r="AQ73" i="29"/>
  <c r="AQ72" i="29"/>
  <c r="AQ71" i="29"/>
  <c r="AQ70" i="29"/>
  <c r="AQ69" i="29"/>
  <c r="AQ67" i="29"/>
  <c r="AQ66" i="29"/>
  <c r="AQ65" i="29"/>
  <c r="AQ64" i="29"/>
  <c r="AQ63" i="29"/>
  <c r="AQ62" i="29"/>
  <c r="AQ61" i="29"/>
  <c r="AQ60" i="29"/>
  <c r="AQ59" i="29"/>
  <c r="AQ58" i="29"/>
  <c r="AQ57" i="29"/>
  <c r="AQ55" i="29"/>
  <c r="AQ54" i="29"/>
  <c r="AQ53" i="29"/>
  <c r="AQ52" i="29"/>
  <c r="AQ51" i="29"/>
  <c r="AQ50" i="29"/>
  <c r="AQ49" i="29"/>
  <c r="AQ48" i="29"/>
  <c r="AQ47" i="29"/>
  <c r="AQ46" i="29"/>
  <c r="AQ45" i="29"/>
  <c r="AQ43" i="29"/>
  <c r="AQ42" i="29"/>
  <c r="AQ41" i="29"/>
  <c r="AQ40" i="29"/>
  <c r="AQ39" i="29"/>
  <c r="AQ38" i="29"/>
  <c r="AQ37" i="29"/>
  <c r="AQ35" i="29"/>
  <c r="AQ34" i="29"/>
  <c r="AQ33" i="29"/>
  <c r="AQ32" i="29"/>
  <c r="AQ30" i="29"/>
  <c r="AQ29" i="29"/>
  <c r="AQ28" i="29"/>
  <c r="AQ27" i="29"/>
  <c r="AQ26" i="29"/>
  <c r="AQ24" i="29"/>
  <c r="AQ23" i="29"/>
  <c r="AQ22" i="29"/>
  <c r="AQ21" i="29"/>
  <c r="AQ20" i="29"/>
  <c r="AQ19" i="29"/>
  <c r="AQ17" i="29"/>
  <c r="AQ16" i="29"/>
  <c r="AQ15" i="29"/>
  <c r="AQ14" i="29"/>
  <c r="AQ13" i="29"/>
  <c r="AQ12" i="29"/>
  <c r="AQ11" i="29"/>
  <c r="AQ10" i="29"/>
  <c r="AQ9" i="29"/>
  <c r="AQ8" i="29"/>
  <c r="AQ7" i="29"/>
  <c r="AQ6" i="29"/>
  <c r="AQ5" i="29"/>
  <c r="AQ4" i="29"/>
  <c r="AQ3" i="29"/>
  <c r="AQ2" i="29"/>
  <c r="M15" i="24" l="1"/>
  <c r="M16" i="24"/>
  <c r="M17" i="24"/>
  <c r="M18" i="24"/>
  <c r="L15" i="24"/>
  <c r="L16" i="24"/>
  <c r="L17" i="24"/>
  <c r="L18" i="24"/>
  <c r="I13" i="24" l="1"/>
  <c r="J13" i="24"/>
  <c r="I14" i="24"/>
  <c r="J14" i="24"/>
  <c r="I15" i="24"/>
  <c r="J15" i="24"/>
  <c r="K15" i="24"/>
  <c r="I16" i="24"/>
  <c r="J16" i="24"/>
  <c r="K16" i="24"/>
  <c r="I17" i="24"/>
  <c r="J17" i="24"/>
  <c r="K17" i="24"/>
  <c r="I18" i="24"/>
  <c r="J18" i="24"/>
  <c r="K18" i="24"/>
  <c r="I20" i="24"/>
  <c r="J20" i="24"/>
  <c r="I21" i="24"/>
  <c r="J21" i="24"/>
  <c r="R28" i="24"/>
  <c r="P25" i="24"/>
  <c r="Q26" i="24"/>
  <c r="Q27" i="24"/>
  <c r="Q29" i="24"/>
  <c r="Q30" i="24"/>
  <c r="Q31" i="24"/>
  <c r="R31" i="24"/>
  <c r="O26" i="24"/>
  <c r="P26" i="24"/>
  <c r="O27" i="24"/>
  <c r="P27" i="24"/>
  <c r="O28" i="24"/>
  <c r="P28" i="24"/>
  <c r="O29" i="24"/>
  <c r="P29" i="24"/>
  <c r="O30" i="24"/>
  <c r="P30" i="24"/>
  <c r="O31" i="24"/>
  <c r="P31" i="24"/>
  <c r="D29" i="7"/>
  <c r="C29" i="7"/>
  <c r="AG55" i="24"/>
  <c r="U30" i="6"/>
  <c r="S30" i="6"/>
  <c r="R30" i="6"/>
  <c r="Q30" i="6"/>
  <c r="O30" i="6"/>
  <c r="I30" i="6"/>
  <c r="G30" i="6"/>
  <c r="F30" i="6"/>
  <c r="D8" i="28"/>
  <c r="E8" i="28"/>
  <c r="F8" i="28"/>
  <c r="G8" i="28"/>
  <c r="H8" i="28"/>
  <c r="I8" i="28"/>
  <c r="J8" i="28"/>
  <c r="K8" i="28"/>
  <c r="L8" i="28"/>
  <c r="M8" i="28"/>
  <c r="N8" i="28"/>
  <c r="O8" i="28"/>
  <c r="P8" i="28"/>
  <c r="Q8" i="28"/>
  <c r="R8" i="28"/>
  <c r="S8" i="28"/>
  <c r="T8" i="28"/>
  <c r="U8" i="28"/>
  <c r="V8" i="28"/>
  <c r="C8" i="28"/>
  <c r="D22" i="23" l="1"/>
  <c r="D21" i="23"/>
  <c r="E6" i="25" l="1"/>
  <c r="C5" i="25" l="1"/>
  <c r="B5" i="25"/>
  <c r="C6" i="25"/>
  <c r="B6" i="25"/>
  <c r="C7" i="25"/>
  <c r="B7" i="25"/>
  <c r="C3" i="25"/>
  <c r="B3" i="25"/>
  <c r="D37" i="25" l="1"/>
  <c r="C4" i="25" s="1"/>
  <c r="C8" i="25" s="1"/>
  <c r="C37" i="25"/>
  <c r="B4" i="25" s="1"/>
  <c r="B8" i="25" s="1"/>
  <c r="D38" i="26" l="1"/>
  <c r="D36" i="26"/>
  <c r="D35" i="26"/>
  <c r="D34" i="26"/>
  <c r="D33" i="26"/>
  <c r="D32" i="26"/>
  <c r="D31" i="26"/>
  <c r="D24" i="26"/>
  <c r="D22" i="26"/>
  <c r="D21" i="26"/>
  <c r="D20" i="26"/>
  <c r="D19" i="26"/>
  <c r="D18" i="26"/>
  <c r="D17" i="26"/>
  <c r="D4" i="26"/>
  <c r="D5" i="26"/>
  <c r="D6" i="26"/>
  <c r="D7" i="26"/>
  <c r="D8" i="26"/>
  <c r="D10" i="26"/>
  <c r="D3" i="26"/>
  <c r="AC40" i="26"/>
  <c r="AD40" i="26"/>
  <c r="AE40" i="26"/>
  <c r="AF40" i="26"/>
  <c r="AG40" i="26"/>
  <c r="AH40" i="26"/>
  <c r="AI40" i="26"/>
  <c r="AJ40" i="26"/>
  <c r="AK40" i="26"/>
  <c r="AL40" i="26"/>
  <c r="AM40" i="26"/>
  <c r="AC41" i="26"/>
  <c r="AD41" i="26"/>
  <c r="AE41" i="26"/>
  <c r="AF41" i="26"/>
  <c r="AG41" i="26"/>
  <c r="AH41" i="26"/>
  <c r="AI41" i="26"/>
  <c r="AJ41" i="26"/>
  <c r="AK41" i="26"/>
  <c r="AL41" i="26"/>
  <c r="AM41" i="26"/>
  <c r="AC38" i="26"/>
  <c r="AD38" i="26"/>
  <c r="AE38" i="26"/>
  <c r="AF38" i="26"/>
  <c r="AG38" i="26"/>
  <c r="AH38" i="26"/>
  <c r="AI38" i="26"/>
  <c r="AJ38" i="26"/>
  <c r="AK38" i="26"/>
  <c r="AL38" i="26"/>
  <c r="AM38" i="26"/>
  <c r="P41" i="26"/>
  <c r="Q41" i="26"/>
  <c r="R41" i="26"/>
  <c r="S41" i="26"/>
  <c r="T41" i="26"/>
  <c r="U41" i="26"/>
  <c r="V41" i="26"/>
  <c r="W41" i="26"/>
  <c r="X41" i="26"/>
  <c r="Y41" i="26"/>
  <c r="Z41" i="26"/>
  <c r="P40" i="26"/>
  <c r="Q40" i="26"/>
  <c r="R40" i="26"/>
  <c r="S40" i="26"/>
  <c r="T40" i="26"/>
  <c r="U40" i="26"/>
  <c r="V40" i="26"/>
  <c r="W40" i="26"/>
  <c r="X40" i="26"/>
  <c r="Y40" i="26"/>
  <c r="Z40" i="26"/>
  <c r="Q38" i="26"/>
  <c r="R38" i="26"/>
  <c r="S38" i="26"/>
  <c r="T38" i="26"/>
  <c r="U38" i="26"/>
  <c r="V38" i="26"/>
  <c r="W38" i="26"/>
  <c r="X38" i="26"/>
  <c r="Y38" i="26"/>
  <c r="Z38" i="26"/>
  <c r="P38" i="26"/>
  <c r="Z35" i="26"/>
  <c r="Z34" i="26"/>
  <c r="Z33" i="26"/>
  <c r="Z32" i="26"/>
  <c r="Z31" i="26"/>
  <c r="Z30" i="26"/>
  <c r="Z29" i="26"/>
  <c r="Z28" i="26"/>
  <c r="E3" i="25" l="1"/>
  <c r="E7" i="25" s="1"/>
  <c r="D8" i="25"/>
  <c r="W35" i="24" l="1"/>
  <c r="X35" i="24"/>
  <c r="V35" i="24"/>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1" i="4"/>
  <c r="AG54" i="24" l="1"/>
  <c r="AG51" i="24"/>
  <c r="AG53" i="24"/>
  <c r="AG52" i="24"/>
  <c r="AG50" i="24"/>
  <c r="AG49" i="24"/>
  <c r="AG48" i="24"/>
  <c r="AG47" i="24"/>
  <c r="AG46" i="24"/>
  <c r="Y37" i="24"/>
  <c r="Y36" i="24"/>
  <c r="Y38" i="24"/>
  <c r="Y39" i="24"/>
  <c r="Y41" i="24"/>
  <c r="Y42" i="24"/>
  <c r="Y35" i="24" l="1"/>
  <c r="R30" i="24" l="1"/>
  <c r="R29" i="24"/>
  <c r="R27" i="24"/>
  <c r="R26" i="24"/>
  <c r="D27" i="23"/>
  <c r="D29" i="23" s="1"/>
  <c r="D25" i="23"/>
  <c r="D24" i="23"/>
  <c r="D23" i="23"/>
  <c r="D20" i="23"/>
  <c r="C21" i="23"/>
  <c r="X33" i="23"/>
  <c r="Y33" i="23"/>
  <c r="Z33" i="23"/>
  <c r="AA33" i="23"/>
  <c r="AB33" i="23"/>
  <c r="AC33" i="23"/>
  <c r="AD33" i="23"/>
  <c r="AE33" i="23"/>
  <c r="AF33" i="23"/>
  <c r="AG33" i="23"/>
  <c r="W33" i="23"/>
  <c r="C25" i="23" l="1"/>
  <c r="C24" i="23"/>
  <c r="C23" i="23"/>
  <c r="C20" i="23"/>
  <c r="X26" i="23"/>
  <c r="Y26" i="23"/>
  <c r="Z26" i="23"/>
  <c r="AA26" i="23"/>
  <c r="AB26" i="23"/>
  <c r="AC26" i="23"/>
  <c r="AD26" i="23"/>
  <c r="AE26" i="23"/>
  <c r="AF26" i="23"/>
  <c r="W26" i="23"/>
  <c r="AG25" i="23"/>
  <c r="AG26" i="23" s="1"/>
  <c r="G31" i="8" l="1"/>
  <c r="A3" i="24"/>
  <c r="A8" i="24"/>
  <c r="A7" i="24"/>
  <c r="C6" i="24"/>
  <c r="D6" i="24" s="1"/>
  <c r="A6" i="24"/>
  <c r="C5" i="24"/>
  <c r="D5" i="24" s="1"/>
  <c r="A5" i="24"/>
  <c r="A4" i="24"/>
  <c r="D13" i="23" l="1"/>
  <c r="D12" i="23"/>
  <c r="D9" i="23" l="1"/>
  <c r="D8" i="23"/>
  <c r="E67" i="23" l="1"/>
  <c r="E73" i="23" s="1"/>
  <c r="AC20" i="23" l="1"/>
  <c r="AC19" i="23"/>
  <c r="AC18" i="23"/>
  <c r="AC17" i="23"/>
  <c r="AC16" i="23"/>
  <c r="AC15" i="23"/>
  <c r="AC14" i="23"/>
  <c r="AC13" i="23"/>
  <c r="AC12" i="23"/>
  <c r="AC11" i="23"/>
  <c r="AC10" i="23"/>
  <c r="AC9" i="23"/>
  <c r="AC8" i="23"/>
  <c r="F69" i="23" l="1"/>
  <c r="F67" i="23"/>
  <c r="I54" i="23"/>
  <c r="H54" i="23"/>
  <c r="G54" i="23"/>
  <c r="F54" i="23"/>
  <c r="C54" i="23"/>
  <c r="I46" i="23"/>
  <c r="H46" i="23"/>
  <c r="G46" i="23"/>
  <c r="F46" i="23"/>
  <c r="C46" i="23"/>
  <c r="G21" i="23"/>
  <c r="G27" i="23" s="1"/>
  <c r="F21" i="23"/>
  <c r="F27" i="23" s="1"/>
  <c r="I21" i="23"/>
  <c r="I27" i="23" s="1"/>
  <c r="C27" i="23"/>
  <c r="I12" i="23"/>
  <c r="H12" i="23"/>
  <c r="G12" i="23"/>
  <c r="F12" i="23"/>
  <c r="I11" i="23"/>
  <c r="H11" i="23"/>
  <c r="G11" i="23"/>
  <c r="F11" i="23"/>
  <c r="C10" i="23"/>
  <c r="C9" i="23"/>
  <c r="C8" i="23" s="1"/>
  <c r="C12" i="23" s="1"/>
  <c r="I29" i="23" l="1"/>
  <c r="F29" i="23"/>
  <c r="G29" i="23"/>
  <c r="H13" i="23"/>
  <c r="G13" i="23"/>
  <c r="I13" i="23"/>
  <c r="F13" i="23"/>
  <c r="H21" i="23"/>
  <c r="H27" i="23" s="1"/>
  <c r="H29" i="23" s="1"/>
  <c r="C11" i="22" l="1"/>
  <c r="D11" i="22" s="1"/>
  <c r="C4" i="22"/>
  <c r="D4" i="22" s="1"/>
  <c r="B10" i="22"/>
  <c r="B12" i="22" s="1"/>
  <c r="B4" i="22"/>
  <c r="Q20" i="6" l="1"/>
  <c r="C10" i="22"/>
  <c r="D10" i="22" s="1"/>
  <c r="Q33" i="6" s="1"/>
  <c r="C12" i="22"/>
  <c r="C9" i="22" s="1"/>
  <c r="D9" i="22" s="1"/>
  <c r="Q27" i="6" s="1"/>
  <c r="D12" i="22" l="1"/>
  <c r="D7" i="22" l="1"/>
  <c r="C6" i="22" l="1"/>
  <c r="D6" i="22" s="1"/>
  <c r="C5" i="12" s="1"/>
  <c r="C5" i="22"/>
  <c r="D5" i="22" s="1"/>
  <c r="C8" i="12" s="1"/>
  <c r="D8" i="12" s="1"/>
  <c r="R21" i="6" s="1"/>
  <c r="B5" i="22"/>
  <c r="C3" i="22"/>
  <c r="D3" i="22" s="1"/>
  <c r="Q5" i="6" s="1"/>
  <c r="Q21" i="6" l="1"/>
  <c r="B7" i="22"/>
  <c r="G4" i="8" l="1"/>
  <c r="G3" i="8"/>
  <c r="AA13" i="6"/>
  <c r="AA14" i="6"/>
  <c r="AA16" i="6"/>
  <c r="AA22" i="6"/>
  <c r="AA23" i="6"/>
  <c r="AA24" i="6"/>
  <c r="AA27" i="6"/>
  <c r="AA28" i="6"/>
  <c r="AA29" i="6"/>
  <c r="AA30" i="6"/>
  <c r="U31" i="6"/>
  <c r="T31" i="6"/>
  <c r="R31" i="6"/>
  <c r="O31" i="6"/>
  <c r="H31" i="6"/>
  <c r="C31" i="6"/>
  <c r="C1" i="21" l="1"/>
  <c r="G30" i="8" l="1"/>
  <c r="G29" i="18"/>
  <c r="H29" i="18"/>
  <c r="G30" i="18"/>
  <c r="H30" i="18"/>
  <c r="G31" i="18"/>
  <c r="H31" i="18"/>
  <c r="G33" i="18"/>
  <c r="H33" i="18"/>
  <c r="F33" i="18"/>
  <c r="F31" i="18"/>
  <c r="F30" i="18"/>
  <c r="F29" i="18"/>
  <c r="B29" i="19" l="1"/>
  <c r="A30" i="19"/>
  <c r="B30" i="19"/>
  <c r="A31" i="19"/>
  <c r="B31" i="19"/>
  <c r="A32" i="19"/>
  <c r="B32" i="19"/>
  <c r="A33" i="19"/>
  <c r="B33" i="19"/>
  <c r="A34" i="19"/>
  <c r="B34" i="19"/>
  <c r="A35" i="19"/>
  <c r="B35" i="19"/>
  <c r="A36" i="19"/>
  <c r="B36" i="19"/>
  <c r="A37" i="19"/>
  <c r="G8" i="8"/>
  <c r="C14" i="19"/>
  <c r="C13" i="19"/>
  <c r="B13" i="19"/>
  <c r="A14" i="19"/>
  <c r="A13" i="19"/>
  <c r="L20" i="19"/>
  <c r="B14" i="19" s="1"/>
  <c r="A8" i="19"/>
  <c r="A7" i="19"/>
  <c r="D43" i="6"/>
  <c r="E43" i="6"/>
  <c r="F43" i="6"/>
  <c r="G43" i="6"/>
  <c r="H43" i="6"/>
  <c r="I43" i="6"/>
  <c r="J43" i="6"/>
  <c r="K43" i="6"/>
  <c r="L43" i="6"/>
  <c r="M43" i="6"/>
  <c r="N43" i="6"/>
  <c r="O43" i="6"/>
  <c r="P43" i="6"/>
  <c r="Q43" i="6"/>
  <c r="R43" i="6"/>
  <c r="S43" i="6"/>
  <c r="T43" i="6"/>
  <c r="U43" i="6"/>
  <c r="V43" i="6"/>
  <c r="W43" i="6"/>
  <c r="X43" i="6"/>
  <c r="Y43" i="6"/>
  <c r="C43" i="6"/>
  <c r="A4" i="18"/>
  <c r="B26" i="19" l="1"/>
  <c r="H15" i="8" s="1"/>
  <c r="I15" i="8" s="1"/>
  <c r="D14" i="19"/>
  <c r="B15" i="19"/>
  <c r="D13" i="19"/>
  <c r="C15" i="19"/>
  <c r="A5" i="18"/>
  <c r="A6" i="18"/>
  <c r="A7" i="18"/>
  <c r="A8" i="18"/>
  <c r="A9" i="18"/>
  <c r="A10" i="18"/>
  <c r="A11" i="18"/>
  <c r="A12" i="18"/>
  <c r="D15" i="19" l="1"/>
  <c r="G5" i="8" s="1"/>
  <c r="D11" i="10" l="1"/>
  <c r="D14" i="10"/>
  <c r="M13" i="5" l="1"/>
  <c r="P13" i="5"/>
  <c r="O13" i="5"/>
  <c r="Q13" i="5"/>
  <c r="N13" i="5" l="1"/>
  <c r="C5" i="5" l="1"/>
  <c r="F27" i="18" s="1"/>
  <c r="C7" i="5"/>
  <c r="F26" i="18" s="1"/>
  <c r="C9" i="5"/>
  <c r="F24" i="18" s="1"/>
  <c r="C3" i="5"/>
  <c r="F23" i="18" s="1"/>
  <c r="F7" i="17"/>
  <c r="E4" i="17" l="1"/>
  <c r="E5" i="17"/>
  <c r="E6" i="17"/>
  <c r="E3" i="17"/>
  <c r="E7" i="17" s="1"/>
  <c r="G24" i="18"/>
  <c r="H24" i="18"/>
  <c r="G26" i="18"/>
  <c r="H26" i="18"/>
  <c r="G27" i="18"/>
  <c r="H27" i="18"/>
  <c r="H23" i="18"/>
  <c r="G23" i="18"/>
  <c r="I5" i="12" l="1"/>
  <c r="J4" i="12" s="1"/>
  <c r="J3" i="12" l="1"/>
  <c r="AF20" i="15" l="1"/>
  <c r="AH20" i="15" s="1"/>
  <c r="Y20" i="15"/>
  <c r="L20" i="15"/>
  <c r="AF32" i="15"/>
  <c r="AH32" i="15" s="1"/>
  <c r="Y32" i="15"/>
  <c r="L32" i="15"/>
  <c r="AF30" i="15"/>
  <c r="AH30" i="15" s="1"/>
  <c r="Y30" i="15"/>
  <c r="L30" i="15"/>
  <c r="AF31" i="15"/>
  <c r="AH31" i="15" s="1"/>
  <c r="Y31" i="15"/>
  <c r="L31" i="15"/>
  <c r="AF48" i="15"/>
  <c r="AH48" i="15" s="1"/>
  <c r="Y48" i="15"/>
  <c r="L48" i="15"/>
  <c r="AE41" i="15"/>
  <c r="AF41" i="15" s="1"/>
  <c r="AH41" i="15" s="1"/>
  <c r="Y41" i="15"/>
  <c r="L41" i="15"/>
  <c r="AE36" i="15"/>
  <c r="AF36" i="15" s="1"/>
  <c r="AH36" i="15" s="1"/>
  <c r="P36" i="15"/>
  <c r="Y36" i="15" s="1"/>
  <c r="L36" i="15"/>
  <c r="AE18" i="15"/>
  <c r="AF18" i="15" s="1"/>
  <c r="AH18" i="15" s="1"/>
  <c r="Y18" i="15"/>
  <c r="L18" i="15"/>
  <c r="AE22" i="15"/>
  <c r="AF22" i="15" s="1"/>
  <c r="AH22" i="15" s="1"/>
  <c r="P22" i="15"/>
  <c r="Y22" i="15" s="1"/>
  <c r="L22" i="15"/>
  <c r="AF21" i="15"/>
  <c r="AH21" i="15" s="1"/>
  <c r="U21" i="15" s="1"/>
  <c r="L21" i="15"/>
  <c r="AF24" i="15"/>
  <c r="AH24" i="15" s="1"/>
  <c r="R24" i="15" s="1"/>
  <c r="L24" i="15"/>
  <c r="AE3" i="15"/>
  <c r="AF3" i="15" s="1"/>
  <c r="AH3" i="15" s="1"/>
  <c r="P3" i="15"/>
  <c r="G3" i="15"/>
  <c r="AF7" i="15"/>
  <c r="AH7" i="15" s="1"/>
  <c r="P7" i="15"/>
  <c r="F7" i="15" s="1"/>
  <c r="L7" i="15" s="1"/>
  <c r="AF6" i="15"/>
  <c r="AH6" i="15" s="1"/>
  <c r="P6" i="15"/>
  <c r="Y6" i="15" s="1"/>
  <c r="AF4" i="15"/>
  <c r="AH4" i="15" s="1"/>
  <c r="P4" i="15"/>
  <c r="F4" i="15" s="1"/>
  <c r="AF12" i="15"/>
  <c r="AH12" i="15" s="1"/>
  <c r="P12" i="15"/>
  <c r="Y12" i="15" s="1"/>
  <c r="AF46" i="15"/>
  <c r="AH46" i="15" s="1"/>
  <c r="Y46" i="15"/>
  <c r="L46" i="15"/>
  <c r="AF45" i="15"/>
  <c r="AH45" i="15" s="1"/>
  <c r="Y45" i="15"/>
  <c r="L45" i="15"/>
  <c r="AE44" i="15"/>
  <c r="Y44" i="15"/>
  <c r="L44" i="15"/>
  <c r="AF43" i="15"/>
  <c r="AH43" i="15" s="1"/>
  <c r="Y43" i="15"/>
  <c r="L43" i="15"/>
  <c r="AF42" i="15"/>
  <c r="AH42" i="15" s="1"/>
  <c r="Y42" i="15"/>
  <c r="L42" i="15"/>
  <c r="AF47" i="15"/>
  <c r="AH47" i="15" s="1"/>
  <c r="Y47" i="15"/>
  <c r="L47" i="15"/>
  <c r="AE49" i="15"/>
  <c r="AF49" i="15" s="1"/>
  <c r="AH49" i="15" s="1"/>
  <c r="P49" i="15"/>
  <c r="Y49" i="15" s="1"/>
  <c r="AG2" i="15"/>
  <c r="AD2" i="15"/>
  <c r="AC2" i="15"/>
  <c r="AB2" i="15"/>
  <c r="AA2" i="15"/>
  <c r="X2" i="15"/>
  <c r="W2" i="15"/>
  <c r="V2" i="15"/>
  <c r="T2" i="15"/>
  <c r="S2" i="15"/>
  <c r="Q2" i="15"/>
  <c r="O2" i="15"/>
  <c r="N2" i="15"/>
  <c r="K2" i="15"/>
  <c r="J2" i="15"/>
  <c r="I2" i="15"/>
  <c r="AE2" i="15" l="1"/>
  <c r="Y4" i="15"/>
  <c r="Y7" i="15"/>
  <c r="P2" i="15"/>
  <c r="F12" i="15"/>
  <c r="L12" i="15" s="1"/>
  <c r="F6" i="15"/>
  <c r="L6" i="15" s="1"/>
  <c r="L4" i="15"/>
  <c r="R2" i="15"/>
  <c r="Y24" i="15"/>
  <c r="Y21" i="15"/>
  <c r="U3" i="15"/>
  <c r="G49" i="15"/>
  <c r="AF44" i="15"/>
  <c r="F2" i="15" l="1"/>
  <c r="L49" i="15"/>
  <c r="G2" i="15"/>
  <c r="Y3" i="15"/>
  <c r="U2" i="15"/>
  <c r="Y2" i="15" s="1"/>
  <c r="AH44" i="15"/>
  <c r="AF2" i="15"/>
  <c r="AH2" i="15" s="1"/>
  <c r="L2" i="15" l="1"/>
  <c r="P4" i="1" l="1"/>
  <c r="P5" i="1"/>
  <c r="P6" i="1"/>
  <c r="P7" i="1"/>
  <c r="I2" i="11"/>
  <c r="E10" i="11" l="1"/>
  <c r="B37" i="19" s="1"/>
  <c r="D6" i="11"/>
  <c r="B6" i="11" l="1"/>
  <c r="D23" i="11"/>
  <c r="D3" i="11"/>
  <c r="D7" i="11"/>
  <c r="D4" i="11"/>
  <c r="D8" i="11"/>
  <c r="D5" i="11"/>
  <c r="D9" i="11"/>
  <c r="D19" i="11" s="1"/>
  <c r="B7" i="11" l="1"/>
  <c r="D22" i="11"/>
  <c r="B8" i="11"/>
  <c r="D18" i="11"/>
  <c r="B5" i="11"/>
  <c r="D21" i="11"/>
  <c r="D16" i="11"/>
  <c r="E9" i="23"/>
  <c r="B4" i="11"/>
  <c r="D20" i="11"/>
  <c r="E8" i="23"/>
  <c r="T15" i="6"/>
  <c r="B23" i="11"/>
  <c r="B9" i="11"/>
  <c r="H3" i="15"/>
  <c r="D10" i="11"/>
  <c r="O15" i="6" s="1"/>
  <c r="B3" i="11"/>
  <c r="B16" i="11" s="1"/>
  <c r="D24" i="11" l="1"/>
  <c r="C15" i="6"/>
  <c r="B19" i="11"/>
  <c r="B24" i="11" s="1"/>
  <c r="R15" i="6"/>
  <c r="B18" i="11"/>
  <c r="L15" i="6"/>
  <c r="L5" i="6" s="1"/>
  <c r="B20" i="11"/>
  <c r="M15" i="6"/>
  <c r="M5" i="6" s="1"/>
  <c r="B21" i="11"/>
  <c r="N15" i="6"/>
  <c r="N5" i="6" s="1"/>
  <c r="B22" i="11"/>
  <c r="H2" i="15"/>
  <c r="L3" i="15"/>
  <c r="K15" i="6"/>
  <c r="AA15" i="6" s="1"/>
  <c r="B10" i="11"/>
  <c r="D32" i="6"/>
  <c r="E32" i="6"/>
  <c r="F32" i="6"/>
  <c r="G32" i="6"/>
  <c r="I32" i="6"/>
  <c r="J32" i="6"/>
  <c r="K32" i="6"/>
  <c r="L32" i="6"/>
  <c r="M32" i="6"/>
  <c r="N32" i="6"/>
  <c r="P32" i="6"/>
  <c r="Q32" i="6"/>
  <c r="E22" i="23" s="1"/>
  <c r="Q28" i="24" s="1"/>
  <c r="Q25" i="24" s="1"/>
  <c r="R25" i="24" s="1"/>
  <c r="V32" i="6"/>
  <c r="W32" i="6"/>
  <c r="X32" i="6"/>
  <c r="Y32" i="6"/>
  <c r="K5" i="6" l="1"/>
  <c r="K11" i="6" s="1"/>
  <c r="D34" i="6"/>
  <c r="K34" i="6"/>
  <c r="L34" i="6"/>
  <c r="M34" i="6"/>
  <c r="N34" i="6"/>
  <c r="E25" i="6"/>
  <c r="K25" i="6"/>
  <c r="L25" i="6"/>
  <c r="M25" i="6"/>
  <c r="N25" i="6"/>
  <c r="V25" i="6"/>
  <c r="W25" i="6"/>
  <c r="X25" i="6"/>
  <c r="Y25" i="6"/>
  <c r="E11" i="6"/>
  <c r="F11" i="6"/>
  <c r="G11" i="6"/>
  <c r="H11" i="6"/>
  <c r="I11" i="6"/>
  <c r="J11" i="6"/>
  <c r="L11" i="6"/>
  <c r="M11" i="6"/>
  <c r="N11" i="6"/>
  <c r="P11" i="6"/>
  <c r="Q11" i="6"/>
  <c r="S11" i="6"/>
  <c r="U11" i="6"/>
  <c r="V11" i="6"/>
  <c r="W11" i="6"/>
  <c r="X11" i="6"/>
  <c r="Y11" i="6"/>
  <c r="B14" i="6"/>
  <c r="B15" i="6"/>
  <c r="B16" i="6"/>
  <c r="B22" i="6"/>
  <c r="B23" i="6"/>
  <c r="B24" i="6"/>
  <c r="B13" i="6"/>
  <c r="B8" i="6"/>
  <c r="B9" i="6"/>
  <c r="B10" i="6"/>
  <c r="B5" i="6" l="1"/>
  <c r="N37" i="6"/>
  <c r="M37" i="6"/>
  <c r="L37" i="6"/>
  <c r="K37" i="6"/>
  <c r="C22" i="5"/>
  <c r="D19" i="10"/>
  <c r="C23" i="5" s="1"/>
  <c r="D22" i="10"/>
  <c r="D10" i="10"/>
  <c r="M7" i="10"/>
  <c r="M8" i="10"/>
  <c r="M9" i="10"/>
  <c r="D7" i="10" s="1"/>
  <c r="M10" i="10"/>
  <c r="D9" i="10" s="1"/>
  <c r="M11" i="10"/>
  <c r="M12" i="10"/>
  <c r="M13" i="10"/>
  <c r="M14" i="10"/>
  <c r="M6" i="10"/>
  <c r="D6" i="10" l="1"/>
  <c r="D5" i="10"/>
  <c r="H6" i="8"/>
  <c r="C24" i="5"/>
  <c r="C5" i="1"/>
  <c r="D5" i="1"/>
  <c r="E5" i="1"/>
  <c r="F5" i="1"/>
  <c r="G5" i="1"/>
  <c r="H5" i="1"/>
  <c r="I5" i="1"/>
  <c r="J5" i="1"/>
  <c r="K5" i="1"/>
  <c r="L5" i="1"/>
  <c r="M5" i="1"/>
  <c r="N5" i="1"/>
  <c r="O5" i="1"/>
  <c r="Q5" i="1"/>
  <c r="R5" i="1"/>
  <c r="S5" i="1"/>
  <c r="T5" i="1"/>
  <c r="C6" i="1"/>
  <c r="D6" i="1"/>
  <c r="E6" i="1"/>
  <c r="F6" i="1"/>
  <c r="G6" i="1"/>
  <c r="H6" i="1"/>
  <c r="I6" i="1"/>
  <c r="J6" i="1"/>
  <c r="K6" i="1"/>
  <c r="L6" i="1"/>
  <c r="M6" i="1"/>
  <c r="N6" i="1"/>
  <c r="O6" i="1"/>
  <c r="Q6" i="1"/>
  <c r="R6" i="1"/>
  <c r="S6" i="1"/>
  <c r="T6" i="1"/>
  <c r="C7" i="1"/>
  <c r="D7" i="1"/>
  <c r="E7" i="1"/>
  <c r="F7" i="1"/>
  <c r="G7" i="1"/>
  <c r="H7" i="1"/>
  <c r="I7" i="1"/>
  <c r="J7" i="1"/>
  <c r="K7" i="1"/>
  <c r="L7" i="1"/>
  <c r="M7" i="1"/>
  <c r="N7" i="1"/>
  <c r="O7" i="1"/>
  <c r="Q7" i="1"/>
  <c r="R7" i="1"/>
  <c r="S7" i="1"/>
  <c r="T7" i="1"/>
  <c r="C8" i="1"/>
  <c r="D8" i="1"/>
  <c r="E8" i="1"/>
  <c r="F8" i="1"/>
  <c r="G8" i="1"/>
  <c r="H8" i="1"/>
  <c r="I8" i="1"/>
  <c r="J8" i="1"/>
  <c r="K8" i="1"/>
  <c r="L8" i="1"/>
  <c r="M8" i="1"/>
  <c r="N8" i="1"/>
  <c r="O8" i="1"/>
  <c r="Q8" i="1"/>
  <c r="R8" i="1"/>
  <c r="S8" i="1"/>
  <c r="T8" i="1"/>
  <c r="D15" i="1"/>
  <c r="E15" i="1"/>
  <c r="F15" i="1"/>
  <c r="G15" i="1"/>
  <c r="H15" i="1"/>
  <c r="I15" i="1"/>
  <c r="J15" i="1"/>
  <c r="K15" i="1"/>
  <c r="L15" i="1"/>
  <c r="X15" i="1"/>
  <c r="N15" i="1"/>
  <c r="O15" i="1"/>
  <c r="P15" i="1"/>
  <c r="Q15" i="1"/>
  <c r="R15" i="1"/>
  <c r="S15" i="1"/>
  <c r="T15" i="1"/>
  <c r="U15" i="1"/>
  <c r="V15" i="1"/>
  <c r="W15" i="1"/>
  <c r="M15" i="1"/>
  <c r="C15" i="1"/>
  <c r="Z10" i="1"/>
  <c r="L34" i="7"/>
  <c r="B10" i="1"/>
  <c r="F39" i="7"/>
  <c r="L39" i="7" s="1"/>
  <c r="B35" i="7"/>
  <c r="H34" i="7"/>
  <c r="H33" i="7"/>
  <c r="F33" i="7"/>
  <c r="L33" i="7" s="1"/>
  <c r="G33" i="7"/>
  <c r="E33" i="7"/>
  <c r="F32" i="7"/>
  <c r="L32" i="7" s="1"/>
  <c r="E32" i="7"/>
  <c r="H31" i="7"/>
  <c r="F31" i="7"/>
  <c r="L31" i="7" s="1"/>
  <c r="E31" i="7"/>
  <c r="H30" i="7"/>
  <c r="G30" i="7"/>
  <c r="F30" i="7"/>
  <c r="L30" i="7" s="1"/>
  <c r="E30" i="7"/>
  <c r="H29" i="7"/>
  <c r="G29" i="7"/>
  <c r="F29" i="7"/>
  <c r="L29" i="7" s="1"/>
  <c r="H28" i="7"/>
  <c r="H35" i="7"/>
  <c r="G28" i="7"/>
  <c r="E28" i="7"/>
  <c r="I26" i="7"/>
  <c r="G26" i="7"/>
  <c r="E26" i="7"/>
  <c r="K24" i="7"/>
  <c r="H24" i="7"/>
  <c r="B24" i="7"/>
  <c r="F23" i="7"/>
  <c r="J22" i="7"/>
  <c r="J21" i="7"/>
  <c r="F21" i="7"/>
  <c r="F24" i="7" s="1"/>
  <c r="J20" i="7"/>
  <c r="F20" i="7"/>
  <c r="L19" i="7"/>
  <c r="J19" i="7"/>
  <c r="F19" i="7"/>
  <c r="H14" i="7"/>
  <c r="E14" i="7"/>
  <c r="H13" i="7"/>
  <c r="H12" i="7"/>
  <c r="H11" i="7"/>
  <c r="H10" i="7"/>
  <c r="H9" i="7"/>
  <c r="F28" i="7"/>
  <c r="B33" i="6"/>
  <c r="D11" i="18" s="1"/>
  <c r="E11" i="18" s="1"/>
  <c r="U32" i="6"/>
  <c r="O32" i="6"/>
  <c r="E20" i="23" s="1"/>
  <c r="R32" i="6"/>
  <c r="H32" i="6"/>
  <c r="B30" i="6"/>
  <c r="B29" i="6"/>
  <c r="D7" i="18" s="1"/>
  <c r="E7" i="18" s="1"/>
  <c r="B28" i="6"/>
  <c r="D6" i="18" s="1"/>
  <c r="E6" i="18" s="1"/>
  <c r="B27" i="6"/>
  <c r="C18" i="5"/>
  <c r="C29" i="4"/>
  <c r="C30" i="4"/>
  <c r="C31" i="4"/>
  <c r="C32" i="4"/>
  <c r="C33" i="4"/>
  <c r="C34" i="4"/>
  <c r="C35" i="4"/>
  <c r="C22" i="4"/>
  <c r="G9" i="1" s="1"/>
  <c r="C23" i="4"/>
  <c r="R9" i="1" s="1"/>
  <c r="C24" i="4"/>
  <c r="K9" i="1" s="1"/>
  <c r="C25" i="4"/>
  <c r="J9" i="1" s="1"/>
  <c r="C26" i="4"/>
  <c r="P9" i="1" s="1"/>
  <c r="C27" i="4"/>
  <c r="C9" i="1" s="1"/>
  <c r="C21" i="4"/>
  <c r="B28" i="4"/>
  <c r="S31" i="6" s="1"/>
  <c r="AA31" i="6" s="1"/>
  <c r="L28" i="7" l="1"/>
  <c r="F35" i="7"/>
  <c r="K28" i="7" s="1"/>
  <c r="D8" i="18"/>
  <c r="E8" i="18" s="1"/>
  <c r="C7" i="24"/>
  <c r="D7" i="24" s="1"/>
  <c r="D5" i="18"/>
  <c r="E5" i="18" s="1"/>
  <c r="C4" i="24"/>
  <c r="D4" i="24" s="1"/>
  <c r="E23" i="23"/>
  <c r="S32" i="6"/>
  <c r="E21" i="23" s="1"/>
  <c r="C28" i="4"/>
  <c r="Q9" i="1" s="1"/>
  <c r="B9" i="1" s="1"/>
  <c r="D4" i="10"/>
  <c r="C21" i="5" s="1"/>
  <c r="C32" i="6"/>
  <c r="C11" i="5"/>
  <c r="F28" i="18" s="1"/>
  <c r="P8" i="1"/>
  <c r="B8" i="1" s="1"/>
  <c r="T32" i="6"/>
  <c r="E24" i="23" s="1"/>
  <c r="B31" i="6"/>
  <c r="Z5" i="1"/>
  <c r="Q4" i="1"/>
  <c r="M4" i="1"/>
  <c r="I4" i="1"/>
  <c r="T4" i="1"/>
  <c r="L4" i="1"/>
  <c r="H4" i="1"/>
  <c r="D4" i="1"/>
  <c r="S4" i="1"/>
  <c r="O4" i="1"/>
  <c r="K4" i="1"/>
  <c r="G4" i="1"/>
  <c r="R4" i="1"/>
  <c r="N4" i="1"/>
  <c r="J4" i="1"/>
  <c r="F4" i="1"/>
  <c r="B7" i="1"/>
  <c r="Z7" i="1"/>
  <c r="B5" i="1"/>
  <c r="B6" i="1"/>
  <c r="Z6" i="1"/>
  <c r="Z8" i="1"/>
  <c r="C4" i="1"/>
  <c r="E4" i="1"/>
  <c r="K34" i="7" l="1"/>
  <c r="K31" i="7"/>
  <c r="K33" i="7"/>
  <c r="E36" i="7"/>
  <c r="K32" i="7"/>
  <c r="L35" i="7"/>
  <c r="K29" i="7"/>
  <c r="K30" i="7"/>
  <c r="AA32" i="6"/>
  <c r="Z9" i="1"/>
  <c r="D9" i="18"/>
  <c r="E9" i="18" s="1"/>
  <c r="C8" i="24"/>
  <c r="D8" i="24" s="1"/>
  <c r="E25" i="23"/>
  <c r="E27" i="23" s="1"/>
  <c r="G28" i="18"/>
  <c r="H28" i="18"/>
  <c r="F25" i="18"/>
  <c r="C8" i="19"/>
  <c r="H7" i="8"/>
  <c r="D3" i="10"/>
  <c r="C25" i="5" s="1"/>
  <c r="F32" i="18" s="1"/>
  <c r="Z4" i="1"/>
  <c r="B4" i="1"/>
  <c r="G32" i="18" l="1"/>
  <c r="H32" i="18"/>
  <c r="G25" i="18"/>
  <c r="H25" i="18"/>
  <c r="I7" i="8"/>
  <c r="H8" i="8"/>
  <c r="I8" i="8" s="1"/>
  <c r="H34" i="6"/>
  <c r="C34" i="6"/>
  <c r="Q34" i="6"/>
  <c r="F34" i="6"/>
  <c r="I34" i="6"/>
  <c r="O34" i="6"/>
  <c r="S34" i="6"/>
  <c r="S18" i="6" s="1"/>
  <c r="J34" i="6"/>
  <c r="V34" i="6"/>
  <c r="V37" i="6" s="1"/>
  <c r="E34" i="6"/>
  <c r="E37" i="6" s="1"/>
  <c r="G34" i="6"/>
  <c r="W34" i="6"/>
  <c r="W37" i="6" s="1"/>
  <c r="P34" i="6"/>
  <c r="Y34" i="6"/>
  <c r="Y37" i="6" s="1"/>
  <c r="R34" i="6"/>
  <c r="T34" i="6"/>
  <c r="X34" i="6"/>
  <c r="X37" i="6" s="1"/>
  <c r="U34" i="6"/>
  <c r="B32" i="6"/>
  <c r="C3" i="24" s="1"/>
  <c r="D3" i="24" s="1"/>
  <c r="I20" i="6" l="1"/>
  <c r="I25" i="6" s="1"/>
  <c r="I37" i="6" s="1"/>
  <c r="J20" i="6"/>
  <c r="J25" i="6" s="1"/>
  <c r="J37" i="6" s="1"/>
  <c r="F20" i="6"/>
  <c r="F25" i="6" s="1"/>
  <c r="F37" i="6" s="1"/>
  <c r="B34" i="6"/>
  <c r="D12" i="18" s="1"/>
  <c r="E12" i="18" s="1"/>
  <c r="B8" i="19"/>
  <c r="D8" i="19" s="1"/>
  <c r="D10" i="18"/>
  <c r="E10" i="18" s="1"/>
  <c r="G20" i="6"/>
  <c r="G25" i="6" s="1"/>
  <c r="G37" i="6" s="1"/>
  <c r="D5" i="12"/>
  <c r="O21" i="6" s="1"/>
  <c r="U19" i="6"/>
  <c r="J4" i="17"/>
  <c r="P17" i="6"/>
  <c r="P25" i="6" l="1"/>
  <c r="P37" i="6" s="1"/>
  <c r="Q25" i="6"/>
  <c r="Q37" i="6" s="1"/>
  <c r="C12" i="12"/>
  <c r="D12" i="12" s="1"/>
  <c r="T19" i="6" s="1"/>
  <c r="AA19" i="6" s="1"/>
  <c r="U25" i="6"/>
  <c r="U37" i="6" s="1"/>
  <c r="I4" i="11"/>
  <c r="I5" i="11" s="1"/>
  <c r="O7" i="6" s="1"/>
  <c r="B7" i="6" s="1"/>
  <c r="S25" i="6"/>
  <c r="S37" i="6" s="1"/>
  <c r="C10" i="12"/>
  <c r="D10" i="12" s="1"/>
  <c r="T18" i="6" s="1"/>
  <c r="J2" i="17"/>
  <c r="J6" i="17"/>
  <c r="J5" i="17"/>
  <c r="O25" i="6"/>
  <c r="B21" i="6"/>
  <c r="B18" i="6" l="1"/>
  <c r="AA18" i="6"/>
  <c r="I6" i="11"/>
  <c r="O6" i="6" s="1"/>
  <c r="O11" i="6" s="1"/>
  <c r="O37" i="6" s="1"/>
  <c r="B19" i="6"/>
  <c r="D3" i="17"/>
  <c r="D6" i="17"/>
  <c r="D5" i="17"/>
  <c r="B5" i="17" s="1"/>
  <c r="R17" i="6" s="1"/>
  <c r="D4" i="17"/>
  <c r="B4" i="17" s="1"/>
  <c r="H17" i="6" s="1"/>
  <c r="E10" i="23" l="1"/>
  <c r="B6" i="17"/>
  <c r="T17" i="6" s="1"/>
  <c r="E7" i="23"/>
  <c r="E12" i="23" s="1"/>
  <c r="T25" i="6"/>
  <c r="T6" i="6" s="1"/>
  <c r="H20" i="6"/>
  <c r="C3" i="12" s="1"/>
  <c r="B3" i="17"/>
  <c r="D7" i="17"/>
  <c r="E13" i="23" l="1"/>
  <c r="E29" i="23"/>
  <c r="H4" i="8"/>
  <c r="I4" i="8" s="1"/>
  <c r="T11" i="6"/>
  <c r="T37" i="6" s="1"/>
  <c r="D3" i="12"/>
  <c r="D20" i="6" s="1"/>
  <c r="D25" i="6" s="1"/>
  <c r="E3" i="12"/>
  <c r="R20" i="6" s="1"/>
  <c r="R25" i="6" s="1"/>
  <c r="R6" i="6" s="1"/>
  <c r="H25" i="6"/>
  <c r="H37" i="6" s="1"/>
  <c r="C17" i="6"/>
  <c r="B7" i="17"/>
  <c r="R11" i="6" l="1"/>
  <c r="R37" i="6" s="1"/>
  <c r="AA20" i="6"/>
  <c r="B20" i="6"/>
  <c r="AA17" i="6"/>
  <c r="D6" i="6"/>
  <c r="C25" i="6"/>
  <c r="B17" i="6"/>
  <c r="D11" i="6" l="1"/>
  <c r="D37" i="6" s="1"/>
  <c r="B25" i="6"/>
  <c r="C7" i="19"/>
  <c r="C9" i="19" s="1"/>
  <c r="AA25" i="6"/>
  <c r="C13" i="5" s="1"/>
  <c r="F22" i="18" s="1"/>
  <c r="C6" i="6"/>
  <c r="C11" i="6" s="1"/>
  <c r="C37" i="6" s="1"/>
  <c r="H3" i="8" l="1"/>
  <c r="I3" i="8" s="1"/>
  <c r="D4" i="18"/>
  <c r="E4" i="18" s="1"/>
  <c r="B7" i="19"/>
  <c r="B9" i="19" s="1"/>
  <c r="D9" i="19" s="1"/>
  <c r="H5" i="8" s="1"/>
  <c r="I5" i="8" s="1"/>
  <c r="H22" i="18"/>
  <c r="G22" i="18"/>
  <c r="F21" i="18"/>
  <c r="B6" i="6"/>
  <c r="C19" i="5"/>
  <c r="C27" i="5" s="1"/>
  <c r="H17" i="8" s="1"/>
  <c r="I17" i="8" s="1"/>
  <c r="C17" i="5"/>
  <c r="D7" i="19" l="1"/>
  <c r="G21" i="18"/>
  <c r="H21" i="18"/>
  <c r="F20" i="18"/>
  <c r="K14" i="24" s="1"/>
  <c r="B11" i="6"/>
  <c r="M14" i="24" l="1"/>
  <c r="L14" i="24"/>
  <c r="B37" i="6"/>
  <c r="H20" i="18"/>
  <c r="G20" i="18"/>
  <c r="F35" i="18"/>
  <c r="H16" i="8"/>
  <c r="I16" i="8" s="1"/>
  <c r="H31" i="8" l="1"/>
  <c r="I31" i="8" s="1"/>
  <c r="K20" i="24"/>
  <c r="H30" i="8"/>
  <c r="I30" i="8" s="1"/>
  <c r="F36" i="18"/>
  <c r="K21" i="24" s="1"/>
  <c r="G35" i="18"/>
  <c r="H35" i="18"/>
  <c r="M21" i="24" l="1"/>
  <c r="L21" i="24"/>
  <c r="L20" i="24"/>
  <c r="M20" i="24"/>
  <c r="F19" i="18"/>
  <c r="K13" i="24" s="1"/>
  <c r="G36" i="18"/>
  <c r="H36" i="18"/>
  <c r="M13" i="24" l="1"/>
  <c r="L13" i="24"/>
  <c r="G19" i="18"/>
  <c r="H19" i="18"/>
  <c r="E8" i="25"/>
</calcChain>
</file>

<file path=xl/comments1.xml><?xml version="1.0" encoding="utf-8"?>
<comments xmlns="http://schemas.openxmlformats.org/spreadsheetml/2006/main">
  <authors>
    <author>Auteur</author>
  </authors>
  <commentList>
    <comment ref="B5" authorId="0" shapeId="0">
      <text>
        <r>
          <rPr>
            <b/>
            <sz val="9"/>
            <color indexed="81"/>
            <rFont val="Tahoma"/>
            <family val="2"/>
          </rPr>
          <t>Auteur:</t>
        </r>
        <r>
          <rPr>
            <sz val="9"/>
            <color indexed="81"/>
            <rFont val="Tahoma"/>
            <family val="2"/>
          </rPr>
          <t xml:space="preserve">
Source gestime modifié pour bau stm ; pas importé dans ce fichier et cc direct des résultats de ce GESTime</t>
        </r>
      </text>
    </comment>
    <comment ref="B6" authorId="0" shapeId="0">
      <text>
        <r>
          <rPr>
            <b/>
            <sz val="9"/>
            <color indexed="81"/>
            <rFont val="Tahoma"/>
            <family val="2"/>
          </rPr>
          <t>Auteur:</t>
        </r>
        <r>
          <rPr>
            <sz val="9"/>
            <color indexed="81"/>
            <rFont val="Tahoma"/>
            <family val="2"/>
          </rPr>
          <t xml:space="preserve">
source climagri ame ; import depuis onglet ClimAgri</t>
        </r>
      </text>
    </comment>
    <comment ref="B11" authorId="0" shapeId="0">
      <text>
        <r>
          <rPr>
            <b/>
            <sz val="9"/>
            <color indexed="81"/>
            <rFont val="Tahoma"/>
            <family val="2"/>
          </rPr>
          <t>Auteur:</t>
        </r>
        <r>
          <rPr>
            <sz val="9"/>
            <color indexed="81"/>
            <rFont val="Tahoma"/>
            <family val="2"/>
          </rPr>
          <t xml:space="preserve">
Source gestime modifié pour bau stm ; pas importé dans ce fichier et cc direct des résultats de ce GESTime</t>
        </r>
      </text>
    </comment>
    <comment ref="B12" authorId="0" shapeId="0">
      <text>
        <r>
          <rPr>
            <b/>
            <sz val="9"/>
            <color indexed="81"/>
            <rFont val="Tahoma"/>
            <family val="2"/>
          </rPr>
          <t>Auteur:</t>
        </r>
        <r>
          <rPr>
            <sz val="9"/>
            <color indexed="81"/>
            <rFont val="Tahoma"/>
            <family val="2"/>
          </rPr>
          <t xml:space="preserve">
source climagri ame ; import depuis onglet ClimAgri</t>
        </r>
      </text>
    </comment>
  </commentList>
</comments>
</file>

<file path=xl/comments10.xml><?xml version="1.0" encoding="utf-8"?>
<comments xmlns="http://schemas.openxmlformats.org/spreadsheetml/2006/main">
  <authors>
    <author>Auteur</author>
  </authors>
  <commentList>
    <comment ref="M1" authorId="0" shapeId="0">
      <text>
        <r>
          <rPr>
            <b/>
            <sz val="9"/>
            <color indexed="81"/>
            <rFont val="Tahoma"/>
            <family val="2"/>
          </rPr>
          <t>Auteur:</t>
        </r>
        <r>
          <rPr>
            <sz val="9"/>
            <color indexed="81"/>
            <rFont val="Tahoma"/>
            <family val="2"/>
          </rPr>
          <t xml:space="preserve">
Utilisation du PCI pour la conversion Energie-Masse : 
Energy balance guide
Methodology guide for the construction of energy balances &amp; Operational guide for the energy balance builder tool
https://ec.europa.eu/eurostat/fr/web/energy/data/energy-balances
"Eurostat adopted the methodology of using the net calorific values for its energy balances."</t>
        </r>
      </text>
    </comment>
    <comment ref="M2" authorId="0" shapeId="0">
      <text>
        <r>
          <rPr>
            <b/>
            <sz val="9"/>
            <color indexed="81"/>
            <rFont val="Tahoma"/>
            <family val="2"/>
          </rPr>
          <t>Auteur:</t>
        </r>
        <r>
          <rPr>
            <sz val="9"/>
            <color indexed="81"/>
            <rFont val="Tahoma"/>
            <family val="2"/>
          </rPr>
          <t xml:space="preserve">
RENDEMENT DE LA CHAINE HYDROGENE Jan2020</t>
        </r>
      </text>
    </comment>
    <comment ref="B3" authorId="0" shapeId="0">
      <text>
        <r>
          <rPr>
            <b/>
            <sz val="9"/>
            <color indexed="81"/>
            <rFont val="Tahoma"/>
            <family val="2"/>
          </rPr>
          <t>Auteur:</t>
        </r>
        <r>
          <rPr>
            <sz val="9"/>
            <color indexed="81"/>
            <rFont val="Tahoma"/>
            <family val="2"/>
          </rPr>
          <t xml:space="preserve">
AME GEStime
</t>
        </r>
      </text>
    </comment>
    <comment ref="E3" authorId="0" shapeId="0">
      <text>
        <r>
          <rPr>
            <b/>
            <sz val="9"/>
            <color indexed="81"/>
            <rFont val="Tahoma"/>
            <family val="2"/>
          </rPr>
          <t>Auteur:</t>
        </r>
        <r>
          <rPr>
            <sz val="9"/>
            <color indexed="81"/>
            <rFont val="Tahoma"/>
            <family val="2"/>
          </rPr>
          <t xml:space="preserve">
calculé à l'aide des ratios AME (enerdata) pétrole brut/gaz 
</t>
        </r>
      </text>
    </comment>
    <comment ref="B5" authorId="0" shapeId="0">
      <text>
        <r>
          <rPr>
            <b/>
            <sz val="9"/>
            <color indexed="81"/>
            <rFont val="Tahoma"/>
            <family val="2"/>
          </rPr>
          <t>Auteur:</t>
        </r>
        <r>
          <rPr>
            <sz val="9"/>
            <color indexed="81"/>
            <rFont val="Tahoma"/>
            <family val="2"/>
          </rPr>
          <t xml:space="preserve">
Loic Antoine, mail 18/04
"Pour les évolutions de rendement des électrolyseurs , nous disposons de l’étude sur le Power to gas (2014 ; https://www.ademe.fr/etude-portant-lhydrogene-methanation-comme-procede-valorisation-lelectricite-excedentaire) 
Je prendrais bien 75% en  2030 et 80% en 2050 pour l’électrolyse
Pour les évolutions du rendement des piles nous n’avons pas d’étude analysant leur progression."
Valeur 2015 : 0,70
Note fev 2020 sur les rendements de la chaine hydrogène
On prend comme valeur 56kWh/kg d’H2 pour l’électrolyse et 39,41 kWh/kg en PCS ce qui donne une valeur Elec=&gt;H2 de 70%.
Ces rendements sont les rendement actuels, ils pourront évoluer avec les optimisations et évolutions technologiques</t>
        </r>
      </text>
    </comment>
    <comment ref="C5" authorId="0" shapeId="0">
      <text>
        <r>
          <rPr>
            <b/>
            <sz val="9"/>
            <color indexed="81"/>
            <rFont val="Tahoma"/>
            <family val="2"/>
          </rPr>
          <t>Auteur:</t>
        </r>
        <r>
          <rPr>
            <sz val="9"/>
            <color indexed="81"/>
            <rFont val="Tahoma"/>
            <family val="2"/>
          </rPr>
          <t xml:space="preserve">
Tout le H2 du transport (100% produit par electrolyse) et la part du H2 de l'industrie</t>
        </r>
      </text>
    </comment>
    <comment ref="B6" authorId="0" shapeId="0">
      <text>
        <r>
          <rPr>
            <b/>
            <sz val="9"/>
            <color indexed="81"/>
            <rFont val="Tahoma"/>
            <family val="2"/>
          </rPr>
          <t>Auteur:</t>
        </r>
        <r>
          <rPr>
            <sz val="9"/>
            <color indexed="81"/>
            <rFont val="Tahoma"/>
            <family val="2"/>
          </rPr>
          <t xml:space="preserve">
Note fev 2020 sur les rendements de la chaine hydrogène
On prend comme valeur 56kWh/kg d’H2 pour l’électrolyse et 39,41 kWh/kg en PCS ce qui donne une valeur Elec=&gt;H2 de 70%.
Pour la valeur H2=&gt;Elec une valeur de 50%, on prend 16kWh/kg (cf note) et avec un PCI de 33,33kWh/kg ce donne 48%.</t>
        </r>
      </text>
    </comment>
    <comment ref="A8" authorId="0" shapeId="0">
      <text>
        <r>
          <rPr>
            <b/>
            <sz val="9"/>
            <color indexed="81"/>
            <rFont val="Tahoma"/>
            <family val="2"/>
          </rPr>
          <t>Auteur:</t>
        </r>
        <r>
          <rPr>
            <sz val="9"/>
            <color indexed="81"/>
            <rFont val="Tahoma"/>
            <family val="2"/>
          </rPr>
          <t xml:space="preserve">
steam methane reforming</t>
        </r>
      </text>
    </comment>
    <comment ref="B8" authorId="0" shapeId="0">
      <text>
        <r>
          <rPr>
            <b/>
            <sz val="9"/>
            <color indexed="81"/>
            <rFont val="Tahoma"/>
            <family val="2"/>
          </rPr>
          <t>Auteur:</t>
        </r>
        <r>
          <rPr>
            <sz val="9"/>
            <color indexed="81"/>
            <rFont val="Tahoma"/>
            <family val="2"/>
          </rPr>
          <t xml:space="preserve">
Abbas, H. F., &amp; Daud, W. W. (2010). Hydrogen production by methane decomposition: a review. International journal of hydrogen energy, 35(3), 1160-1190.
"Energy efficiency is defined as the energy value of the hydrogen produced divided by the energy input required to produce the hydrogen."</t>
        </r>
      </text>
    </comment>
  </commentList>
</comments>
</file>

<file path=xl/comments11.xml><?xml version="1.0" encoding="utf-8"?>
<comments xmlns="http://schemas.openxmlformats.org/spreadsheetml/2006/main">
  <authors>
    <author>Auteur</author>
  </authors>
  <commentList>
    <comment ref="C2" authorId="0" shapeId="0">
      <text>
        <r>
          <rPr>
            <b/>
            <sz val="9"/>
            <color indexed="81"/>
            <rFont val="Tahoma"/>
            <family val="2"/>
          </rPr>
          <t>Auteur:</t>
        </r>
        <r>
          <rPr>
            <sz val="9"/>
            <color indexed="81"/>
            <rFont val="Tahoma"/>
            <family val="2"/>
          </rPr>
          <t xml:space="preserve">
AME GESTime
</t>
        </r>
      </text>
    </comment>
    <comment ref="D2" authorId="0" shapeId="0">
      <text>
        <r>
          <rPr>
            <b/>
            <sz val="9"/>
            <color indexed="81"/>
            <rFont val="Tahoma"/>
            <family val="2"/>
          </rPr>
          <t>Auteur:</t>
        </r>
        <r>
          <rPr>
            <sz val="9"/>
            <color indexed="81"/>
            <rFont val="Tahoma"/>
            <family val="2"/>
          </rPr>
          <t xml:space="preserve">
calculé à partir de cible prod Ef
</t>
        </r>
      </text>
    </comment>
  </commentList>
</comments>
</file>

<file path=xl/comments12.xml><?xml version="1.0" encoding="utf-8"?>
<comments xmlns="http://schemas.openxmlformats.org/spreadsheetml/2006/main">
  <authors>
    <author>Auteur</author>
  </authors>
  <commentList>
    <comment ref="C2" authorId="0" shapeId="0">
      <text>
        <r>
          <rPr>
            <b/>
            <sz val="9"/>
            <color indexed="81"/>
            <rFont val="Tahoma"/>
            <family val="2"/>
          </rPr>
          <t>Auteur:</t>
        </r>
        <r>
          <rPr>
            <sz val="9"/>
            <color indexed="81"/>
            <rFont val="Tahoma"/>
            <family val="2"/>
          </rPr>
          <t xml:space="preserve">
AME GESTime
</t>
        </r>
      </text>
    </comment>
    <comment ref="D2" authorId="0" shapeId="0">
      <text>
        <r>
          <rPr>
            <b/>
            <sz val="9"/>
            <color indexed="81"/>
            <rFont val="Tahoma"/>
            <family val="2"/>
          </rPr>
          <t>Auteur:</t>
        </r>
        <r>
          <rPr>
            <sz val="9"/>
            <color indexed="81"/>
            <rFont val="Tahoma"/>
            <family val="2"/>
          </rPr>
          <t xml:space="preserve">
calculé à partir de cible prod Ef
</t>
        </r>
      </text>
    </comment>
    <comment ref="J4" authorId="0" shapeId="0">
      <text>
        <r>
          <rPr>
            <b/>
            <sz val="9"/>
            <color indexed="81"/>
            <rFont val="Tahoma"/>
            <family val="2"/>
          </rPr>
          <t>Auteur:</t>
        </r>
        <r>
          <rPr>
            <sz val="9"/>
            <color indexed="81"/>
            <rFont val="Tahoma"/>
            <family val="2"/>
          </rPr>
          <t xml:space="preserve">
Calculé à partir de bilan BAU</t>
        </r>
      </text>
    </comment>
    <comment ref="C11" authorId="0" shapeId="0">
      <text>
        <r>
          <rPr>
            <b/>
            <sz val="9"/>
            <color indexed="81"/>
            <rFont val="Tahoma"/>
            <family val="2"/>
          </rPr>
          <t>Auteur:</t>
        </r>
        <r>
          <rPr>
            <sz val="9"/>
            <color indexed="81"/>
            <rFont val="Tahoma"/>
            <family val="2"/>
          </rPr>
          <t xml:space="preserve">
AME GESTime
</t>
        </r>
      </text>
    </comment>
    <comment ref="D11" authorId="0" shapeId="0">
      <text>
        <r>
          <rPr>
            <b/>
            <sz val="9"/>
            <color indexed="81"/>
            <rFont val="Tahoma"/>
            <family val="2"/>
          </rPr>
          <t>Auteur:</t>
        </r>
        <r>
          <rPr>
            <sz val="9"/>
            <color indexed="81"/>
            <rFont val="Tahoma"/>
            <family val="2"/>
          </rPr>
          <t xml:space="preserve">
calculé à partir de cible prod Ef
</t>
        </r>
      </text>
    </comment>
  </commentList>
</comments>
</file>

<file path=xl/comments13.xml><?xml version="1.0" encoding="utf-8"?>
<comments xmlns="http://schemas.openxmlformats.org/spreadsheetml/2006/main">
  <authors>
    <author>Auteur</author>
  </authors>
  <commentList>
    <comment ref="C2" authorId="0" shapeId="0">
      <text>
        <r>
          <rPr>
            <b/>
            <sz val="9"/>
            <color indexed="81"/>
            <rFont val="Tahoma"/>
            <family val="2"/>
          </rPr>
          <t>Auteur:</t>
        </r>
        <r>
          <rPr>
            <sz val="9"/>
            <color indexed="81"/>
            <rFont val="Tahoma"/>
            <family val="2"/>
          </rPr>
          <t xml:space="preserve">
AME GESTime
</t>
        </r>
      </text>
    </comment>
    <comment ref="D2" authorId="0" shapeId="0">
      <text>
        <r>
          <rPr>
            <b/>
            <sz val="9"/>
            <color indexed="81"/>
            <rFont val="Tahoma"/>
            <family val="2"/>
          </rPr>
          <t>Auteur:</t>
        </r>
        <r>
          <rPr>
            <sz val="9"/>
            <color indexed="81"/>
            <rFont val="Tahoma"/>
            <family val="2"/>
          </rPr>
          <t xml:space="preserve">
calculé à partir de cible prod Ef
</t>
        </r>
      </text>
    </comment>
    <comment ref="C3" authorId="0" shapeId="0">
      <text>
        <r>
          <rPr>
            <b/>
            <sz val="9"/>
            <color indexed="81"/>
            <rFont val="Tahoma"/>
            <family val="2"/>
          </rPr>
          <t>Auteur:</t>
        </r>
        <r>
          <rPr>
            <sz val="9"/>
            <color indexed="81"/>
            <rFont val="Tahoma"/>
            <family val="2"/>
          </rPr>
          <t xml:space="preserve">
AME GESTime</t>
        </r>
      </text>
    </comment>
    <comment ref="I3" authorId="0" shapeId="0">
      <text>
        <r>
          <rPr>
            <b/>
            <sz val="9"/>
            <color indexed="81"/>
            <rFont val="Tahoma"/>
            <family val="2"/>
          </rPr>
          <t>Auteur:</t>
        </r>
        <r>
          <rPr>
            <sz val="9"/>
            <color indexed="81"/>
            <rFont val="Tahoma"/>
            <family val="2"/>
          </rPr>
          <t xml:space="preserve">
Calculé à partir de bilan BAU</t>
        </r>
      </text>
    </comment>
    <comment ref="C15" authorId="0" shapeId="0">
      <text>
        <r>
          <rPr>
            <b/>
            <sz val="9"/>
            <color indexed="81"/>
            <rFont val="Tahoma"/>
            <family val="2"/>
          </rPr>
          <t>Auteur:</t>
        </r>
        <r>
          <rPr>
            <sz val="9"/>
            <color indexed="81"/>
            <rFont val="Tahoma"/>
            <family val="2"/>
          </rPr>
          <t xml:space="preserve">
AME GESTime
</t>
        </r>
      </text>
    </comment>
    <comment ref="D15" authorId="0" shapeId="0">
      <text>
        <r>
          <rPr>
            <b/>
            <sz val="9"/>
            <color indexed="81"/>
            <rFont val="Tahoma"/>
            <family val="2"/>
          </rPr>
          <t>Auteur:</t>
        </r>
        <r>
          <rPr>
            <sz val="9"/>
            <color indexed="81"/>
            <rFont val="Tahoma"/>
            <family val="2"/>
          </rPr>
          <t xml:space="preserve">
calculé à partir de cible prod Ef
</t>
        </r>
      </text>
    </comment>
    <comment ref="C16" authorId="0" shapeId="0">
      <text>
        <r>
          <rPr>
            <b/>
            <sz val="9"/>
            <color indexed="81"/>
            <rFont val="Tahoma"/>
            <family val="2"/>
          </rPr>
          <t>Auteur:</t>
        </r>
        <r>
          <rPr>
            <sz val="9"/>
            <color indexed="81"/>
            <rFont val="Tahoma"/>
            <family val="2"/>
          </rPr>
          <t xml:space="preserve">
AME GESTime</t>
        </r>
      </text>
    </comment>
    <comment ref="A23" authorId="0" shapeId="0">
      <text>
        <r>
          <rPr>
            <b/>
            <sz val="9"/>
            <color indexed="81"/>
            <rFont val="Tahoma"/>
            <family val="2"/>
          </rPr>
          <t>Auteur:</t>
        </r>
        <r>
          <rPr>
            <sz val="9"/>
            <color indexed="81"/>
            <rFont val="Tahoma"/>
            <family val="2"/>
          </rPr>
          <t xml:space="preserve">
peut-on vraiment dire "cogénération = Biomasse + déchets" ? </t>
        </r>
      </text>
    </comment>
  </commentList>
</comments>
</file>

<file path=xl/comments14.xml><?xml version="1.0" encoding="utf-8"?>
<comments xmlns="http://schemas.openxmlformats.org/spreadsheetml/2006/main">
  <authors>
    <author>Auteur</author>
  </authors>
  <commentList>
    <comment ref="D2" authorId="0" shapeId="0">
      <text>
        <r>
          <rPr>
            <b/>
            <sz val="9"/>
            <color indexed="81"/>
            <rFont val="Tahoma"/>
            <family val="2"/>
          </rPr>
          <t>Auteur:</t>
        </r>
        <r>
          <rPr>
            <sz val="9"/>
            <color indexed="81"/>
            <rFont val="Tahoma"/>
            <family val="2"/>
          </rPr>
          <t xml:space="preserve">
Utilisation du PCI pour la conversion</t>
        </r>
      </text>
    </comment>
    <comment ref="H2" authorId="0" shapeId="0">
      <text>
        <r>
          <rPr>
            <b/>
            <sz val="9"/>
            <color indexed="81"/>
            <rFont val="Tahoma"/>
            <family val="2"/>
          </rPr>
          <t>Auteur:</t>
        </r>
        <r>
          <rPr>
            <sz val="9"/>
            <color indexed="81"/>
            <rFont val="Tahoma"/>
            <family val="2"/>
          </rPr>
          <t xml:space="preserve">
The choice of a heating value (calorific value) : 
"As the net calorific value represents the amount of energy that can be actually used, Eurostat
adopted the methodology of using the net calorific values for its energy balances. This applies
to conversion of all energy carriers (products, fuels) of energy balance for all flows of energy
balance."
Source : https://ec.europa.eu/eurostat/fr/web/energy/data/energy-balances
Energy balance guide Methodology guide for the construction of energy balances &amp; Operational guide for the energy balance builder tool</t>
        </r>
      </text>
    </comment>
    <comment ref="A3" authorId="0" shapeId="0">
      <text>
        <r>
          <rPr>
            <b/>
            <sz val="9"/>
            <color indexed="81"/>
            <rFont val="Tahoma"/>
            <family val="2"/>
          </rPr>
          <t>Auteur:</t>
        </r>
        <r>
          <rPr>
            <sz val="9"/>
            <color indexed="81"/>
            <rFont val="Tahoma"/>
            <family val="2"/>
          </rPr>
          <t xml:space="preserve">
Considéré comme de la production nationale dans l'approvisionnement du bilan E</t>
        </r>
      </text>
    </comment>
    <comment ref="B3" authorId="0" shapeId="0">
      <text>
        <r>
          <rPr>
            <b/>
            <sz val="9"/>
            <color indexed="81"/>
            <rFont val="Tahoma"/>
            <family val="2"/>
          </rPr>
          <t>Auteur:</t>
        </r>
        <r>
          <rPr>
            <sz val="9"/>
            <color indexed="81"/>
            <rFont val="Tahoma"/>
            <family val="2"/>
          </rPr>
          <t xml:space="preserve">
décomposition issue d’EDF et de l’étude HYfrance3
Valeur actuelle, et isoproduction jusqu'en 2050 pour l'instant</t>
        </r>
      </text>
    </comment>
    <comment ref="H3" authorId="0" shapeId="0">
      <text>
        <r>
          <rPr>
            <b/>
            <sz val="9"/>
            <color indexed="81"/>
            <rFont val="Tahoma"/>
            <family val="2"/>
          </rPr>
          <t>Auteur:</t>
        </r>
        <r>
          <rPr>
            <sz val="9"/>
            <color indexed="81"/>
            <rFont val="Tahoma"/>
            <family val="2"/>
          </rPr>
          <t xml:space="preserve">
Fiche ademe Jan2020
RENDEMENT DE LA CHAINE HYDROGENE</t>
        </r>
      </text>
    </comment>
    <comment ref="B4" authorId="0" shapeId="0">
      <text>
        <r>
          <rPr>
            <b/>
            <sz val="9"/>
            <color indexed="81"/>
            <rFont val="Tahoma"/>
            <family val="2"/>
          </rPr>
          <t>Auteur:</t>
        </r>
        <r>
          <rPr>
            <sz val="9"/>
            <color indexed="81"/>
            <rFont val="Tahoma"/>
            <family val="2"/>
          </rPr>
          <t xml:space="preserve">
Mail Loic Antoine 15/04/20
Cela permet d’établir que pour le raffinage :
              32% des 922 000t/an sont issues de co produit de raffinage (du procédé d’augmentation de l’indice d’octane des essences)
              10% sont des apports supplémentaires produits par reformage de gaz naturel
</t>
        </r>
      </text>
    </comment>
    <comment ref="B6" authorId="0" shapeId="0">
      <text>
        <r>
          <rPr>
            <b/>
            <sz val="9"/>
            <color indexed="81"/>
            <rFont val="Tahoma"/>
            <family val="2"/>
          </rPr>
          <t>Auteur:</t>
        </r>
        <r>
          <rPr>
            <sz val="9"/>
            <color indexed="81"/>
            <rFont val="Tahoma"/>
            <family val="2"/>
          </rPr>
          <t xml:space="preserve">
Valeur moyenne entre projection PPE haute et PPE basse
</t>
        </r>
      </text>
    </comment>
    <comment ref="C7" authorId="0" shapeId="0">
      <text>
        <r>
          <rPr>
            <b/>
            <sz val="9"/>
            <color indexed="81"/>
            <rFont val="Tahoma"/>
            <family val="2"/>
          </rPr>
          <t>Auteur:</t>
        </r>
        <r>
          <rPr>
            <sz val="9"/>
            <color indexed="81"/>
            <rFont val="Tahoma"/>
            <family val="2"/>
          </rPr>
          <t xml:space="preserve">
décomposition issue d’EDF et de l’étude HYfrance3
Valeur actuelle, et isoproduction jusqu'en 2050 pour l'instant</t>
        </r>
      </text>
    </comment>
    <comment ref="B9" authorId="0" shapeId="0">
      <text>
        <r>
          <rPr>
            <b/>
            <sz val="9"/>
            <color indexed="81"/>
            <rFont val="Tahoma"/>
            <family val="2"/>
          </rPr>
          <t>Auteur:</t>
        </r>
        <r>
          <rPr>
            <sz val="9"/>
            <color indexed="81"/>
            <rFont val="Tahoma"/>
            <family val="2"/>
          </rPr>
          <t xml:space="preserve">
décomposition issue d’EDF et de l’étude HYfrance3
Valeur actuelle, et isoproduction jusqu'en 2050 pour l'instant</t>
        </r>
      </text>
    </comment>
    <comment ref="B10" authorId="0" shapeId="0">
      <text>
        <r>
          <rPr>
            <b/>
            <sz val="9"/>
            <color indexed="81"/>
            <rFont val="Tahoma"/>
            <family val="2"/>
          </rPr>
          <t>Auteur:</t>
        </r>
        <r>
          <rPr>
            <sz val="9"/>
            <color indexed="81"/>
            <rFont val="Tahoma"/>
            <family val="2"/>
          </rPr>
          <t xml:space="preserve">
décomposition issue d’EDF et de l’étude HYfrance3
Valeur actuelle, et isoproduction jusqu'en 2050 pour l'instant</t>
        </r>
      </text>
    </comment>
  </commentList>
</comments>
</file>

<file path=xl/comments15.xml><?xml version="1.0" encoding="utf-8"?>
<comments xmlns="http://schemas.openxmlformats.org/spreadsheetml/2006/main">
  <authors>
    <author>Auteur</author>
  </authors>
  <commentList>
    <comment ref="B28" authorId="0" shapeId="0">
      <text>
        <r>
          <rPr>
            <b/>
            <sz val="9"/>
            <color indexed="81"/>
            <rFont val="Tahoma"/>
            <family val="2"/>
          </rPr>
          <t>Auteur:</t>
        </r>
        <r>
          <rPr>
            <sz val="9"/>
            <color indexed="81"/>
            <rFont val="Tahoma"/>
            <family val="2"/>
          </rPr>
          <t xml:space="preserve">
erreur sur fichier climagri ame, cf mail Thomas Eglin 18-3</t>
        </r>
      </text>
    </comment>
  </commentList>
</comments>
</file>

<file path=xl/comments16.xml><?xml version="1.0" encoding="utf-8"?>
<comments xmlns="http://schemas.openxmlformats.org/spreadsheetml/2006/main">
  <authors>
    <author>Auteur</author>
  </authors>
  <commentList>
    <comment ref="C26" authorId="0" shapeId="0">
      <text>
        <r>
          <rPr>
            <b/>
            <sz val="9"/>
            <color indexed="81"/>
            <rFont val="Tahoma"/>
            <family val="2"/>
          </rPr>
          <t>Auteur:</t>
        </r>
        <r>
          <rPr>
            <sz val="9"/>
            <color indexed="81"/>
            <rFont val="Tahoma"/>
            <family val="2"/>
          </rPr>
          <t xml:space="preserve">
Mail Arnaud Maisant 28/04/2020
Au final sur l’élec, il me semble difficile de ne pas se conformer à la PPE comme horizon 2028 du BAU. Les objectifs sont assez tendanciels d’une part, et suffisamment décrits et planifiés d’autre part (sur les appels d’offre, les fermetures de centrale…). Autant à horizon 2050, nous avions introduit l’idée d’un BAU qui plafonnerait l’éolien et le PV faute de débouchés (notamment à cause d’une acceptabilité en berne et d’une pilotabilité des usages peu développée), autant à horizon 2030 cet effet ne serait pas encore visible.
Sur le gaz on peut prendre la fourchette basse de 7% d’EnR dans la conso (soit 24 TWh), issue de la PPE également.
</t>
        </r>
      </text>
    </comment>
  </commentList>
</comments>
</file>

<file path=xl/comments17.xml><?xml version="1.0" encoding="utf-8"?>
<comments xmlns="http://schemas.openxmlformats.org/spreadsheetml/2006/main">
  <authors>
    <author>Auteur</author>
  </authors>
  <commentList>
    <comment ref="G3" authorId="0" shapeId="0">
      <text>
        <r>
          <rPr>
            <b/>
            <sz val="9"/>
            <color indexed="81"/>
            <rFont val="Tahoma"/>
            <family val="2"/>
          </rPr>
          <t>Auteur:</t>
        </r>
        <r>
          <rPr>
            <sz val="9"/>
            <color indexed="81"/>
            <rFont val="Tahoma"/>
            <family val="2"/>
          </rPr>
          <t xml:space="preserve">
Fioul Domestique</t>
        </r>
      </text>
    </comment>
    <comment ref="H3" authorId="0" shapeId="0">
      <text>
        <r>
          <rPr>
            <b/>
            <sz val="9"/>
            <color indexed="81"/>
            <rFont val="Tahoma"/>
            <family val="2"/>
          </rPr>
          <t>Auteur:</t>
        </r>
        <r>
          <rPr>
            <sz val="9"/>
            <color indexed="81"/>
            <rFont val="Tahoma"/>
            <family val="2"/>
          </rPr>
          <t xml:space="preserve">
Kérosène
</t>
        </r>
      </text>
    </comment>
    <comment ref="L3" authorId="0" shapeId="0">
      <text>
        <r>
          <rPr>
            <b/>
            <sz val="9"/>
            <color indexed="81"/>
            <rFont val="Tahoma"/>
            <family val="2"/>
          </rPr>
          <t>Auteur:</t>
        </r>
        <r>
          <rPr>
            <sz val="9"/>
            <color indexed="81"/>
            <rFont val="Tahoma"/>
            <family val="2"/>
          </rPr>
          <t xml:space="preserve">
"chaleur vendue" enerdata</t>
        </r>
      </text>
    </comment>
    <comment ref="A8" authorId="0" shapeId="0">
      <text>
        <r>
          <rPr>
            <b/>
            <sz val="9"/>
            <color indexed="81"/>
            <rFont val="Tahoma"/>
            <family val="2"/>
          </rPr>
          <t>Auteur:</t>
        </r>
        <r>
          <rPr>
            <sz val="9"/>
            <color indexed="81"/>
            <rFont val="Tahoma"/>
            <family val="2"/>
          </rPr>
          <t xml:space="preserve">
Source gestime modifié pour bau stm ; pas importé dans ce fichier et cc direct des résultats de ce GESTime</t>
        </r>
      </text>
    </comment>
    <comment ref="A9" authorId="0" shapeId="0">
      <text>
        <r>
          <rPr>
            <b/>
            <sz val="9"/>
            <color indexed="81"/>
            <rFont val="Tahoma"/>
            <family val="2"/>
          </rPr>
          <t>Auteur:</t>
        </r>
        <r>
          <rPr>
            <sz val="9"/>
            <color indexed="81"/>
            <rFont val="Tahoma"/>
            <family val="2"/>
          </rPr>
          <t xml:space="preserve">
source climagri ame ; import depuis onglet ClimAgri</t>
        </r>
      </text>
    </comment>
    <comment ref="P9" authorId="0" shapeId="0">
      <text>
        <r>
          <rPr>
            <b/>
            <sz val="9"/>
            <color indexed="81"/>
            <rFont val="Tahoma"/>
            <family val="2"/>
          </rPr>
          <t>Auteur:</t>
        </r>
        <r>
          <rPr>
            <sz val="9"/>
            <color indexed="81"/>
            <rFont val="Tahoma"/>
            <family val="2"/>
          </rPr>
          <t xml:space="preserve">
"bois"</t>
        </r>
      </text>
    </comment>
    <comment ref="A14" authorId="0" shapeId="0">
      <text>
        <r>
          <rPr>
            <b/>
            <sz val="9"/>
            <color indexed="81"/>
            <rFont val="Tahoma"/>
            <family val="2"/>
          </rPr>
          <t>Auteur:</t>
        </r>
        <r>
          <rPr>
            <sz val="9"/>
            <color indexed="81"/>
            <rFont val="Tahoma"/>
            <family val="2"/>
          </rPr>
          <t xml:space="preserve">
idem MtC02/TWh</t>
        </r>
      </text>
    </comment>
    <comment ref="K14" authorId="0" shapeId="0">
      <text>
        <r>
          <rPr>
            <b/>
            <sz val="9"/>
            <color indexed="81"/>
            <rFont val="Tahoma"/>
            <family val="2"/>
          </rPr>
          <t>Auteur:</t>
        </r>
        <r>
          <rPr>
            <sz val="9"/>
            <color indexed="81"/>
            <rFont val="Tahoma"/>
            <family val="2"/>
          </rPr>
          <t xml:space="preserve">
les émissions sont comptées dans la prod élec pour l'E initiale</t>
        </r>
      </text>
    </comment>
  </commentList>
</comments>
</file>

<file path=xl/comments18.xml><?xml version="1.0" encoding="utf-8"?>
<comments xmlns="http://schemas.openxmlformats.org/spreadsheetml/2006/main">
  <authors>
    <author>Auteur</author>
  </authors>
  <commentList>
    <comment ref="P1" authorId="0" shapeId="0">
      <text>
        <r>
          <rPr>
            <b/>
            <sz val="9"/>
            <color indexed="81"/>
            <rFont val="Tahoma"/>
            <family val="2"/>
          </rPr>
          <t>Auteur:</t>
        </r>
        <r>
          <rPr>
            <sz val="9"/>
            <color indexed="81"/>
            <rFont val="Tahoma"/>
            <family val="2"/>
          </rPr>
          <t xml:space="preserve">
ligne calculée à partir de Elec</t>
        </r>
      </text>
    </comment>
    <comment ref="AA1" authorId="0" shapeId="0">
      <text>
        <r>
          <rPr>
            <b/>
            <sz val="9"/>
            <color indexed="81"/>
            <rFont val="Tahoma"/>
            <family val="2"/>
          </rPr>
          <t>Auteur:</t>
        </r>
        <r>
          <rPr>
            <sz val="9"/>
            <color indexed="81"/>
            <rFont val="Tahoma"/>
            <family val="2"/>
          </rPr>
          <t xml:space="preserve">
AME ajusté v3 2019 02 22</t>
        </r>
      </text>
    </comment>
    <comment ref="AD1" authorId="0" shapeId="0">
      <text>
        <r>
          <rPr>
            <b/>
            <sz val="9"/>
            <color indexed="81"/>
            <rFont val="Tahoma"/>
            <family val="2"/>
          </rPr>
          <t>Auteur:</t>
        </r>
        <r>
          <rPr>
            <sz val="9"/>
            <color indexed="81"/>
            <rFont val="Tahoma"/>
            <family val="2"/>
          </rPr>
          <t xml:space="preserve">
Source gestime modifié pour bau stm ; pas importé dans ce fichier et cc direct des résultats de ce GESTime</t>
        </r>
      </text>
    </comment>
    <comment ref="AE1" authorId="0" shapeId="0">
      <text>
        <r>
          <rPr>
            <b/>
            <sz val="9"/>
            <color indexed="81"/>
            <rFont val="Tahoma"/>
            <family val="2"/>
          </rPr>
          <t>Auteur:</t>
        </r>
        <r>
          <rPr>
            <sz val="9"/>
            <color indexed="81"/>
            <rFont val="Tahoma"/>
            <family val="2"/>
          </rPr>
          <t xml:space="preserve">
source climagri ame ; import depuis onglet ClimAgri
20180214_CLIMAGRI_AME</t>
        </r>
      </text>
    </comment>
    <comment ref="U3" authorId="0" shapeId="0">
      <text>
        <r>
          <rPr>
            <b/>
            <sz val="9"/>
            <color indexed="81"/>
            <rFont val="Tahoma"/>
            <family val="2"/>
          </rPr>
          <t>Auteur:</t>
        </r>
        <r>
          <rPr>
            <sz val="9"/>
            <color indexed="81"/>
            <rFont val="Tahoma"/>
            <family val="2"/>
          </rPr>
          <t xml:space="preserve">
uniquement pour le calcul : on suppose que tout le H2 est produit à partir d'élec et que les valeurs de conso finales sont déjà exprimées en energie élec utilisée pour a prod du H2. Il faudra introduire un onglet rendement et différentes sources de prod de H2.</t>
        </r>
      </text>
    </comment>
    <comment ref="D20" authorId="0" shapeId="0">
      <text>
        <r>
          <rPr>
            <b/>
            <sz val="9"/>
            <color indexed="81"/>
            <rFont val="Tahoma"/>
            <family val="2"/>
          </rPr>
          <t>Auteur:</t>
        </r>
        <r>
          <rPr>
            <sz val="9"/>
            <color indexed="81"/>
            <rFont val="Tahoma"/>
            <family val="2"/>
          </rPr>
          <t xml:space="preserve">
Gazéification (source rendu Visions2017)</t>
        </r>
      </text>
    </comment>
    <comment ref="AA21" authorId="0" shapeId="0">
      <text>
        <r>
          <rPr>
            <b/>
            <sz val="9"/>
            <color indexed="81"/>
            <rFont val="Tahoma"/>
            <family val="2"/>
          </rPr>
          <t>Auteur:</t>
        </r>
        <r>
          <rPr>
            <sz val="9"/>
            <color indexed="81"/>
            <rFont val="Tahoma"/>
            <family val="2"/>
          </rPr>
          <t xml:space="preserve">
Valeur PPE moyenne BAU H2
 </t>
        </r>
      </text>
    </comment>
    <comment ref="D22" authorId="0" shapeId="0">
      <text>
        <r>
          <rPr>
            <b/>
            <sz val="9"/>
            <color indexed="81"/>
            <rFont val="Tahoma"/>
            <family val="2"/>
          </rPr>
          <t>Auteur:</t>
        </r>
        <r>
          <rPr>
            <sz val="9"/>
            <color indexed="81"/>
            <rFont val="Tahoma"/>
            <family val="2"/>
          </rPr>
          <t xml:space="preserve">
gaz mis dans GN </t>
        </r>
      </text>
    </comment>
    <comment ref="D24" authorId="0" shapeId="0">
      <text>
        <r>
          <rPr>
            <b/>
            <sz val="9"/>
            <color indexed="81"/>
            <rFont val="Tahoma"/>
            <family val="2"/>
          </rPr>
          <t>Auteur:</t>
        </r>
        <r>
          <rPr>
            <sz val="9"/>
            <color indexed="81"/>
            <rFont val="Tahoma"/>
            <family val="2"/>
          </rPr>
          <t xml:space="preserve">
"chaleur vendue" enerdata</t>
        </r>
      </text>
    </comment>
    <comment ref="D36" authorId="0" shapeId="0">
      <text>
        <r>
          <rPr>
            <b/>
            <sz val="9"/>
            <color indexed="81"/>
            <rFont val="Tahoma"/>
            <family val="2"/>
          </rPr>
          <t>Auteur:</t>
        </r>
        <r>
          <rPr>
            <sz val="9"/>
            <color indexed="81"/>
            <rFont val="Tahoma"/>
            <family val="2"/>
          </rPr>
          <t xml:space="preserve">
remplace 
Bois - domestique
Bois - chaleur (hors domestique)
Cogé bois - chaleur</t>
        </r>
      </text>
    </comment>
    <comment ref="P36" authorId="0" shapeId="0">
      <text>
        <r>
          <rPr>
            <b/>
            <sz val="9"/>
            <color indexed="81"/>
            <rFont val="Tahoma"/>
            <family val="2"/>
          </rPr>
          <t>Auteur:</t>
        </r>
        <r>
          <rPr>
            <sz val="9"/>
            <color indexed="81"/>
            <rFont val="Tahoma"/>
            <family val="2"/>
          </rPr>
          <t xml:space="preserve">
"biomasse et déchets"</t>
        </r>
      </text>
    </comment>
    <comment ref="AA36" authorId="0" shapeId="0">
      <text>
        <r>
          <rPr>
            <b/>
            <sz val="9"/>
            <color indexed="81"/>
            <rFont val="Tahoma"/>
            <family val="2"/>
          </rPr>
          <t>Auteur:</t>
        </r>
        <r>
          <rPr>
            <sz val="9"/>
            <color indexed="81"/>
            <rFont val="Tahoma"/>
            <family val="2"/>
          </rPr>
          <t xml:space="preserve">
j'ai mis tout EnR thermique et déchets dans la case biomasse solide</t>
        </r>
      </text>
    </comment>
    <comment ref="AE36" authorId="0" shapeId="0">
      <text>
        <r>
          <rPr>
            <b/>
            <sz val="9"/>
            <color indexed="81"/>
            <rFont val="Tahoma"/>
            <family val="2"/>
          </rPr>
          <t>Auteur:</t>
        </r>
        <r>
          <rPr>
            <sz val="9"/>
            <color indexed="81"/>
            <rFont val="Tahoma"/>
            <family val="2"/>
          </rPr>
          <t xml:space="preserve">
"bois"</t>
        </r>
      </text>
    </comment>
    <comment ref="D37" authorId="0" shapeId="0">
      <text>
        <r>
          <rPr>
            <b/>
            <sz val="9"/>
            <color indexed="81"/>
            <rFont val="Tahoma"/>
            <family val="2"/>
          </rPr>
          <t>Auteur:</t>
        </r>
        <r>
          <rPr>
            <sz val="9"/>
            <color indexed="81"/>
            <rFont val="Tahoma"/>
            <family val="2"/>
          </rPr>
          <t xml:space="preserve">
remplace 
Biogaz ID (indus)
Cogé méthanisation - chaleur (agri)
Biométhane (non injecté) ( agri)</t>
        </r>
      </text>
    </comment>
    <comment ref="C42" authorId="0" shapeId="0">
      <text>
        <r>
          <rPr>
            <b/>
            <sz val="9"/>
            <color indexed="81"/>
            <rFont val="Tahoma"/>
            <family val="2"/>
          </rPr>
          <t>Auteur:</t>
        </r>
        <r>
          <rPr>
            <sz val="9"/>
            <color indexed="81"/>
            <rFont val="Tahoma"/>
            <family val="2"/>
          </rPr>
          <t xml:space="preserve">
res ame donnés à ce niveau d'aggrégation : tout est basculé en FOD pour l'instant
</t>
        </r>
      </text>
    </comment>
    <comment ref="D44" authorId="0" shapeId="0">
      <text>
        <r>
          <rPr>
            <b/>
            <sz val="9"/>
            <color indexed="81"/>
            <rFont val="Tahoma"/>
            <family val="2"/>
          </rPr>
          <t>Auteur:</t>
        </r>
        <r>
          <rPr>
            <sz val="9"/>
            <color indexed="81"/>
            <rFont val="Tahoma"/>
            <family val="2"/>
          </rPr>
          <t xml:space="preserve">
Fioul Domestique</t>
        </r>
      </text>
    </comment>
  </commentList>
</comments>
</file>

<file path=xl/comments19.xml><?xml version="1.0" encoding="utf-8"?>
<comments xmlns="http://schemas.openxmlformats.org/spreadsheetml/2006/main">
  <authors>
    <author>Auteur</author>
  </authors>
  <commentList>
    <comment ref="A1" authorId="0" shapeId="0">
      <text>
        <r>
          <rPr>
            <b/>
            <sz val="9"/>
            <color indexed="81"/>
            <rFont val="Tahoma"/>
            <family val="2"/>
          </rPr>
          <t>Auteur:</t>
        </r>
        <r>
          <rPr>
            <sz val="9"/>
            <color indexed="81"/>
            <rFont val="Tahoma"/>
            <family val="2"/>
          </rPr>
          <t xml:space="preserve">
les quantités totales et la catégorie "dont extraction" pourront être directement obtenus à partir des sorties de MatMat. La partie "dont recyclage' nécessitera un travail supplémentaire</t>
        </r>
      </text>
    </comment>
    <comment ref="B2" authorId="0" shapeId="0">
      <text>
        <r>
          <rPr>
            <b/>
            <sz val="9"/>
            <color indexed="81"/>
            <rFont val="Tahoma"/>
            <family val="2"/>
          </rPr>
          <t>Auteur:</t>
        </r>
        <r>
          <rPr>
            <sz val="9"/>
            <color indexed="81"/>
            <rFont val="Tahoma"/>
            <family val="2"/>
          </rPr>
          <t xml:space="preserve">
Données MatMat</t>
        </r>
      </text>
    </comment>
    <comment ref="E15" authorId="0" shapeId="0">
      <text>
        <r>
          <rPr>
            <b/>
            <sz val="9"/>
            <color indexed="81"/>
            <rFont val="Tahoma"/>
            <family val="2"/>
          </rPr>
          <t>Auteur:</t>
        </r>
        <r>
          <rPr>
            <sz val="9"/>
            <color indexed="81"/>
            <rFont val="Tahoma"/>
            <family val="2"/>
          </rPr>
          <t xml:space="preserve">
Comment ont été déterminées ses valeurs ? A discuter avec DECD, SRER (projet Surfer), SFAB (tableur biomasse), SB (étude Batiments) pour simulation (1ere itération) avec MatMat ?</t>
        </r>
      </text>
    </comment>
    <comment ref="B18" authorId="0" shapeId="0">
      <text>
        <r>
          <rPr>
            <b/>
            <sz val="9"/>
            <color indexed="81"/>
            <rFont val="Tahoma"/>
            <family val="2"/>
          </rPr>
          <t>Auteur:</t>
        </r>
        <r>
          <rPr>
            <sz val="9"/>
            <color indexed="81"/>
            <rFont val="Tahoma"/>
            <family val="2"/>
          </rPr>
          <t xml:space="preserve">
si l'on se fie à la légende des résultats </t>
        </r>
      </text>
    </comment>
  </commentList>
</comments>
</file>

<file path=xl/comments2.xml><?xml version="1.0" encoding="utf-8"?>
<comments xmlns="http://schemas.openxmlformats.org/spreadsheetml/2006/main">
  <authors>
    <author>Auteur</author>
  </authors>
  <commentList>
    <comment ref="F2" authorId="0" shapeId="0">
      <text>
        <r>
          <rPr>
            <b/>
            <sz val="9"/>
            <color indexed="81"/>
            <rFont val="Tahoma"/>
            <family val="2"/>
          </rPr>
          <t>Auteur:</t>
        </r>
        <r>
          <rPr>
            <sz val="9"/>
            <color indexed="81"/>
            <rFont val="Tahoma"/>
            <family val="2"/>
          </rPr>
          <t xml:space="preserve">
res ame donnés à ce niveau d'aggrégation : tout est basculé en FOD pour l'instant
</t>
        </r>
      </text>
    </comment>
    <comment ref="H3" authorId="0" shapeId="0">
      <text>
        <r>
          <rPr>
            <b/>
            <sz val="9"/>
            <color indexed="81"/>
            <rFont val="Tahoma"/>
            <family val="2"/>
          </rPr>
          <t>Auteur:</t>
        </r>
        <r>
          <rPr>
            <sz val="9"/>
            <color indexed="81"/>
            <rFont val="Tahoma"/>
            <family val="2"/>
          </rPr>
          <t xml:space="preserve">
Fioul Domestique</t>
        </r>
      </text>
    </comment>
    <comment ref="P3" authorId="0" shapeId="0">
      <text>
        <r>
          <rPr>
            <b/>
            <sz val="9"/>
            <color indexed="81"/>
            <rFont val="Tahoma"/>
            <family val="2"/>
          </rPr>
          <t>Auteur:</t>
        </r>
        <r>
          <rPr>
            <sz val="9"/>
            <color indexed="81"/>
            <rFont val="Tahoma"/>
            <family val="2"/>
          </rPr>
          <t xml:space="preserve">
"chaleur vendue" enerdata</t>
        </r>
      </text>
    </comment>
    <comment ref="R3" authorId="0" shapeId="0">
      <text>
        <r>
          <rPr>
            <b/>
            <sz val="9"/>
            <color indexed="81"/>
            <rFont val="Tahoma"/>
            <family val="2"/>
          </rPr>
          <t>Auteur:</t>
        </r>
        <r>
          <rPr>
            <sz val="9"/>
            <color indexed="81"/>
            <rFont val="Tahoma"/>
            <family val="2"/>
          </rPr>
          <t xml:space="preserve">
gaz enerdata mis dans GN </t>
        </r>
      </text>
    </comment>
    <comment ref="S3" authorId="0" shapeId="0">
      <text>
        <r>
          <rPr>
            <b/>
            <sz val="9"/>
            <color indexed="81"/>
            <rFont val="Tahoma"/>
            <family val="2"/>
          </rPr>
          <t>Auteur:</t>
        </r>
        <r>
          <rPr>
            <sz val="9"/>
            <color indexed="81"/>
            <rFont val="Tahoma"/>
            <family val="2"/>
          </rPr>
          <t xml:space="preserve">
inclus BtG</t>
        </r>
      </text>
    </comment>
    <comment ref="AA4" authorId="0" shapeId="0">
      <text>
        <r>
          <rPr>
            <b/>
            <sz val="9"/>
            <color indexed="81"/>
            <rFont val="Tahoma"/>
            <family val="2"/>
          </rPr>
          <t>Auteur:</t>
        </r>
        <r>
          <rPr>
            <sz val="9"/>
            <color indexed="81"/>
            <rFont val="Tahoma"/>
            <family val="2"/>
          </rPr>
          <t xml:space="preserve">
Les valeurs AME proviennent par défaut du tableur "AME ajusté v3 2019 02 22", et ce sauf mention contraire </t>
        </r>
      </text>
    </comment>
    <comment ref="Q5" authorId="0" shapeId="0">
      <text>
        <r>
          <rPr>
            <b/>
            <sz val="9"/>
            <color indexed="81"/>
            <rFont val="Tahoma"/>
            <family val="2"/>
          </rPr>
          <t>Auteur:</t>
        </r>
        <r>
          <rPr>
            <sz val="9"/>
            <color indexed="81"/>
            <rFont val="Tahoma"/>
            <family val="2"/>
          </rPr>
          <t xml:space="preserve">
co-production industrie hors raffinage</t>
        </r>
      </text>
    </comment>
    <comment ref="S5" authorId="0" shapeId="0">
      <text>
        <r>
          <rPr>
            <b/>
            <sz val="9"/>
            <color indexed="81"/>
            <rFont val="Tahoma"/>
            <family val="2"/>
          </rPr>
          <t>Auteur:</t>
        </r>
        <r>
          <rPr>
            <sz val="9"/>
            <color indexed="81"/>
            <rFont val="Tahoma"/>
            <family val="2"/>
          </rPr>
          <t xml:space="preserve">
tableur BAU SFAB v3avril "méthanisation, énergie produite, GWh"</t>
        </r>
      </text>
    </comment>
    <comment ref="R6" authorId="0" shapeId="0">
      <text>
        <r>
          <rPr>
            <b/>
            <sz val="9"/>
            <color indexed="81"/>
            <rFont val="Tahoma"/>
            <family val="2"/>
          </rPr>
          <t>Auteur:</t>
        </r>
        <r>
          <rPr>
            <sz val="9"/>
            <color indexed="81"/>
            <rFont val="Tahoma"/>
            <family val="2"/>
          </rPr>
          <t xml:space="preserve">
calculé comme variable d'ajustement</t>
        </r>
      </text>
    </comment>
    <comment ref="T6" authorId="0" shapeId="0">
      <text>
        <r>
          <rPr>
            <b/>
            <sz val="9"/>
            <color indexed="81"/>
            <rFont val="Tahoma"/>
            <family val="2"/>
          </rPr>
          <t>Auteur:</t>
        </r>
        <r>
          <rPr>
            <sz val="9"/>
            <color indexed="81"/>
            <rFont val="Tahoma"/>
            <family val="2"/>
          </rPr>
          <t xml:space="preserve">
calculé comme variable d'ajustement</t>
        </r>
      </text>
    </comment>
    <comment ref="A15" authorId="0" shapeId="0">
      <text>
        <r>
          <rPr>
            <b/>
            <sz val="9"/>
            <color indexed="81"/>
            <rFont val="Tahoma"/>
            <family val="2"/>
          </rPr>
          <t>Auteur:</t>
        </r>
        <r>
          <rPr>
            <sz val="9"/>
            <color indexed="81"/>
            <rFont val="Tahoma"/>
            <family val="2"/>
          </rPr>
          <t xml:space="preserve">
ligne calculée à partir de Elec</t>
        </r>
      </text>
    </comment>
    <comment ref="T15" authorId="0" shapeId="0">
      <text>
        <r>
          <rPr>
            <b/>
            <sz val="9"/>
            <color indexed="81"/>
            <rFont val="Tahoma"/>
            <family val="2"/>
          </rPr>
          <t>Auteur:</t>
        </r>
        <r>
          <rPr>
            <sz val="9"/>
            <color indexed="81"/>
            <rFont val="Tahoma"/>
            <family val="2"/>
          </rPr>
          <t xml:space="preserve">
"biomasse et déchets" enerdata</t>
        </r>
      </text>
    </comment>
    <comment ref="S18" authorId="0" shapeId="0">
      <text>
        <r>
          <rPr>
            <b/>
            <sz val="9"/>
            <color indexed="81"/>
            <rFont val="Tahoma"/>
            <family val="2"/>
          </rPr>
          <t>Auteur:</t>
        </r>
        <r>
          <rPr>
            <sz val="9"/>
            <color indexed="81"/>
            <rFont val="Tahoma"/>
            <family val="2"/>
          </rPr>
          <t xml:space="preserve">
calculé à partir des besoins en biogaz</t>
        </r>
      </text>
    </comment>
    <comment ref="U19" authorId="0" shapeId="0">
      <text>
        <r>
          <rPr>
            <b/>
            <sz val="9"/>
            <color indexed="81"/>
            <rFont val="Tahoma"/>
            <family val="2"/>
          </rPr>
          <t>Auteur:</t>
        </r>
        <r>
          <rPr>
            <sz val="9"/>
            <color indexed="81"/>
            <rFont val="Tahoma"/>
            <family val="2"/>
          </rPr>
          <t xml:space="preserve">
calculé pour répondre à la demande</t>
        </r>
      </text>
    </comment>
    <comment ref="H20" authorId="0" shapeId="0">
      <text>
        <r>
          <rPr>
            <b/>
            <sz val="9"/>
            <color indexed="81"/>
            <rFont val="Tahoma"/>
            <family val="2"/>
          </rPr>
          <t>Auteur:</t>
        </r>
        <r>
          <rPr>
            <sz val="9"/>
            <color indexed="81"/>
            <rFont val="Tahoma"/>
            <family val="2"/>
          </rPr>
          <t xml:space="preserve">
supposé naivement qu'on raffine pour tous les besoins
et qu'on importe que du brut
Aussi, traitement indifférencié de tous les produits pétroliers raffinés indépendament de ce qui peut sortir </t>
        </r>
      </text>
    </comment>
    <comment ref="Q20" authorId="0" shapeId="0">
      <text>
        <r>
          <rPr>
            <b/>
            <sz val="9"/>
            <color indexed="81"/>
            <rFont val="Tahoma"/>
            <family val="2"/>
          </rPr>
          <t>Auteur:</t>
        </r>
        <r>
          <rPr>
            <sz val="9"/>
            <color indexed="81"/>
            <rFont val="Tahoma"/>
            <family val="2"/>
          </rPr>
          <t xml:space="preserve">
conso - prod de H2 dans le raffinage</t>
        </r>
      </text>
    </comment>
    <comment ref="O21" authorId="0" shapeId="0">
      <text>
        <r>
          <rPr>
            <b/>
            <sz val="9"/>
            <color indexed="81"/>
            <rFont val="Tahoma"/>
            <family val="2"/>
          </rPr>
          <t>Auteur:</t>
        </r>
        <r>
          <rPr>
            <sz val="9"/>
            <color indexed="81"/>
            <rFont val="Tahoma"/>
            <family val="2"/>
          </rPr>
          <t xml:space="preserve">
uniquement pour le calcul : on suppose que tout le H2 est produit à partir d'élec  Il faudra introduire un onglet rendement et différentes sources de prod de H2.</t>
        </r>
      </text>
    </comment>
    <comment ref="Q21" authorId="0" shapeId="0">
      <text>
        <r>
          <rPr>
            <b/>
            <sz val="9"/>
            <color indexed="81"/>
            <rFont val="Tahoma"/>
            <family val="2"/>
          </rPr>
          <t>Auteur:</t>
        </r>
        <r>
          <rPr>
            <sz val="9"/>
            <color indexed="81"/>
            <rFont val="Tahoma"/>
            <family val="2"/>
          </rPr>
          <t xml:space="preserve">
Prod par électrolyse + SMR</t>
        </r>
      </text>
    </comment>
    <comment ref="AA21" authorId="0" shapeId="0">
      <text>
        <r>
          <rPr>
            <b/>
            <sz val="9"/>
            <color indexed="81"/>
            <rFont val="Tahoma"/>
            <family val="2"/>
          </rPr>
          <t>Auteur:</t>
        </r>
        <r>
          <rPr>
            <sz val="9"/>
            <color indexed="81"/>
            <rFont val="Tahoma"/>
            <family val="2"/>
          </rPr>
          <t xml:space="preserve">
les GES liées à la production de H2 ne sont pas comptabilisable de cette façon (pas de combustion de méthane dans SMR et au niveau de l'electrolyse on a 0 de toute façon avec cette méthode).
Elles sont donc inclues dans les émissions de procédés de l'industrie.
Quelques pistes s'il fallait les modéliser ici : 
" For every tonne of H2 produced, some 10 tonnes of CO2
are also produced including the amount related to steam production. "
Eurostat 
Best Available Techniques (BAT) Reference Document for the Refining of Mineral Oil and Gas
https://eippcb.jrc.ec.europa.eu/sites/default/files/2019-11/REF_BREF_2015.pdf</t>
        </r>
      </text>
    </comment>
    <comment ref="C22" authorId="0" shapeId="0">
      <text>
        <r>
          <rPr>
            <b/>
            <sz val="9"/>
            <color indexed="81"/>
            <rFont val="Tahoma"/>
            <family val="2"/>
          </rPr>
          <t>Auteur:</t>
        </r>
        <r>
          <rPr>
            <sz val="9"/>
            <color indexed="81"/>
            <rFont val="Tahoma"/>
            <family val="2"/>
          </rPr>
          <t xml:space="preserve">
?
Correspond à une perte brute dans AMEajusté enerdata</t>
        </r>
      </text>
    </comment>
    <comment ref="A27" authorId="0" shapeId="0">
      <text>
        <r>
          <rPr>
            <b/>
            <sz val="9"/>
            <color indexed="81"/>
            <rFont val="Tahoma"/>
            <family val="2"/>
          </rPr>
          <t>Auteur:</t>
        </r>
        <r>
          <rPr>
            <sz val="9"/>
            <color indexed="81"/>
            <rFont val="Tahoma"/>
            <family val="2"/>
          </rPr>
          <t xml:space="preserve">
AME ajusté v3 2019 02 22</t>
        </r>
      </text>
    </comment>
    <comment ref="R27" authorId="0" shapeId="0">
      <text>
        <r>
          <rPr>
            <b/>
            <sz val="9"/>
            <color indexed="81"/>
            <rFont val="Tahoma"/>
            <family val="2"/>
          </rPr>
          <t>Auteur:</t>
        </r>
        <r>
          <rPr>
            <sz val="9"/>
            <color indexed="81"/>
            <rFont val="Tahoma"/>
            <family val="2"/>
          </rPr>
          <t xml:space="preserve">
la somme provient d'ameajusté, mais la ventilation entre gaz et biogaz est totalement arbitraire (20%) pour que les relations comptables ne donnent pas des valeurs absurde (biogaz &gt; biomasse solide). A refaire proprement avec des taux d'injection de biogaz dans le réseau, par des % de biogaz par secteurs qui peuvent suivre, etc.</t>
        </r>
      </text>
    </comment>
    <comment ref="T27" authorId="0" shapeId="0">
      <text>
        <r>
          <rPr>
            <b/>
            <sz val="9"/>
            <color indexed="81"/>
            <rFont val="Tahoma"/>
            <family val="2"/>
          </rPr>
          <t>Auteur:</t>
        </r>
        <r>
          <rPr>
            <sz val="9"/>
            <color indexed="81"/>
            <rFont val="Tahoma"/>
            <family val="2"/>
          </rPr>
          <t xml:space="preserve">
tout EnR thermique et déchets de ENerdata est dans la case biomasse solide</t>
        </r>
      </text>
    </comment>
    <comment ref="A30" authorId="0" shapeId="0">
      <text>
        <r>
          <rPr>
            <b/>
            <sz val="9"/>
            <color indexed="81"/>
            <rFont val="Tahoma"/>
            <family val="2"/>
          </rPr>
          <t>Auteur:</t>
        </r>
        <r>
          <rPr>
            <sz val="9"/>
            <color indexed="81"/>
            <rFont val="Tahoma"/>
            <family val="2"/>
          </rPr>
          <t xml:space="preserve">
Source gestime modifié pour bau stm ; pas importé dans ce fichier et report depuis le bilan E de ce GESTime</t>
        </r>
      </text>
    </comment>
    <comment ref="A31" authorId="0" shapeId="0">
      <text>
        <r>
          <rPr>
            <b/>
            <sz val="9"/>
            <color indexed="81"/>
            <rFont val="Tahoma"/>
            <family val="2"/>
          </rPr>
          <t>Auteur:</t>
        </r>
        <r>
          <rPr>
            <sz val="9"/>
            <color indexed="81"/>
            <rFont val="Tahoma"/>
            <family val="2"/>
          </rPr>
          <t xml:space="preserve">
source climagri ame ; import depuis onglet ClimAgri
20180214_CLIMAGRI_AME</t>
        </r>
      </text>
    </comment>
    <comment ref="T31" authorId="0" shapeId="0">
      <text>
        <r>
          <rPr>
            <b/>
            <sz val="9"/>
            <color indexed="81"/>
            <rFont val="Tahoma"/>
            <family val="2"/>
          </rPr>
          <t>Auteur:</t>
        </r>
        <r>
          <rPr>
            <sz val="9"/>
            <color indexed="81"/>
            <rFont val="Tahoma"/>
            <family val="2"/>
          </rPr>
          <t xml:space="preserve">
"bois"</t>
        </r>
      </text>
    </comment>
    <comment ref="A33" authorId="0" shapeId="0">
      <text>
        <r>
          <rPr>
            <b/>
            <sz val="9"/>
            <color indexed="81"/>
            <rFont val="Tahoma"/>
            <family val="2"/>
          </rPr>
          <t>Auteur:</t>
        </r>
        <r>
          <rPr>
            <sz val="9"/>
            <color indexed="81"/>
            <rFont val="Tahoma"/>
            <family val="2"/>
          </rPr>
          <t xml:space="preserve">
= conso en matières premières E de l'industrie ; pas de combustion</t>
        </r>
      </text>
    </comment>
    <comment ref="A41" authorId="0" shapeId="0">
      <text>
        <r>
          <rPr>
            <b/>
            <sz val="9"/>
            <color indexed="81"/>
            <rFont val="Tahoma"/>
            <family val="2"/>
          </rPr>
          <t>Auteur:</t>
        </r>
        <r>
          <rPr>
            <sz val="9"/>
            <color indexed="81"/>
            <rFont val="Tahoma"/>
            <family val="2"/>
          </rPr>
          <t xml:space="preserve">
idem MtC02/TWh</t>
        </r>
      </text>
    </comment>
    <comment ref="O41" authorId="0" shapeId="0">
      <text>
        <r>
          <rPr>
            <b/>
            <sz val="9"/>
            <color indexed="81"/>
            <rFont val="Tahoma"/>
            <family val="2"/>
          </rPr>
          <t>Auteur:</t>
        </r>
        <r>
          <rPr>
            <sz val="9"/>
            <color indexed="81"/>
            <rFont val="Tahoma"/>
            <family val="2"/>
          </rPr>
          <t xml:space="preserve">
les émissions sont comptées dans la prod élec pour l'E initiale</t>
        </r>
      </text>
    </comment>
  </commentList>
</comments>
</file>

<file path=xl/comments20.xml><?xml version="1.0" encoding="utf-8"?>
<comments xmlns="http://schemas.openxmlformats.org/spreadsheetml/2006/main">
  <authors>
    <author>Auteur</author>
  </authors>
  <commentList>
    <comment ref="D7" authorId="0" shapeId="0">
      <text>
        <r>
          <rPr>
            <b/>
            <sz val="9"/>
            <color indexed="81"/>
            <rFont val="Tahoma"/>
            <family val="2"/>
          </rPr>
          <t>Renseigner ici les surfaces de cultures pérennes (vergers, vignes) : pour prise en compte des résidus associés</t>
        </r>
      </text>
    </comment>
    <comment ref="D8" authorId="0" shapeId="0">
      <text>
        <r>
          <rPr>
            <b/>
            <sz val="9"/>
            <color indexed="81"/>
            <rFont val="Tahoma"/>
            <family val="2"/>
          </rPr>
          <t>Surface de cultures TCR et TTCR uniquement</t>
        </r>
        <r>
          <rPr>
            <sz val="9"/>
            <color indexed="81"/>
            <rFont val="Tahoma"/>
            <family val="2"/>
          </rPr>
          <t xml:space="preserve">
</t>
        </r>
      </text>
    </comment>
    <comment ref="C12" authorId="0" shapeId="0">
      <text>
        <r>
          <rPr>
            <b/>
            <sz val="9"/>
            <color indexed="81"/>
            <rFont val="Tahoma"/>
            <family val="2"/>
          </rPr>
          <t xml:space="preserve">Correspondance (AGRESTE = Ress détaillée) :
</t>
        </r>
        <r>
          <rPr>
            <sz val="9"/>
            <color indexed="81"/>
            <rFont val="Tahoma"/>
            <family val="2"/>
          </rPr>
          <t xml:space="preserve">Céréales = grains maïs, seigle, orge, blé, avoine, riz, autres céréales (mils tels que sorgho par exemple)
Oléagineux = grains colza, soja, tournesol, autres oléa
Protéa = grains protéa
Cultures industrielles = Betteraves, Chanvre, Cultures agricoles dédiées, Cultures dédiées pérennes, Lin fibres
Prairies artificielles et temporaires = Prairies artificielles
Surface toujours en herbe = Prairies permanentes
</t>
        </r>
      </text>
    </comment>
    <comment ref="D22" authorId="0" shapeId="0">
      <text>
        <r>
          <rPr>
            <b/>
            <sz val="9"/>
            <color indexed="81"/>
            <rFont val="Tahoma"/>
            <family val="2"/>
          </rPr>
          <t>Ressource dépendante d'une autre ressource et/ou procédé</t>
        </r>
      </text>
    </comment>
  </commentList>
</comments>
</file>

<file path=xl/comments3.xml><?xml version="1.0" encoding="utf-8"?>
<comments xmlns="http://schemas.openxmlformats.org/spreadsheetml/2006/main">
  <authors>
    <author>Auteur</author>
  </authors>
  <commentList>
    <comment ref="G2" authorId="0" shapeId="0">
      <text>
        <r>
          <rPr>
            <b/>
            <sz val="9"/>
            <color indexed="81"/>
            <rFont val="Tahoma"/>
            <family val="2"/>
          </rPr>
          <t>Auteur:</t>
        </r>
        <r>
          <rPr>
            <sz val="9"/>
            <color indexed="81"/>
            <rFont val="Tahoma"/>
            <family val="2"/>
          </rPr>
          <t xml:space="preserve">
nomenclature CITEPA</t>
        </r>
      </text>
    </comment>
    <comment ref="B4" authorId="0" shapeId="0">
      <text>
        <r>
          <rPr>
            <b/>
            <sz val="9"/>
            <color indexed="81"/>
            <rFont val="Tahoma"/>
            <family val="2"/>
          </rPr>
          <t>Auteur:</t>
        </r>
        <r>
          <rPr>
            <sz val="9"/>
            <color indexed="81"/>
            <rFont val="Tahoma"/>
            <family val="2"/>
          </rPr>
          <t xml:space="preserve">
citepa ameajusté
2.  Industrial Processes</t>
        </r>
      </text>
    </comment>
    <comment ref="C6" authorId="0" shapeId="0">
      <text>
        <r>
          <rPr>
            <b/>
            <sz val="9"/>
            <color indexed="81"/>
            <rFont val="Tahoma"/>
            <family val="2"/>
          </rPr>
          <t>Auteur:</t>
        </r>
        <r>
          <rPr>
            <sz val="9"/>
            <color indexed="81"/>
            <rFont val="Tahoma"/>
            <family val="2"/>
          </rPr>
          <t xml:space="preserve">
citepa 2010 d'après Visions 2017</t>
        </r>
      </text>
    </comment>
    <comment ref="C8" authorId="0" shapeId="0">
      <text>
        <r>
          <rPr>
            <b/>
            <sz val="9"/>
            <color indexed="81"/>
            <rFont val="Tahoma"/>
            <family val="2"/>
          </rPr>
          <t>Auteur:</t>
        </r>
        <r>
          <rPr>
            <sz val="9"/>
            <color indexed="81"/>
            <rFont val="Tahoma"/>
            <family val="2"/>
          </rPr>
          <t xml:space="preserve">
citepa 2010 d'après Visions 2017</t>
        </r>
      </text>
    </comment>
    <comment ref="C10" authorId="0" shapeId="0">
      <text>
        <r>
          <rPr>
            <b/>
            <sz val="9"/>
            <color indexed="81"/>
            <rFont val="Tahoma"/>
            <family val="2"/>
          </rPr>
          <t>Auteur:</t>
        </r>
        <r>
          <rPr>
            <sz val="9"/>
            <color indexed="81"/>
            <rFont val="Tahoma"/>
            <family val="2"/>
          </rPr>
          <t xml:space="preserve">
citepa 2010 d'après Visions 2017</t>
        </r>
      </text>
    </comment>
    <comment ref="B12" authorId="0" shapeId="0">
      <text>
        <r>
          <rPr>
            <b/>
            <sz val="9"/>
            <color indexed="81"/>
            <rFont val="Tahoma"/>
            <family val="2"/>
          </rPr>
          <t>Auteur:</t>
        </r>
        <r>
          <rPr>
            <sz val="9"/>
            <color indexed="81"/>
            <rFont val="Tahoma"/>
            <family val="2"/>
          </rPr>
          <t xml:space="preserve">
désaggrégation possible en co2/ch4 et N2Ods sorties climagri onglet R_profil_ges ou R1 pour t de chaque GES</t>
        </r>
      </text>
    </comment>
    <comment ref="C12" authorId="0" shapeId="0">
      <text>
        <r>
          <rPr>
            <b/>
            <sz val="9"/>
            <color indexed="81"/>
            <rFont val="Tahoma"/>
            <family val="2"/>
          </rPr>
          <t>Auteur:</t>
        </r>
        <r>
          <rPr>
            <sz val="9"/>
            <color indexed="81"/>
            <rFont val="Tahoma"/>
            <family val="2"/>
          </rPr>
          <t xml:space="preserve">
tableur SFAB BAU v6mars "GES - Emissions directes agriculture"</t>
        </r>
      </text>
    </comment>
    <comment ref="D12" authorId="0" shapeId="0">
      <text>
        <r>
          <rPr>
            <b/>
            <sz val="9"/>
            <color indexed="81"/>
            <rFont val="Tahoma"/>
            <family val="2"/>
          </rPr>
          <t>Auteur:</t>
        </r>
        <r>
          <rPr>
            <sz val="9"/>
            <color indexed="81"/>
            <rFont val="Tahoma"/>
            <family val="2"/>
          </rPr>
          <t xml:space="preserve">
les 3 sous GES sont extraits de ClimAgri AME en utilisant les résultats de l'onglet R_profil_GES et en utilisant la valeur du PRG entré dans l'outil.
Mais la somme arrive à 105,5 et pas 86 (même valeur que version 2015 du tableur bau sfab v3avril)</t>
        </r>
      </text>
    </comment>
    <comment ref="C14" authorId="0" shapeId="0">
      <text>
        <r>
          <rPr>
            <b/>
            <sz val="9"/>
            <color indexed="81"/>
            <rFont val="Tahoma"/>
            <family val="2"/>
          </rPr>
          <t>Auteur:</t>
        </r>
        <r>
          <rPr>
            <sz val="9"/>
            <color indexed="81"/>
            <rFont val="Tahoma"/>
            <family val="2"/>
          </rPr>
          <t xml:space="preserve">
citepa ameajusté
B. Fugitive Emissions from Fuels
(C. CTS = 0, donc tout 1. Energy sauf 1. Fuel Combustion)</t>
        </r>
      </text>
    </comment>
    <comment ref="C15" authorId="0" shapeId="0">
      <text>
        <r>
          <rPr>
            <b/>
            <sz val="9"/>
            <color indexed="81"/>
            <rFont val="Tahoma"/>
            <family val="2"/>
          </rPr>
          <t>Auteur:</t>
        </r>
        <r>
          <rPr>
            <sz val="9"/>
            <color indexed="81"/>
            <rFont val="Tahoma"/>
            <family val="2"/>
          </rPr>
          <t xml:space="preserve">
citepa ameajusté
5. Waste</t>
        </r>
      </text>
    </comment>
    <comment ref="C16" authorId="0" shapeId="0">
      <text>
        <r>
          <rPr>
            <b/>
            <sz val="9"/>
            <color indexed="81"/>
            <rFont val="Tahoma"/>
            <family val="2"/>
          </rPr>
          <t>Auteur:</t>
        </r>
        <r>
          <rPr>
            <sz val="9"/>
            <color indexed="81"/>
            <rFont val="Tahoma"/>
            <family val="2"/>
          </rPr>
          <t xml:space="preserve">
citepa 2010 d'après Visions 2017</t>
        </r>
      </text>
    </comment>
  </commentList>
</comments>
</file>

<file path=xl/comments4.xml><?xml version="1.0" encoding="utf-8"?>
<comments xmlns="http://schemas.openxmlformats.org/spreadsheetml/2006/main">
  <authors>
    <author>Auteur</author>
  </authors>
  <commentList>
    <comment ref="F4" authorId="0" shapeId="0">
      <text>
        <r>
          <rPr>
            <b/>
            <sz val="9"/>
            <color indexed="81"/>
            <rFont val="Tahoma"/>
            <family val="2"/>
          </rPr>
          <t>Auteur:</t>
        </r>
        <r>
          <rPr>
            <sz val="9"/>
            <color indexed="81"/>
            <rFont val="Tahoma"/>
            <family val="2"/>
          </rPr>
          <t xml:space="preserve">
Def Antoine Pierart email 23/4
Traduction ClimAgri : GC + culture fourragères autres que prairie permanente (PT + colza/sorgho fourrager + jachère) + arboriculture + maraichage + agroforesterie ;; Aussi égal à SAU - prairies naturelles avec def SAU ligne 405</t>
        </r>
      </text>
    </comment>
    <comment ref="A12" authorId="0" shapeId="0">
      <text>
        <r>
          <rPr>
            <b/>
            <sz val="9"/>
            <color indexed="81"/>
            <rFont val="Tahoma"/>
            <family val="2"/>
          </rPr>
          <t>Auteur:</t>
        </r>
        <r>
          <rPr>
            <sz val="9"/>
            <color indexed="81"/>
            <rFont val="Tahoma"/>
            <family val="2"/>
          </rPr>
          <t xml:space="preserve">
Les valeurs AME proviennent par défaut du tableur "AME ajusté v3 2019 02 22", et ce sauf mention contraire </t>
        </r>
      </text>
    </comment>
  </commentList>
</comments>
</file>

<file path=xl/comments5.xml><?xml version="1.0" encoding="utf-8"?>
<comments xmlns="http://schemas.openxmlformats.org/spreadsheetml/2006/main">
  <authors>
    <author>Auteur</author>
  </authors>
  <commentList>
    <comment ref="E6" authorId="0" shapeId="0">
      <text>
        <r>
          <rPr>
            <b/>
            <sz val="9"/>
            <color indexed="81"/>
            <rFont val="Tahoma"/>
            <family val="2"/>
          </rPr>
          <t>Auteur:</t>
        </r>
        <r>
          <rPr>
            <sz val="9"/>
            <color indexed="81"/>
            <rFont val="Tahoma"/>
            <family val="2"/>
          </rPr>
          <t xml:space="preserve">
ventilation approximative</t>
        </r>
      </text>
    </comment>
    <comment ref="D7" authorId="0" shapeId="0">
      <text>
        <r>
          <rPr>
            <b/>
            <sz val="9"/>
            <color indexed="81"/>
            <rFont val="Tahoma"/>
            <family val="2"/>
          </rPr>
          <t>Auteur:</t>
        </r>
        <r>
          <rPr>
            <sz val="9"/>
            <color indexed="81"/>
            <rFont val="Tahoma"/>
            <family val="2"/>
          </rPr>
          <t xml:space="preserve">
snbc p29</t>
        </r>
      </text>
    </comment>
    <comment ref="D8" authorId="0" shapeId="0">
      <text>
        <r>
          <rPr>
            <b/>
            <sz val="9"/>
            <color indexed="81"/>
            <rFont val="Tahoma"/>
            <family val="2"/>
          </rPr>
          <t>Auteur:</t>
        </r>
        <r>
          <rPr>
            <sz val="9"/>
            <color indexed="81"/>
            <rFont val="Tahoma"/>
            <family val="2"/>
          </rPr>
          <t xml:space="preserve">
snbc p29 hyp 50% nucléaire
</t>
        </r>
      </text>
    </comment>
    <comment ref="D10" authorId="0" shapeId="0">
      <text>
        <r>
          <rPr>
            <b/>
            <sz val="9"/>
            <color indexed="81"/>
            <rFont val="Tahoma"/>
            <family val="2"/>
          </rPr>
          <t>Auteur:</t>
        </r>
        <r>
          <rPr>
            <sz val="9"/>
            <color indexed="81"/>
            <rFont val="Tahoma"/>
            <family val="2"/>
          </rPr>
          <t xml:space="preserve">
Enerdata AMS v4</t>
        </r>
      </text>
    </comment>
    <comment ref="B18" authorId="0" shapeId="0">
      <text>
        <r>
          <rPr>
            <b/>
            <sz val="9"/>
            <color indexed="81"/>
            <rFont val="Tahoma"/>
            <family val="2"/>
          </rPr>
          <t>Auteur:</t>
        </r>
        <r>
          <rPr>
            <sz val="9"/>
            <color indexed="81"/>
            <rFont val="Tahoma"/>
            <family val="2"/>
          </rPr>
          <t xml:space="preserve">
Ajout DM 7/4/2020</t>
        </r>
      </text>
    </comment>
    <comment ref="D19" authorId="0" shapeId="0">
      <text>
        <r>
          <rPr>
            <b/>
            <sz val="9"/>
            <color indexed="81"/>
            <rFont val="Tahoma"/>
            <family val="2"/>
          </rPr>
          <t>Auteur:</t>
        </r>
        <r>
          <rPr>
            <sz val="9"/>
            <color indexed="81"/>
            <rFont val="Tahoma"/>
            <family val="2"/>
          </rPr>
          <t xml:space="preserve">
ams enerdata v4</t>
        </r>
      </text>
    </comment>
    <comment ref="E19" authorId="0" shapeId="0">
      <text>
        <r>
          <rPr>
            <b/>
            <sz val="9"/>
            <color indexed="81"/>
            <rFont val="Tahoma"/>
            <family val="2"/>
          </rPr>
          <t>Auteur:</t>
        </r>
        <r>
          <rPr>
            <sz val="9"/>
            <color indexed="81"/>
            <rFont val="Tahoma"/>
            <family val="2"/>
          </rPr>
          <t xml:space="preserve">
calculé à partir du bilan E</t>
        </r>
      </text>
    </comment>
    <comment ref="B32" authorId="0" shapeId="0">
      <text>
        <r>
          <rPr>
            <b/>
            <sz val="9"/>
            <color indexed="81"/>
            <rFont val="Tahoma"/>
            <family val="2"/>
          </rPr>
          <t>Auteur:</t>
        </r>
        <r>
          <rPr>
            <sz val="9"/>
            <color indexed="81"/>
            <rFont val="Tahoma"/>
            <family val="2"/>
          </rPr>
          <t xml:space="preserve">
les quantités totales et la catégorie "dont extraction" pourront être directement obtenus à partir des sorties de MatMat. La partie "dont recyclage' nécessitera un travail supplémentaire</t>
        </r>
      </text>
    </comment>
    <comment ref="C33" authorId="0" shapeId="0">
      <text>
        <r>
          <rPr>
            <b/>
            <sz val="9"/>
            <color indexed="81"/>
            <rFont val="Tahoma"/>
            <family val="2"/>
          </rPr>
          <t>Auteur:</t>
        </r>
        <r>
          <rPr>
            <sz val="9"/>
            <color indexed="81"/>
            <rFont val="Tahoma"/>
            <family val="2"/>
          </rPr>
          <t xml:space="preserve">
Données MatMat</t>
        </r>
      </text>
    </comment>
    <comment ref="F46" authorId="0" shapeId="0">
      <text>
        <r>
          <rPr>
            <b/>
            <sz val="9"/>
            <color indexed="81"/>
            <rFont val="Tahoma"/>
            <family val="2"/>
          </rPr>
          <t>Auteur:</t>
        </r>
        <r>
          <rPr>
            <sz val="9"/>
            <color indexed="81"/>
            <rFont val="Tahoma"/>
            <family val="2"/>
          </rPr>
          <t xml:space="preserve">
Comment ont été déterminées ses valeurs ? A discuter avec DECD, SRER (projet Surfer), SFAB (tableur biomasse), SB (étude Batiments) pour simulation (1ere itération) avec MatMat ?</t>
        </r>
      </text>
    </comment>
    <comment ref="D62" authorId="0" shapeId="0">
      <text>
        <r>
          <rPr>
            <b/>
            <sz val="9"/>
            <color indexed="81"/>
            <rFont val="Tahoma"/>
            <family val="2"/>
          </rPr>
          <t>Auteur:</t>
        </r>
        <r>
          <rPr>
            <sz val="9"/>
            <color indexed="81"/>
            <rFont val="Tahoma"/>
            <family val="2"/>
          </rPr>
          <t xml:space="preserve">
citepa ams</t>
        </r>
      </text>
    </comment>
    <comment ref="E62" authorId="0" shapeId="0">
      <text>
        <r>
          <rPr>
            <b/>
            <sz val="9"/>
            <color indexed="81"/>
            <rFont val="Tahoma"/>
            <family val="2"/>
          </rPr>
          <t>Auteur:</t>
        </r>
        <r>
          <rPr>
            <sz val="9"/>
            <color indexed="81"/>
            <rFont val="Tahoma"/>
            <family val="2"/>
          </rPr>
          <t xml:space="preserve">
citepa ame ajusté sauf puits biologique bau ademe
</t>
        </r>
      </text>
    </comment>
    <comment ref="C63" authorId="0" shapeId="0">
      <text>
        <r>
          <rPr>
            <b/>
            <sz val="9"/>
            <color indexed="81"/>
            <rFont val="Tahoma"/>
            <family val="2"/>
          </rPr>
          <t>Auteur:</t>
        </r>
        <r>
          <rPr>
            <sz val="9"/>
            <color indexed="81"/>
            <rFont val="Tahoma"/>
            <family val="2"/>
          </rPr>
          <t xml:space="preserve">
citepa ame ajusté</t>
        </r>
      </text>
    </comment>
  </commentList>
</comments>
</file>

<file path=xl/comments6.xml><?xml version="1.0" encoding="utf-8"?>
<comments xmlns="http://schemas.openxmlformats.org/spreadsheetml/2006/main">
  <authors>
    <author>Auteur</author>
  </authors>
  <commentList>
    <comment ref="A1" authorId="0" shapeId="0">
      <text>
        <r>
          <rPr>
            <b/>
            <sz val="9"/>
            <color indexed="81"/>
            <rFont val="Tahoma"/>
            <family val="2"/>
          </rPr>
          <t>Auteur:</t>
        </r>
        <r>
          <rPr>
            <sz val="9"/>
            <color indexed="81"/>
            <rFont val="Tahoma"/>
            <family val="2"/>
          </rPr>
          <t xml:space="preserve">
Extrait de 20200304_Tableau Recit et Cadrage Scenarios</t>
        </r>
      </text>
    </comment>
    <comment ref="G3" authorId="0" shapeId="0">
      <text>
        <r>
          <rPr>
            <b/>
            <sz val="9"/>
            <color indexed="81"/>
            <rFont val="Tahoma"/>
            <family val="2"/>
          </rPr>
          <t>Auteur:</t>
        </r>
        <r>
          <rPr>
            <sz val="9"/>
            <color indexed="81"/>
            <rFont val="Tahoma"/>
            <family val="2"/>
          </rPr>
          <t xml:space="preserve">
enerdata ameajusté</t>
        </r>
      </text>
    </comment>
    <comment ref="G4" authorId="0" shapeId="0">
      <text>
        <r>
          <rPr>
            <b/>
            <sz val="9"/>
            <color indexed="81"/>
            <rFont val="Tahoma"/>
            <family val="2"/>
          </rPr>
          <t>Auteur:</t>
        </r>
        <r>
          <rPr>
            <sz val="9"/>
            <color indexed="81"/>
            <rFont val="Tahoma"/>
            <family val="2"/>
          </rPr>
          <t xml:space="preserve">
enerdata ameajusté - onglet res demande finale "biomasse déchet" en conso energie et demande d'E finale</t>
        </r>
      </text>
    </comment>
    <comment ref="G6" authorId="0" shapeId="0">
      <text>
        <r>
          <rPr>
            <b/>
            <sz val="9"/>
            <color indexed="81"/>
            <rFont val="Tahoma"/>
            <family val="2"/>
          </rPr>
          <t>Auteur:</t>
        </r>
        <r>
          <rPr>
            <sz val="9"/>
            <color indexed="81"/>
            <rFont val="Tahoma"/>
            <family val="2"/>
          </rPr>
          <t xml:space="preserve">
dialogue transversal puits carbone 24mars</t>
        </r>
      </text>
    </comment>
    <comment ref="G7" authorId="0" shapeId="0">
      <text>
        <r>
          <rPr>
            <b/>
            <sz val="9"/>
            <color indexed="81"/>
            <rFont val="Tahoma"/>
            <family val="2"/>
          </rPr>
          <t>Auteur:</t>
        </r>
        <r>
          <rPr>
            <sz val="9"/>
            <color indexed="81"/>
            <rFont val="Tahoma"/>
            <family val="2"/>
          </rPr>
          <t xml:space="preserve">
UTCATF CITEPA 2015 AMEAjusté + produits bois = 0 d'après SNBC AME (selon tableur BAU SFAB v6mars)
</t>
        </r>
      </text>
    </comment>
    <comment ref="B15" authorId="0" shapeId="0">
      <text>
        <r>
          <rPr>
            <b/>
            <sz val="9"/>
            <color indexed="81"/>
            <rFont val="Tahoma"/>
            <family val="2"/>
          </rPr>
          <t>Auteur:</t>
        </r>
        <r>
          <rPr>
            <sz val="9"/>
            <color indexed="81"/>
            <rFont val="Tahoma"/>
            <family val="2"/>
          </rPr>
          <t xml:space="preserve">
rajout "renouvelable" dans la definition</t>
        </r>
      </text>
    </comment>
    <comment ref="G15" authorId="0" shapeId="0">
      <text>
        <r>
          <rPr>
            <b/>
            <sz val="9"/>
            <color indexed="81"/>
            <rFont val="Tahoma"/>
            <family val="2"/>
          </rPr>
          <t>Auteur:</t>
        </r>
        <r>
          <rPr>
            <sz val="9"/>
            <color indexed="81"/>
            <rFont val="Tahoma"/>
            <family val="2"/>
          </rPr>
          <t xml:space="preserve">
Bilan électrique de la France en 2015, RTE
"Le parc de production d’électricité renouvelable poursuit sa croissance : il dépasse désormais 10 GW pour
l’éolien et 6 GW pour le solaire. La production renouvelable d’origine éolienne représente environ 4,5%
de la consommation nationale, celle d’origine solaire,
1,6%. Avec l’hydraulique, dont la contribution est
restée modérée cette année, l’ensemble des énergies
renouvelables couvrent 18,7% de la consommation."</t>
        </r>
      </text>
    </comment>
    <comment ref="G16" authorId="0" shapeId="0">
      <text>
        <r>
          <rPr>
            <b/>
            <sz val="9"/>
            <color indexed="81"/>
            <rFont val="Tahoma"/>
            <family val="2"/>
          </rPr>
          <t>Auteur:</t>
        </r>
        <r>
          <rPr>
            <sz val="9"/>
            <color indexed="81"/>
            <rFont val="Tahoma"/>
            <family val="2"/>
          </rPr>
          <t xml:space="preserve">
AMEajusté Enerdat 2015 - même calcul</t>
        </r>
      </text>
    </comment>
    <comment ref="G17" authorId="0" shapeId="0">
      <text>
        <r>
          <rPr>
            <b/>
            <sz val="9"/>
            <color indexed="81"/>
            <rFont val="Tahoma"/>
            <family val="2"/>
          </rPr>
          <t>Auteur:</t>
        </r>
        <r>
          <rPr>
            <sz val="9"/>
            <color indexed="81"/>
            <rFont val="Tahoma"/>
            <family val="2"/>
          </rPr>
          <t xml:space="preserve">
CITEPA AMEajsuté 2015 - "total avec UTCATF"
</t>
        </r>
      </text>
    </comment>
    <comment ref="B30" authorId="0" shapeId="0">
      <text>
        <r>
          <rPr>
            <b/>
            <sz val="9"/>
            <color indexed="81"/>
            <rFont val="Tahoma"/>
            <family val="2"/>
          </rPr>
          <t>Auteur:</t>
        </r>
        <r>
          <rPr>
            <sz val="9"/>
            <color indexed="81"/>
            <rFont val="Tahoma"/>
            <family val="2"/>
          </rPr>
          <t xml:space="preserve">
Article L100-4 Code de l'énergie</t>
        </r>
      </text>
    </comment>
  </commentList>
</comments>
</file>

<file path=xl/comments7.xml><?xml version="1.0" encoding="utf-8"?>
<comments xmlns="http://schemas.openxmlformats.org/spreadsheetml/2006/main">
  <authors>
    <author>Auteur</author>
  </authors>
  <commentList>
    <comment ref="H17" authorId="0" shapeId="0">
      <text>
        <r>
          <rPr>
            <b/>
            <sz val="9"/>
            <color indexed="81"/>
            <rFont val="Tahoma"/>
            <family val="2"/>
          </rPr>
          <t>Auteur:</t>
        </r>
        <r>
          <rPr>
            <sz val="9"/>
            <color indexed="81"/>
            <rFont val="Tahoma"/>
            <family val="2"/>
          </rPr>
          <t xml:space="preserve">
includes "G. Harvested wood products"</t>
        </r>
      </text>
    </comment>
    <comment ref="O23" authorId="0" shapeId="0">
      <text>
        <r>
          <rPr>
            <b/>
            <sz val="9"/>
            <color indexed="81"/>
            <rFont val="Tahoma"/>
            <family val="2"/>
          </rPr>
          <t>Auteur:</t>
        </r>
        <r>
          <rPr>
            <sz val="9"/>
            <color indexed="81"/>
            <rFont val="Tahoma"/>
            <family val="2"/>
          </rPr>
          <t xml:space="preserve">
Ajout DM 7/4/2020</t>
        </r>
      </text>
    </comment>
    <comment ref="Q24" authorId="0" shapeId="0">
      <text>
        <r>
          <rPr>
            <b/>
            <sz val="9"/>
            <color indexed="81"/>
            <rFont val="Tahoma"/>
            <family val="2"/>
          </rPr>
          <t>Auteur:</t>
        </r>
        <r>
          <rPr>
            <sz val="9"/>
            <color indexed="81"/>
            <rFont val="Tahoma"/>
            <family val="2"/>
          </rPr>
          <t xml:space="preserve">
calculé à partir du bilan E</t>
        </r>
      </text>
    </comment>
    <comment ref="U42" authorId="0" shapeId="0">
      <text>
        <r>
          <rPr>
            <b/>
            <sz val="9"/>
            <color indexed="81"/>
            <rFont val="Tahoma"/>
            <family val="2"/>
          </rPr>
          <t>Auteur:</t>
        </r>
        <r>
          <rPr>
            <sz val="9"/>
            <color indexed="81"/>
            <rFont val="Tahoma"/>
            <family val="2"/>
          </rPr>
          <t xml:space="preserve">
a partir des 2 fichiers gestimes liés et en appliquant les facteurs multiplicatifs lié à l'augmentation de la pop</t>
        </r>
      </text>
    </comment>
  </commentList>
</comments>
</file>

<file path=xl/comments8.xml><?xml version="1.0" encoding="utf-8"?>
<comments xmlns="http://schemas.openxmlformats.org/spreadsheetml/2006/main">
  <authors>
    <author>Auteur</author>
  </authors>
  <commentList>
    <comment ref="F15" authorId="0" shapeId="0">
      <text>
        <r>
          <rPr>
            <b/>
            <sz val="9"/>
            <color indexed="81"/>
            <rFont val="Tahoma"/>
            <family val="2"/>
          </rPr>
          <t>Auteur:</t>
        </r>
        <r>
          <rPr>
            <sz val="9"/>
            <color indexed="81"/>
            <rFont val="Tahoma"/>
            <family val="2"/>
          </rPr>
          <t xml:space="preserve">
a partir des 2 fichiers gestimes liés et en appliquant les facteurs multiplicatifs lié à l'augmentation de la pop</t>
        </r>
      </text>
    </comment>
    <comment ref="Z28" authorId="0" shapeId="0">
      <text>
        <r>
          <rPr>
            <b/>
            <sz val="9"/>
            <color indexed="81"/>
            <rFont val="Tahoma"/>
            <family val="2"/>
          </rPr>
          <t>Auteur:</t>
        </r>
        <r>
          <rPr>
            <sz val="9"/>
            <color indexed="81"/>
            <rFont val="Tahoma"/>
            <family val="2"/>
          </rPr>
          <t xml:space="preserve">
Correction réalisée en refaisant les sommes car coquille probable</t>
        </r>
      </text>
    </comment>
  </commentList>
</comments>
</file>

<file path=xl/comments9.xml><?xml version="1.0" encoding="utf-8"?>
<comments xmlns="http://schemas.openxmlformats.org/spreadsheetml/2006/main">
  <authors>
    <author>Auteur</author>
  </authors>
  <commentList>
    <comment ref="A32" authorId="0" shapeId="0">
      <text>
        <r>
          <rPr>
            <b/>
            <sz val="9"/>
            <color indexed="81"/>
            <rFont val="Tahoma"/>
            <family val="2"/>
          </rPr>
          <t>Auteur:</t>
        </r>
        <r>
          <rPr>
            <sz val="9"/>
            <color indexed="81"/>
            <rFont val="Tahoma"/>
            <family val="2"/>
          </rPr>
          <t xml:space="preserve">
includes "G. Harvested wood products"</t>
        </r>
      </text>
    </comment>
  </commentList>
</comments>
</file>

<file path=xl/sharedStrings.xml><?xml version="1.0" encoding="utf-8"?>
<sst xmlns="http://schemas.openxmlformats.org/spreadsheetml/2006/main" count="4960" uniqueCount="1073">
  <si>
    <t>v1.0</t>
  </si>
  <si>
    <t>Création du tableur à partir de gestime v17</t>
  </si>
  <si>
    <t>Suppressions des SC non AME et base</t>
  </si>
  <si>
    <t>Repport des onglets résultats à la fin des onglets</t>
  </si>
  <si>
    <t>Ajout du BAU SRER Arnaud ds AME_2050</t>
  </si>
  <si>
    <t>v2,0</t>
  </si>
  <si>
    <t>Repart de 0 en prenant la base de visions plutôt que de GESTime : pas d'AME, mais une mise en forme des données plus proches de ce que les Ugs peuvent retourner</t>
  </si>
  <si>
    <t xml:space="preserve">Repport des onglets résultats à la fin des onglets à l'exception de ceux devant être remodelés </t>
  </si>
  <si>
    <t>v3.0</t>
  </si>
  <si>
    <t>Repart complètement de 0 en prenant uniquement les fichiers fournis par les UG et en agrégeant ; cela permet d'éviter l'éccueil d'avoir une base de données non AME du template Visions</t>
  </si>
  <si>
    <t xml:space="preserve"> Produit Pétroliers Raffinés</t>
  </si>
  <si>
    <t>Charbon</t>
  </si>
  <si>
    <t>GPL</t>
  </si>
  <si>
    <t>Essence</t>
  </si>
  <si>
    <t>Gazole</t>
  </si>
  <si>
    <t>FOD</t>
  </si>
  <si>
    <t>Jet</t>
  </si>
  <si>
    <t>Fioul lourd</t>
  </si>
  <si>
    <t>Gas Naturel</t>
  </si>
  <si>
    <t>Electricité</t>
  </si>
  <si>
    <t>Biomasse</t>
  </si>
  <si>
    <t>Chaleur</t>
  </si>
  <si>
    <t>Sol. Ther.</t>
  </si>
  <si>
    <t>PAC Géo</t>
  </si>
  <si>
    <t>PAC Aéro</t>
  </si>
  <si>
    <t>Biogaz</t>
  </si>
  <si>
    <t>Déchets</t>
  </si>
  <si>
    <t>Biocarb</t>
  </si>
  <si>
    <t>H2</t>
  </si>
  <si>
    <t>BtG</t>
  </si>
  <si>
    <t>Total</t>
  </si>
  <si>
    <t xml:space="preserve">Résidentiel </t>
  </si>
  <si>
    <t>Tertiaire</t>
  </si>
  <si>
    <t>Transports</t>
  </si>
  <si>
    <t>Agriculture</t>
  </si>
  <si>
    <t>Usages non énergétiques</t>
  </si>
  <si>
    <t>Industrie</t>
  </si>
  <si>
    <t xml:space="preserve">Profil GES </t>
  </si>
  <si>
    <t>Mt eq. CO2</t>
  </si>
  <si>
    <t xml:space="preserve">Emissions directes de GES </t>
  </si>
  <si>
    <t xml:space="preserve">dont consommation d'énergie </t>
  </si>
  <si>
    <t xml:space="preserve">dont sols agricoles (y.c. N20 lessivage et NH3) </t>
  </si>
  <si>
    <t xml:space="preserve">dont fermentation entérique </t>
  </si>
  <si>
    <t xml:space="preserve">dont stockage des effluents </t>
  </si>
  <si>
    <t>émissions hors énergie</t>
  </si>
  <si>
    <t xml:space="preserve">Emissions indirectes de GES </t>
  </si>
  <si>
    <t xml:space="preserve">dont mise à disposition de l'énergie </t>
  </si>
  <si>
    <t xml:space="preserve">dont fabrication de l'azote </t>
  </si>
  <si>
    <t>dont fabrication des autres fertilisants</t>
  </si>
  <si>
    <t>Autres</t>
  </si>
  <si>
    <t xml:space="preserve">dont Produits phytosanitaires </t>
  </si>
  <si>
    <t xml:space="preserve">dont aliments pour animaux </t>
  </si>
  <si>
    <t xml:space="preserve">dont fabrication du matériel </t>
  </si>
  <si>
    <t xml:space="preserve">Bilan brut des émissions </t>
  </si>
  <si>
    <t xml:space="preserve">Profil Energie </t>
  </si>
  <si>
    <t xml:space="preserve">1 tep = 11 630 kWh </t>
  </si>
  <si>
    <t>TWh</t>
  </si>
  <si>
    <t>Mtep</t>
  </si>
  <si>
    <t xml:space="preserve">Energie directe </t>
  </si>
  <si>
    <t xml:space="preserve">dont Fioul </t>
  </si>
  <si>
    <t>dont biocarburants</t>
  </si>
  <si>
    <t xml:space="preserve">dont Electricité </t>
  </si>
  <si>
    <t>dont Gaz</t>
  </si>
  <si>
    <t xml:space="preserve">dont Bois </t>
  </si>
  <si>
    <t xml:space="preserve">dont Charbon </t>
  </si>
  <si>
    <t>dont biogaz</t>
  </si>
  <si>
    <t xml:space="preserve">Energie indirecte </t>
  </si>
  <si>
    <t xml:space="preserve">dont Azote </t>
  </si>
  <si>
    <t>dont autres fertiliants/amendements</t>
  </si>
  <si>
    <t xml:space="preserve">dont Produits phytosanitiaires </t>
  </si>
  <si>
    <t>dont Matériel</t>
  </si>
  <si>
    <t xml:space="preserve">Total </t>
  </si>
  <si>
    <t>% renouvelable</t>
  </si>
  <si>
    <t xml:space="preserve">Indicateurs de suivi des scénarios </t>
  </si>
  <si>
    <t>SAU</t>
  </si>
  <si>
    <t>STH</t>
  </si>
  <si>
    <t>conso Nmin</t>
  </si>
  <si>
    <t>Bilan N (en kg d'azote de surplus par ha de SAU)</t>
  </si>
  <si>
    <t xml:space="preserve">%AB GC </t>
  </si>
  <si>
    <t>Stock carbone tous sols + biomasse aérienne agricoles (MtCO2eq)+haies et AF</t>
  </si>
  <si>
    <t>dont stock de carbone sols (équilibre) (MtC)</t>
  </si>
  <si>
    <t>dont stock de carbone biomasse aérienne Agroforesterie équilibre (MtC)</t>
  </si>
  <si>
    <t>flux de carbone entrant dans les parcelles de GC (tCO2eq/ha/an)</t>
  </si>
  <si>
    <t>ordre de grandeur augmentation flux net annuel C</t>
  </si>
  <si>
    <t xml:space="preserve">%méthanisation déjection </t>
  </si>
  <si>
    <t>Stock herbe (production-besoin) tMS</t>
  </si>
  <si>
    <t>Production d'énergie issue de la biomasse</t>
  </si>
  <si>
    <t>Productions énergétiques totales en TWh</t>
  </si>
  <si>
    <t>Production de biogaz</t>
  </si>
  <si>
    <t>à partir des résidus de culture</t>
  </si>
  <si>
    <t>à partir des CIVE et cultures énergétiques solides</t>
  </si>
  <si>
    <t>à partir des prairies</t>
  </si>
  <si>
    <t>à partir des effluents d'élevage</t>
  </si>
  <si>
    <t>production de chaleur</t>
  </si>
  <si>
    <t>à partir des cultures énergétiques solides</t>
  </si>
  <si>
    <t>à partir de l'agroforesterie</t>
  </si>
  <si>
    <t>Production de carburants</t>
  </si>
  <si>
    <t>matériaux et chimie biosourcés</t>
  </si>
  <si>
    <t>Production de matériaux (MtMS)</t>
  </si>
  <si>
    <t>Elevage</t>
  </si>
  <si>
    <t>milliers UGB alimentation totale</t>
  </si>
  <si>
    <t>besoin alimentation totale animaux (millions de tMS)</t>
  </si>
  <si>
    <t>besoin en concentrés animaux (millions de tMS)</t>
  </si>
  <si>
    <t>Quantité d'aliments importés (TMS/an)</t>
  </si>
  <si>
    <t>Profil Polluants atmosphériques</t>
  </si>
  <si>
    <t>Emissions directes d'ammoniac (kt NH3)</t>
  </si>
  <si>
    <t>dont engrais minéraux</t>
  </si>
  <si>
    <t>dont élevages bovins</t>
  </si>
  <si>
    <t>dont élevages volailles et lapins</t>
  </si>
  <si>
    <t xml:space="preserve">dont élevages porcins </t>
  </si>
  <si>
    <t>dont autres élevages</t>
  </si>
  <si>
    <t>Emissions directes de COV non méthaniques (kt COV)</t>
  </si>
  <si>
    <t>dont biogéniques</t>
  </si>
  <si>
    <t>dont engins agricoles</t>
  </si>
  <si>
    <t>Emissions directes de TSP</t>
  </si>
  <si>
    <t>Emissions directes de PM10</t>
  </si>
  <si>
    <t>Emissions directes de PM2.5</t>
  </si>
  <si>
    <t>Emissions directes de NOx</t>
  </si>
  <si>
    <t>dont élevages</t>
  </si>
  <si>
    <t>dont épandages (apports organiques et minéraux)</t>
  </si>
  <si>
    <t>dont engins agricoles et forestiers</t>
  </si>
  <si>
    <t>NH3 (ktN)</t>
  </si>
  <si>
    <t xml:space="preserve">Fichier ClimAgri AME </t>
  </si>
  <si>
    <t>CO2</t>
  </si>
  <si>
    <t>CH4</t>
  </si>
  <si>
    <t>N20</t>
  </si>
  <si>
    <t>Tous GES</t>
  </si>
  <si>
    <t>Combustion</t>
  </si>
  <si>
    <t>Process</t>
  </si>
  <si>
    <t>Résidentiel principal</t>
  </si>
  <si>
    <t>Solvants</t>
  </si>
  <si>
    <t>MtCO2eq</t>
  </si>
  <si>
    <t>Gaz</t>
  </si>
  <si>
    <t>Nucléaire</t>
  </si>
  <si>
    <t>EnR thermiques et déchets</t>
  </si>
  <si>
    <t>Chaleur vendue</t>
  </si>
  <si>
    <t>Hydrogène</t>
  </si>
  <si>
    <t>Transport</t>
  </si>
  <si>
    <t>Résidentiel</t>
  </si>
  <si>
    <t>Consommation finale énergétique</t>
  </si>
  <si>
    <t>BILAN (Energie finale, Mtep)</t>
  </si>
  <si>
    <t>Biomasse solide</t>
  </si>
  <si>
    <t>TWh Eolien</t>
  </si>
  <si>
    <t>TWh PV</t>
  </si>
  <si>
    <t>TWh Nuke</t>
  </si>
  <si>
    <t>TWh Hydro</t>
  </si>
  <si>
    <t>TWh EnR thermiques et déchets</t>
  </si>
  <si>
    <t>TWh Gaz</t>
  </si>
  <si>
    <t>TWh Charbon</t>
  </si>
  <si>
    <t>TOTAL EnR</t>
  </si>
  <si>
    <t>TOTAL Elec</t>
  </si>
  <si>
    <t>Vérification (prod totale dont exports, H2, pertes...)</t>
  </si>
  <si>
    <t>Conso hors pertes, H2, conso interne</t>
  </si>
  <si>
    <t>Conso 2015</t>
  </si>
  <si>
    <t>GW</t>
  </si>
  <si>
    <t>Proportion</t>
  </si>
  <si>
    <t>Comparaison Traj.</t>
  </si>
  <si>
    <t>CONCLUSION</t>
  </si>
  <si>
    <t>Consommation électrique</t>
  </si>
  <si>
    <t>Comparaison 2016</t>
  </si>
  <si>
    <t>BAU ADEME</t>
  </si>
  <si>
    <t>Scénario AME</t>
  </si>
  <si>
    <t>Explication de la modification par rapport à l'AME</t>
  </si>
  <si>
    <t>en TWh</t>
  </si>
  <si>
    <t>Pourquoi la conso élec dans le tertiaire augmenterait-elle aussi massivement par rapport à maintenant (140TWh) ?</t>
  </si>
  <si>
    <t>Consommation intérieure finale (hors pertes)</t>
  </si>
  <si>
    <t>Le total du BAU ADEME est dans la fourchette haute entre la conso actuelle de 2016 et le scénario AME.</t>
  </si>
  <si>
    <t>Production électrique</t>
  </si>
  <si>
    <t>Comparaison 2018</t>
  </si>
  <si>
    <t>pourcentages</t>
  </si>
  <si>
    <t>Production (TWh)</t>
  </si>
  <si>
    <t>Capacités (GW)</t>
  </si>
  <si>
    <t>Eolien</t>
  </si>
  <si>
    <t>La présence aussi massive d'éolien peut difficilement être associée à un BAU (eu égard aux contraintes d'acceptabilité auxquelles la filière doit faire face), surtout dans un contexte de nucléaire encore très significatif =&gt; on baisse d'un tiers</t>
  </si>
  <si>
    <t>PV</t>
  </si>
  <si>
    <t>Idem, on ne comprend pas comment autant de PV peut être produit sans un pilotage massif des usages ou des exports massifs de PV ; dans les deux cas, ce n'est pas très cohérent avec un BAU ni avec le nucléaire restant =&gt; on baisse d'un tiers</t>
  </si>
  <si>
    <t>Biomasse et déchets</t>
  </si>
  <si>
    <t>Hydro</t>
  </si>
  <si>
    <t>Même en BAU, le "retour" du charbon semble assez improbable en 2050</t>
  </si>
  <si>
    <t>Production totale</t>
  </si>
  <si>
    <t>dont un solde exportateur d'environ</t>
  </si>
  <si>
    <t>60 TWh</t>
  </si>
  <si>
    <t>Pertes et usage interne (reprise données GESTime)</t>
  </si>
  <si>
    <t>Creation de l'onglet bilan BAU avec Ajout des données AME</t>
  </si>
  <si>
    <t>Brut</t>
  </si>
  <si>
    <t>Diesel</t>
  </si>
  <si>
    <t>Kérosène</t>
  </si>
  <si>
    <t>Fioul L</t>
  </si>
  <si>
    <t>Fioul autres</t>
  </si>
  <si>
    <t>Gaz Naturel</t>
  </si>
  <si>
    <t>Gaz Ren.</t>
  </si>
  <si>
    <t>Biomasse S</t>
  </si>
  <si>
    <t>Biocar</t>
  </si>
  <si>
    <t>Chaleur E</t>
  </si>
  <si>
    <t>Chaleur V</t>
  </si>
  <si>
    <t>EnR Elec</t>
  </si>
  <si>
    <t>kgCO2eq/kWh</t>
  </si>
  <si>
    <t>GES (MteqCO2)</t>
  </si>
  <si>
    <t>Facteur d'émissions</t>
  </si>
  <si>
    <t>MtCO2eq/Mtep</t>
  </si>
  <si>
    <t>Chaleur issue de l'environnement</t>
  </si>
  <si>
    <t>Calcul GES combustion</t>
  </si>
  <si>
    <t>Ajout sorties climagri E + GES</t>
  </si>
  <si>
    <t>Ajout energie BAU</t>
  </si>
  <si>
    <t>Indicateurs provisoires (de sortie)</t>
  </si>
  <si>
    <t>Indicateurs de moyens</t>
  </si>
  <si>
    <t>Energie</t>
  </si>
  <si>
    <t>Demande en énergie</t>
  </si>
  <si>
    <t>Biomasse energie par rapport 2015</t>
  </si>
  <si>
    <r>
      <t xml:space="preserve">% production décarbonée </t>
    </r>
    <r>
      <rPr>
        <sz val="11"/>
        <color rgb="FFFF0000"/>
        <rFont val="Calibri"/>
        <family val="2"/>
        <scheme val="minor"/>
      </rPr>
      <t>(à préciser)</t>
    </r>
  </si>
  <si>
    <t>Climat</t>
  </si>
  <si>
    <t>Capture industriel et CCS (a) (dont BE, DA)</t>
  </si>
  <si>
    <t>Emissions négatives totales (a+b)</t>
  </si>
  <si>
    <t>Ressources</t>
  </si>
  <si>
    <t>Demande en matières premières (métaux, matières minérales non métalliques, biomasse, combustibles fossiles) =&gt; logique empreinte matières (Mt)</t>
  </si>
  <si>
    <t>% en matière première secondaire</t>
  </si>
  <si>
    <t>Sols (M ha artificialisés, cultivés</t>
  </si>
  <si>
    <t>Economie</t>
  </si>
  <si>
    <t>Investissements</t>
  </si>
  <si>
    <t>Indicateurs de résultats</t>
  </si>
  <si>
    <t>% energies renouvelables</t>
  </si>
  <si>
    <t>Part électricité dans mix</t>
  </si>
  <si>
    <t>Indépendance énergétique</t>
  </si>
  <si>
    <t>Baisse GES en France</t>
  </si>
  <si>
    <t>Evolution empreinte GES</t>
  </si>
  <si>
    <t>Souverainneté alimentaire</t>
  </si>
  <si>
    <t>Extraction matières premières vierges  (métaux) (Monde)</t>
  </si>
  <si>
    <t>Extraction matériaux construction  (France)</t>
  </si>
  <si>
    <t>Surface artificialisée (France)</t>
  </si>
  <si>
    <t>Environnement / Santé</t>
  </si>
  <si>
    <t>Biodiversité</t>
  </si>
  <si>
    <t>Polluants locaux</t>
  </si>
  <si>
    <t>Eau</t>
  </si>
  <si>
    <t>Facture Energétique</t>
  </si>
  <si>
    <t>Emplois</t>
  </si>
  <si>
    <t>Non</t>
  </si>
  <si>
    <t>A voir selon données étude SRER</t>
  </si>
  <si>
    <t>Nature</t>
  </si>
  <si>
    <t>Secteur</t>
  </si>
  <si>
    <t>Valeurs BAU</t>
  </si>
  <si>
    <t>Sortie formatée</t>
  </si>
  <si>
    <t>Intégration valeur BAU</t>
  </si>
  <si>
    <t>Intégration sorties</t>
  </si>
  <si>
    <t>Oui</t>
  </si>
  <si>
    <t>Bilan E finale</t>
  </si>
  <si>
    <t>Commentaires</t>
  </si>
  <si>
    <t>Taille du puits carbone terrestre - A faireOLU (b)</t>
  </si>
  <si>
    <t>GES - combustion</t>
  </si>
  <si>
    <t>GES - em directes</t>
  </si>
  <si>
    <t>E primaire</t>
  </si>
  <si>
    <t>Prod élec</t>
  </si>
  <si>
    <t>Réseau élec</t>
  </si>
  <si>
    <t>Réseau gaz</t>
  </si>
  <si>
    <t>H2 dans gaz</t>
  </si>
  <si>
    <t>Réseau chaleur</t>
  </si>
  <si>
    <t>Forêt</t>
  </si>
  <si>
    <t>UTCATF</t>
  </si>
  <si>
    <t>Valeur AME temporaire</t>
  </si>
  <si>
    <t>Intégration suivi intégration  à ce fichier</t>
  </si>
  <si>
    <t>Modèle d'origine</t>
  </si>
  <si>
    <t>Antonio</t>
  </si>
  <si>
    <t>ClimAgri</t>
  </si>
  <si>
    <t>Tableur étude trajectoires</t>
  </si>
  <si>
    <t>Indicateurs</t>
  </si>
  <si>
    <t>Prochaines étapes</t>
  </si>
  <si>
    <t>x</t>
  </si>
  <si>
    <t>BAU Ademe</t>
  </si>
  <si>
    <t>AME</t>
  </si>
  <si>
    <t>v3.1</t>
  </si>
  <si>
    <t>Matériaux</t>
  </si>
  <si>
    <t>CCS</t>
  </si>
  <si>
    <t>CCS fossile</t>
  </si>
  <si>
    <t>BECCS</t>
  </si>
  <si>
    <t>DAC</t>
  </si>
  <si>
    <t>Ajout onglet puits C avec première version de nomeclature suite dialogue transversal</t>
  </si>
  <si>
    <t xml:space="preserve">Matériaux biosourcés </t>
  </si>
  <si>
    <t>Sols  et litières</t>
  </si>
  <si>
    <t xml:space="preserve">SAU - hors prairies </t>
  </si>
  <si>
    <t>Prairies</t>
  </si>
  <si>
    <t>Forêts</t>
  </si>
  <si>
    <t>Zones humides</t>
  </si>
  <si>
    <t>Sols artificiels</t>
  </si>
  <si>
    <t xml:space="preserve">Biomasse </t>
  </si>
  <si>
    <t xml:space="preserve">SAU  </t>
  </si>
  <si>
    <t>Minéraux</t>
  </si>
  <si>
    <t>Biochars</t>
  </si>
  <si>
    <t>Silicates</t>
  </si>
  <si>
    <t>Apport d’amendements</t>
  </si>
  <si>
    <t>UTCATF (Utilisation des terres, changement d’affectation des terres et foresterie)</t>
  </si>
  <si>
    <t>ClimAgri 2.2 onglet UTCATF</t>
  </si>
  <si>
    <t>ClimAgri 2.2 onglet UTCATF ? (Simple report de valeurs CITEPA)</t>
  </si>
  <si>
    <t>Valeur BAU 2050</t>
  </si>
  <si>
    <t>Source valeur BAU</t>
  </si>
  <si>
    <t>Valeurs (MteqCO2/an)</t>
  </si>
  <si>
    <t>Bois d'Oeuvre (sciages)</t>
  </si>
  <si>
    <t>Bois d'Industrie (panneaux, papiers)</t>
  </si>
  <si>
    <t>Source d'émissions négatives (avec désagrégation)</t>
  </si>
  <si>
    <t>4.  Land use, land-use change and forestry(1)</t>
  </si>
  <si>
    <t>A.  Forest land</t>
  </si>
  <si>
    <t>B.  Cropland</t>
  </si>
  <si>
    <t>C.  Grassland</t>
  </si>
  <si>
    <t>D.  Wetlands</t>
  </si>
  <si>
    <t>E.  Settlements</t>
  </si>
  <si>
    <t>F.  Other land</t>
  </si>
  <si>
    <t>G.  Harvested wood products</t>
  </si>
  <si>
    <t xml:space="preserve">H.  Other </t>
  </si>
  <si>
    <t>file:///D:\Hors-ligne\Documents\Autres%20scénarios\DGEC\Dossier%20scénario%20AMS%20Ademe\Dossier%20complet\01_Hyp%20&amp;%20Res\020_CITEPA\1_Résultats_GES_AMEajusté_MET_01042019_d.xlsx</t>
  </si>
  <si>
    <r>
      <t>kt CO</t>
    </r>
    <r>
      <rPr>
        <b/>
        <vertAlign val="subscript"/>
        <sz val="11"/>
        <color indexed="8"/>
        <rFont val="Calibri"/>
        <family val="2"/>
        <scheme val="minor"/>
      </rPr>
      <t>2</t>
    </r>
    <r>
      <rPr>
        <b/>
        <sz val="11"/>
        <color indexed="8"/>
        <rFont val="Calibri"/>
        <family val="2"/>
        <scheme val="minor"/>
      </rPr>
      <t xml:space="preserve"> eq</t>
    </r>
  </si>
  <si>
    <t>MteqCO2</t>
  </si>
  <si>
    <t>Emissions</t>
  </si>
  <si>
    <t>Puits</t>
  </si>
  <si>
    <t>CITEPA AMEajusté</t>
  </si>
  <si>
    <t>Inclus dans compte sols et litières pour CITEPA AMEajusté</t>
  </si>
  <si>
    <t>Pétrole brut</t>
  </si>
  <si>
    <t>Produits pétroliers raffinés</t>
  </si>
  <si>
    <t>EnR électriques</t>
  </si>
  <si>
    <t>Électricité</t>
  </si>
  <si>
    <t>Production d'énergie primaire</t>
  </si>
  <si>
    <t>Importations</t>
  </si>
  <si>
    <t>Exportations</t>
  </si>
  <si>
    <t>Soutes maritimes internationales</t>
  </si>
  <si>
    <t>Soutes aériennes internationales</t>
  </si>
  <si>
    <t>Variations de stocks (+ = déstockage, - = stockage)</t>
  </si>
  <si>
    <t>Total approvisionnement / consommation primaire</t>
  </si>
  <si>
    <t>Transferts</t>
  </si>
  <si>
    <t>Écart statistique</t>
  </si>
  <si>
    <t>Production d'électricité seule</t>
  </si>
  <si>
    <t>Production d'électricité et de chaleur cogénérées</t>
  </si>
  <si>
    <t>Production de chaleur seule</t>
  </si>
  <si>
    <t>Raffinage de pétrole</t>
  </si>
  <si>
    <t>Production d'hydrogène</t>
  </si>
  <si>
    <t>Autres transformations</t>
  </si>
  <si>
    <t>Usages internes de la branche énergie</t>
  </si>
  <si>
    <t>Pertes de transport et de distribution</t>
  </si>
  <si>
    <t>Consommation nette de la branche énergie</t>
  </si>
  <si>
    <t>Consommation finale non énergétique</t>
  </si>
  <si>
    <t>Consommation finale</t>
  </si>
  <si>
    <t>Gas</t>
  </si>
  <si>
    <t>Hydroélectrique</t>
  </si>
  <si>
    <t>Raffinement puits C avec nomenclature ClimAgri et saisie valeurs CITEPA AMEajusté</t>
  </si>
  <si>
    <t>Ajout E primaire pour véritablement avoir un bilan E depuis AMEajusté Enerdata</t>
  </si>
  <si>
    <t>Rendement</t>
  </si>
  <si>
    <t>Mix énergétique</t>
  </si>
  <si>
    <t>Production BAU</t>
  </si>
  <si>
    <t>Calculé pour la cohérence comptable</t>
  </si>
  <si>
    <t>Besoin énergie finale électrique (hors exports/imports)</t>
  </si>
  <si>
    <t>Cible production E finale en France</t>
  </si>
  <si>
    <t>Export</t>
  </si>
  <si>
    <t>Import</t>
  </si>
  <si>
    <t>Raffinage</t>
  </si>
  <si>
    <t>Elec / H2</t>
  </si>
  <si>
    <t>H2/Elec</t>
  </si>
  <si>
    <t>Rendement de transformation</t>
  </si>
  <si>
    <t>Biomasse S &gt; Biogaz</t>
  </si>
  <si>
    <t>Biomasse S &gt; biocarb</t>
  </si>
  <si>
    <t>Ajout transformations</t>
  </si>
  <si>
    <t>Ajout Elec</t>
  </si>
  <si>
    <t>Emissions négatives</t>
  </si>
  <si>
    <t>Total émissions positives</t>
  </si>
  <si>
    <t>Total émissions négatives</t>
  </si>
  <si>
    <t>Total émissions nettes</t>
  </si>
  <si>
    <t>v3.2</t>
  </si>
  <si>
    <t>Création suite au point du vendredi 27</t>
  </si>
  <si>
    <t>Electricité industrielle</t>
  </si>
  <si>
    <t>Gaz sidérurgiques</t>
  </si>
  <si>
    <t>Réseau de gaz - élec</t>
  </si>
  <si>
    <t>Cogé Réseau de gaz - élec</t>
  </si>
  <si>
    <t>Eolien terrestre</t>
  </si>
  <si>
    <t>Eolien marin</t>
  </si>
  <si>
    <t>Hydraulique</t>
  </si>
  <si>
    <t>Cogé bois - élec</t>
  </si>
  <si>
    <t>Cogé méthanisation - élec</t>
  </si>
  <si>
    <t>UIOM</t>
  </si>
  <si>
    <t>Géothermie</t>
  </si>
  <si>
    <t>Méthanisation - injection gaz</t>
  </si>
  <si>
    <t>Méthanation</t>
  </si>
  <si>
    <t>old : Biogaz</t>
  </si>
  <si>
    <t>Cogé méthanisation - chaleur</t>
  </si>
  <si>
    <t>Chaleur fatale</t>
  </si>
  <si>
    <t>Bois - chaleur</t>
  </si>
  <si>
    <t>Cogé bois - chaleur</t>
  </si>
  <si>
    <t>Solaire thermique</t>
  </si>
  <si>
    <t>Réseau élec - PAC</t>
  </si>
  <si>
    <t>Réseau de gaz - chaleur</t>
  </si>
  <si>
    <t>Réseau de gaz - cogé</t>
  </si>
  <si>
    <t>Chaleur PAC géothermiques</t>
  </si>
  <si>
    <t>Chaleur PAC aérothermiques</t>
  </si>
  <si>
    <t>Biocarburants liquides</t>
  </si>
  <si>
    <t>Création onglet tableur flux BAU et ajouts lignes jusqu'à obtenir la même nomenclature</t>
  </si>
  <si>
    <t>Valeur AME</t>
  </si>
  <si>
    <t>Ratio AME</t>
  </si>
  <si>
    <t>biogaz</t>
  </si>
  <si>
    <t>Production chaleur</t>
  </si>
  <si>
    <t>Besoin chaleur (hors exports/imports)</t>
  </si>
  <si>
    <t>Fioul</t>
  </si>
  <si>
    <t>Mix énergétique AME</t>
  </si>
  <si>
    <t>Production de biocarburant</t>
  </si>
  <si>
    <t>Biocarburant</t>
  </si>
  <si>
    <t>Vérification comptable</t>
  </si>
  <si>
    <t>Elec</t>
  </si>
  <si>
    <t>kt</t>
  </si>
  <si>
    <t xml:space="preserve">Bilan CITEPA vient de </t>
  </si>
  <si>
    <t>1_Résultats_GES_AMEajusté_MET_01042019_d.xlsx</t>
  </si>
  <si>
    <t>Mt</t>
  </si>
  <si>
    <t>Autres (HFCs, PFCs, SF6, others)</t>
  </si>
  <si>
    <t xml:space="preserve">Import fichier CITEPA : </t>
  </si>
  <si>
    <t>Sortie</t>
  </si>
  <si>
    <t>Entrée</t>
  </si>
  <si>
    <t>Energie (Extraction, transformation et distribution)</t>
  </si>
  <si>
    <t>Total combustion</t>
  </si>
  <si>
    <t>Total hors combustion</t>
  </si>
  <si>
    <t>Nomenclature des émissions positives vient du tableu visions2017</t>
  </si>
  <si>
    <t>Finalisation du bilan BAU et de l'onglet GES en terme de formules + valeurs AME</t>
  </si>
  <si>
    <t>Biocarburants</t>
  </si>
  <si>
    <t>Donnée manquante non cruciale</t>
  </si>
  <si>
    <t>Donnée manquante cruciale</t>
  </si>
  <si>
    <t>PRG - kt CO2e</t>
  </si>
  <si>
    <t>CITEPA AME ajusté</t>
  </si>
  <si>
    <t>AME ajusté Enerdata</t>
  </si>
  <si>
    <t>Emissions de GES (teqCO2)</t>
  </si>
  <si>
    <t>Ajout quelques valeurs tableau BAU SFAB v6mars</t>
  </si>
  <si>
    <t>Création comparaison AME</t>
  </si>
  <si>
    <t>Repport des onglets importés ds la v1 ici</t>
  </si>
  <si>
    <t>Création suite au point du vendredi 20</t>
  </si>
  <si>
    <t>Définition</t>
  </si>
  <si>
    <t>Unité</t>
  </si>
  <si>
    <t>Consommation nette de la branche énergie + Consommation finale énergétique</t>
  </si>
  <si>
    <t>Consommation nette de la branche énergie + Consommation finale énergétique pour biocarburant + biomasse solide + biogaz</t>
  </si>
  <si>
    <t>Valeur 2015</t>
  </si>
  <si>
    <t>Evolution BAU par rapport à  2015</t>
  </si>
  <si>
    <t>Est Decarboné (1 si Vrai, 0 sinon)</t>
  </si>
  <si>
    <t>Total consommation énergétique</t>
  </si>
  <si>
    <t>Toutes sources d'énergies (Mtep)</t>
  </si>
  <si>
    <t>Energie décarbonnée (Mtep)</t>
  </si>
  <si>
    <t>% décarboné</t>
  </si>
  <si>
    <t>BAU2050</t>
  </si>
  <si>
    <t>Principe de calcul : on fait le produit scalaire entre la consomation par vecteur et le vecteur EstDecarbone (qui vaut 1 si le facteur d'emission du vecteur est égal à 0, 0 sinon)</t>
  </si>
  <si>
    <t>Bilan 2015</t>
  </si>
  <si>
    <t>Est décarboné</t>
  </si>
  <si>
    <t>Valeurs AME 2015 (AME ajusté Enerdata)</t>
  </si>
  <si>
    <t>Part de (Consommation nette de la branche énergie + Consommation finale énergétique) produite par un vecteur énergétique de facteur d'émission égal à 0</t>
  </si>
  <si>
    <t>%</t>
  </si>
  <si>
    <t>UTCATF + Matériaux + Apport d'amendements</t>
  </si>
  <si>
    <t>UTCATF + Matériaux + Apport d'amendements + CCS</t>
  </si>
  <si>
    <t>Copie onglet Elec</t>
  </si>
  <si>
    <r>
      <t xml:space="preserve">Part électricité </t>
    </r>
    <r>
      <rPr>
        <b/>
        <sz val="11"/>
        <color theme="1"/>
        <rFont val="Calibri"/>
        <family val="2"/>
        <scheme val="minor"/>
      </rPr>
      <t>renouvelable</t>
    </r>
    <r>
      <rPr>
        <sz val="11"/>
        <color theme="1"/>
        <rFont val="Calibri"/>
        <family val="2"/>
        <scheme val="minor"/>
      </rPr>
      <t xml:space="preserve"> dans mix</t>
    </r>
  </si>
  <si>
    <t>Part ENR</t>
  </si>
  <si>
    <t>Renouvelable (1 si oui, 0 sinon)</t>
  </si>
  <si>
    <t>Part d'électricité renouvelable dans la consomation électrique annuelle</t>
  </si>
  <si>
    <t>Part du solde import/export dans le total approvisionnement/consommation primaire</t>
  </si>
  <si>
    <t>Fait</t>
  </si>
  <si>
    <t>Faisabilité du calcul dans le TI</t>
  </si>
  <si>
    <t>Nécessite un point de vue consomation</t>
  </si>
  <si>
    <t>Nécessite des informations sur l'empreinte, le TI n'effecture qu'un bilan pour l'instant</t>
  </si>
  <si>
    <t>Pour les faisables</t>
  </si>
  <si>
    <t>Calcul des indicateurs dits "faisables"</t>
  </si>
  <si>
    <t>A concevoir après l'intégration du bilan des sols</t>
  </si>
  <si>
    <t>Attendre l'intégration de MatMat</t>
  </si>
  <si>
    <t>Extraction directe de ThreeME</t>
  </si>
  <si>
    <t>Valeur de l'indicateur</t>
  </si>
  <si>
    <t>Légende</t>
  </si>
  <si>
    <t>GES BAU 2050</t>
  </si>
  <si>
    <t>Source nomenclature et données finales TI</t>
  </si>
  <si>
    <t>Calcul du ratio de raffinage AME</t>
  </si>
  <si>
    <t>Cible production chaleur en France</t>
  </si>
  <si>
    <t>Cible et sorties</t>
  </si>
  <si>
    <t>Début mise en forme fichier clean</t>
  </si>
  <si>
    <t>Proposition naive</t>
  </si>
  <si>
    <t>Proposition</t>
  </si>
  <si>
    <t>Template Intégrateur - Fichier temporaire de mise en cohérence du BAU</t>
  </si>
  <si>
    <t>Objectifs</t>
  </si>
  <si>
    <t xml:space="preserve">Ce fichier sert à centraliser l'ensemble des données de sortie des UG permettant d'aboutir à une première version du BAU consolidé. </t>
  </si>
  <si>
    <t>BAU 2050</t>
  </si>
  <si>
    <t>Selon l'origine de la valeur saisie, les cases sont mises en forme à l'aide de la légende suivante :</t>
  </si>
  <si>
    <t>Valeur proposée par une UG pour le BAU dans le cadre de l'exercice actuel</t>
  </si>
  <si>
    <t>Donnée manquantes au sein des valeurs AME comme BAU. On distingue les valeurs cruciales des non cruciales</t>
  </si>
  <si>
    <t>Contenu des onglets</t>
  </si>
  <si>
    <t>Bilan Energétique</t>
  </si>
  <si>
    <t>GES</t>
  </si>
  <si>
    <t>Comparaison AME</t>
  </si>
  <si>
    <t>Puits C</t>
  </si>
  <si>
    <t>Transformations</t>
  </si>
  <si>
    <t>Calculs des indicateurs provisoires de sortie</t>
  </si>
  <si>
    <t>Comparaisons des émissions de GES et du bilan énergétique par rapport à AME 2015 et 2050</t>
  </si>
  <si>
    <t>Intégration progressive des données BAU 2050</t>
  </si>
  <si>
    <t>Calcul des émissions GES associées BAU 2050</t>
  </si>
  <si>
    <t>Détail des émissions négatives</t>
  </si>
  <si>
    <t>Calcul indicateurs</t>
  </si>
  <si>
    <t>Onglets de calcul associé aux indicateurs</t>
  </si>
  <si>
    <t>D'autres onglets non mis en forme sont présents dans ce tableur mais sont masqués.</t>
  </si>
  <si>
    <t>Sources</t>
  </si>
  <si>
    <t>Les sources pour les différentes valeurs saisies sont précisées en commentaires des cellules concernées, ou parfois dans des cellules adjacentes.</t>
  </si>
  <si>
    <t>Toutefois les sources principales AME sont :</t>
  </si>
  <si>
    <t>Fin mise en forme fichier clean avec rédaction ReadMe</t>
  </si>
  <si>
    <t>Bilan Enerdata AMEajusté</t>
  </si>
  <si>
    <t xml:space="preserve">Les contributions actualisées des UG se trouvent au </t>
  </si>
  <si>
    <t>\\ademe.intra\PARIS$\PROJETS\Vision_2030-2050\2 - Projet Energie-Ressources 2019\2- Suivi Projet\1 - Productions projet\1 - Construction scénarios\1- Variables UG\1 - Variables stratégiques - contributions UG</t>
  </si>
  <si>
    <t>Le but est d'intégrer progressivement les données BAU dès qu'elles sont produites, afin d'identifier les variables manquantes. Par défaut les valeurs du scénario AME de la SNBC sont saisies.</t>
  </si>
  <si>
    <t>Valeur récupérée dans le scénario AME de la SNBC, dans la mesure du possible de la version finale appelée "AME ajusté"</t>
  </si>
  <si>
    <t>Onglets de calcul associés au bilan énergétique</t>
  </si>
  <si>
    <t>Case calculée pour des purs besoins de cohérence comptable du bilan, sa valeur n'est pas sous-tendue par des hypothèses explicitées d'UG</t>
  </si>
  <si>
    <t>Etat actuel</t>
  </si>
  <si>
    <t>Approvisionnement Energies fossiles</t>
  </si>
  <si>
    <t>Service désigné</t>
  </si>
  <si>
    <t>Production de chaleur</t>
  </si>
  <si>
    <t>Non modélisé proprement, quelques valeurs AME</t>
  </si>
  <si>
    <t>Gaz et réseau de gaz</t>
  </si>
  <si>
    <t>Raffinage du pétrole</t>
  </si>
  <si>
    <t>Production de l'hydrogène</t>
  </si>
  <si>
    <t>Différencier les sources de productions (électrolyse, STM; etc.)</t>
  </si>
  <si>
    <t>Consomation usages internes et pertes de réseau</t>
  </si>
  <si>
    <t>Non modélisé, quelques valeurs AME</t>
  </si>
  <si>
    <t>Valeurs AME seulement</t>
  </si>
  <si>
    <t>Facteurs d'émissions</t>
  </si>
  <si>
    <t>Valeurs AME exclusivement</t>
  </si>
  <si>
    <t>Adaptation pour intégrer les parts de biocarb et de gaz renouvelables</t>
  </si>
  <si>
    <t>Aucune valeur</t>
  </si>
  <si>
    <t>Valeurs BAU partielles, AME pour compléter</t>
  </si>
  <si>
    <t>Valeurs manquantes pour minéraux</t>
  </si>
  <si>
    <t>Statut</t>
  </si>
  <si>
    <t>SI</t>
  </si>
  <si>
    <t>SB</t>
  </si>
  <si>
    <t>En cours</t>
  </si>
  <si>
    <t>STM</t>
  </si>
  <si>
    <t>DECD</t>
  </si>
  <si>
    <t>?</t>
  </si>
  <si>
    <t>SFAB</t>
  </si>
  <si>
    <t>SFAB, SI</t>
  </si>
  <si>
    <t>Valeurs manquantes</t>
  </si>
  <si>
    <t>Liste des valeurs BAU à fournir pour obtenir une première version consolidée</t>
  </si>
  <si>
    <t>Il comporte un bilan énergétique, une comptabilité des émissions de GES associées et un calcul d'indicateurs de sortie du scénario.</t>
  </si>
  <si>
    <t>v3.3</t>
  </si>
  <si>
    <t>Amélioration onglet comparaison</t>
  </si>
  <si>
    <t>CRF</t>
  </si>
  <si>
    <t>1. Energy</t>
  </si>
  <si>
    <t>A. Fuel Combustion (Sectoral Approach)</t>
  </si>
  <si>
    <t>1A</t>
  </si>
  <si>
    <t>1.  Energy Industries</t>
  </si>
  <si>
    <t>1A1</t>
  </si>
  <si>
    <t>2.  Manufacturing Industries and Construction</t>
  </si>
  <si>
    <t>1A2</t>
  </si>
  <si>
    <t>3.  Transport</t>
  </si>
  <si>
    <t>1A3</t>
  </si>
  <si>
    <t>4.  Other Sectors</t>
  </si>
  <si>
    <t>1A4</t>
  </si>
  <si>
    <t xml:space="preserve">       a. Commercial/institutionnal</t>
  </si>
  <si>
    <t>1A4a</t>
  </si>
  <si>
    <t xml:space="preserve">       b. Residential</t>
  </si>
  <si>
    <t>1A4b</t>
  </si>
  <si>
    <t xml:space="preserve">       c. Agriculture/forestry/fishing</t>
  </si>
  <si>
    <t>1A4c</t>
  </si>
  <si>
    <t>B. Fugitive Emissions from Fuels</t>
  </si>
  <si>
    <t>1B</t>
  </si>
  <si>
    <t>2.  Industrial Processes</t>
  </si>
  <si>
    <t>2</t>
  </si>
  <si>
    <t>3.  Agriculture</t>
  </si>
  <si>
    <t>3</t>
  </si>
  <si>
    <t>4</t>
  </si>
  <si>
    <t xml:space="preserve">5. Waste </t>
  </si>
  <si>
    <t>5</t>
  </si>
  <si>
    <t>Total (Net Emissions) (1)</t>
  </si>
  <si>
    <t>Emissions without LULUCF</t>
  </si>
  <si>
    <t>Emissions with LULUCF</t>
  </si>
  <si>
    <t xml:space="preserve">Evolution (%) par rapport à </t>
  </si>
  <si>
    <t>Evolution (%) par rapport à 2015</t>
  </si>
  <si>
    <t>AME 2050</t>
  </si>
  <si>
    <t>Représentations Graphiques tableau de cadrage</t>
  </si>
  <si>
    <t>Indicateurs de neutralité carbone</t>
  </si>
  <si>
    <t>rapport des émissions (positives) de gaz à effet de serre 1990 sur 2050 ; doit être supérieur à 6</t>
  </si>
  <si>
    <t>"diviser les émissions de gaz à effet de serre par un facteur supérieur à six entre 1990 et 2050"</t>
  </si>
  <si>
    <t>"équilibre, sur le territoire national, entre les émissions anthropiques par les sources et les absorptions anthropiques par les puits de gaz à effet de serre'</t>
  </si>
  <si>
    <t>Ajout indicateurs de NC</t>
  </si>
  <si>
    <t>Liste des valeurs manquantes</t>
  </si>
  <si>
    <t>Elements principaux attendus des UG</t>
  </si>
  <si>
    <t>Modélisation technique</t>
  </si>
  <si>
    <t>Format des données anticipé</t>
  </si>
  <si>
    <t>Element</t>
  </si>
  <si>
    <t>Description, précisions</t>
  </si>
  <si>
    <t>Demande finale par vecteur énergétique - Industrie</t>
  </si>
  <si>
    <t xml:space="preserve">Demande finale par vecteur énergétique - Résidentiel </t>
  </si>
  <si>
    <t>Demande finale par vecteur énergétique - Tertiaire</t>
  </si>
  <si>
    <t xml:space="preserve">Pepito et son nouvel outil incorporant les efficacités et les mix énergétiques </t>
  </si>
  <si>
    <t>Valeurs AME seulement, rajout de H2 BAU</t>
  </si>
  <si>
    <t>Productions et ventilation entre biométhane, biogaz et biocarb ; variables pertinentes pour cette description à choisir et définir</t>
  </si>
  <si>
    <t>Niveau de désagrégation suffisant pour arriver à la liste des vecteurs de l'onglet bilan énergétique</t>
  </si>
  <si>
    <t>Valeurs AME non différenciées entre les vecteurs, répartition naive en veillant uniquement à assurer la cohérence des cellules calculées</t>
  </si>
  <si>
    <t>Toutes les émissions GES - Déchets</t>
  </si>
  <si>
    <t>SRER</t>
  </si>
  <si>
    <t>Emissions GES hors combustion - Résidentiel principal</t>
  </si>
  <si>
    <t>Emissions GES hors combustion - Tertiaire</t>
  </si>
  <si>
    <t>Emissions GES hors combustion - Transports</t>
  </si>
  <si>
    <t>Emissions GES hors combustion - Energie (Extraction, transformation et distribution)</t>
  </si>
  <si>
    <t>Emissions GES - Solvants</t>
  </si>
  <si>
    <t>Consomation par vecteur énergétique mobilisé, a priori essentiellement l'industrie ?</t>
  </si>
  <si>
    <t>Désagrégation selon celle de l'onglet "Puits C"</t>
  </si>
  <si>
    <t>ClimAgri v2,2, onglet UTCATF</t>
  </si>
  <si>
    <t>Non modélisé, une électrolyse systématique avec des valeurs BAU pour l'instant</t>
  </si>
  <si>
    <t>Cogénération et production directe, ventilation par vecteur énergétique et source de chaleur (cogé élec, PAC, solaire thermique, etc.). Réseau de chaleur, et hors réseau</t>
  </si>
  <si>
    <t>Incorporation des biogaz selon les secteurs et sources de production (méthanisation, méthanation, BtG, gaz naturel)</t>
  </si>
  <si>
    <t>Ventilation entre entrées (brut, GN) et sorties (FOD, essence, diesel, etc.), modélisation des raffineries françaises</t>
  </si>
  <si>
    <t>Valeurs AME pour la production et tous les imports repportés arbitrairement sur le brut simplement pour respecter les relations comptables</t>
  </si>
  <si>
    <t>Production locale, importation, exportations, soutes internationales, ventilation par produit pétrolier (brut, essence, GN etc.)</t>
  </si>
  <si>
    <t>Ventilation par vecteur énergétique</t>
  </si>
  <si>
    <t>Autres élements attendus des UG</t>
  </si>
  <si>
    <t>Remise en forme valeurs manquantes en séparant en 3 catégories selon les remarques du point du 3 avril</t>
  </si>
  <si>
    <t>Version</t>
  </si>
  <si>
    <t>En cours, en même temps que demande finale</t>
  </si>
  <si>
    <t>Possible mais probablement de l'électrolyse à 99,9% dans le BAU donc est-ce utile ?</t>
  </si>
  <si>
    <t>Conserver l'AME pour les chiffres temporaires</t>
  </si>
  <si>
    <t>Sera modélisé par le prestataire qui commencera mi/fin avril, conserver l'AME pour les chiffres temporaires d'ici là</t>
  </si>
  <si>
    <t>SFAB, SMVD, STM</t>
  </si>
  <si>
    <t>Possible, pourront la fournir</t>
  </si>
  <si>
    <t>Source d'émission négative - Apport d’amendements</t>
  </si>
  <si>
    <t>Source d'émission négative - Matériaux Minéraux</t>
  </si>
  <si>
    <t>Ajout retours UG de l'atelier 14</t>
  </si>
  <si>
    <t>Conversion Mtep &gt; TWh</t>
  </si>
  <si>
    <t>Demande énergétique (Energie finale, TWh)</t>
  </si>
  <si>
    <t>Energie primaire (TWh)</t>
  </si>
  <si>
    <t>Energie finale (TWh)</t>
  </si>
  <si>
    <t>Valeur AME (TWh)</t>
  </si>
  <si>
    <t>Transformations (TWh/TWh)</t>
  </si>
  <si>
    <t>Bilan énergétique (TWh)</t>
  </si>
  <si>
    <t>\\ademe.intra\PARIS$\PROJETS\Vision_2030-2050\2 - Projet Energie-Ressources 2019\1- Ressources\1- Autres scénarios\Dossier scénario AMS Ademe\Dossier complet\01_Hyp &amp; Res\019_Enerdata\AME ajusté v3 2019 02 22.xlsx</t>
  </si>
  <si>
    <t>\\ademe.intra\PARIS$\PROJETS\Vision_2030-2050\2 - Projet Energie-Ressources 2019\1- Ressources\1- Autres scénarios\Dossier scénario AMS Ademe\Dossier complet\01_Hyp &amp; Res\020_CITEPA\1_Résultats_GES_AMEajusté_MET_01042019_d.xlsx</t>
  </si>
  <si>
    <t>MAJ données tableur BAU SFAB v 3 avril</t>
  </si>
  <si>
    <t>Tableur variables BAU SFAB v03/04/20 - "Puits forestier insitu" "dont sol"</t>
  </si>
  <si>
    <t>Tableur variables BAU SFAB v03/04/20 - "Puits forestier insitu" "dont biomasse bois vivant"+ "dont biomasse bois mort"</t>
  </si>
  <si>
    <t>Source d'émission négative - UTCATF et matériaux biosourcés</t>
  </si>
  <si>
    <t>A minima valeur agrégée globale, désagrégation par poste souhaitable</t>
  </si>
  <si>
    <t>Toutes les émissions, nomenclature à bien définir pour ne pas recouper tertiaire et résidentiel ; A minima valeur agrégée globale, désagrégation par poste souhaitable</t>
  </si>
  <si>
    <t>Tableur variables BAU SFAB v03/04/20 - "Puits forestier exsitu (produits bois) MtCO2" &gt; valeur vide ; "Calculateur Forêt SNBC (AME) PF OG" &gt;valeur= 0</t>
  </si>
  <si>
    <t>MAJ données H2</t>
  </si>
  <si>
    <t>Part production</t>
  </si>
  <si>
    <t>Volume production (kt)</t>
  </si>
  <si>
    <t>Production par SMR</t>
  </si>
  <si>
    <t>Production par electrolyse</t>
  </si>
  <si>
    <t>SMR</t>
  </si>
  <si>
    <t>Pouvoir Calorifique Inférieur (PCI) (kWh/kg)</t>
  </si>
  <si>
    <t>Ajout SMR et prod nationale pour H2 à usage indus</t>
  </si>
  <si>
    <t>Pouvoir Calorifique Inférieur - PCI (kWh/kg)</t>
  </si>
  <si>
    <t>Volume production equivalent énergie (TWh)</t>
  </si>
  <si>
    <t>Besoin produit final (TWh)</t>
  </si>
  <si>
    <t>Besoin réactifs (TWh)</t>
  </si>
  <si>
    <t>Consommation totale</t>
  </si>
  <si>
    <t>Production et consommation H2 industrie</t>
  </si>
  <si>
    <t>Consommation industrie énergétique</t>
  </si>
  <si>
    <t>Consommation industrie non énergétique</t>
  </si>
  <si>
    <t>Consommation raffinage</t>
  </si>
  <si>
    <t>Co-production raffinage</t>
  </si>
  <si>
    <t>Co-production hors raffinage</t>
  </si>
  <si>
    <t>Ajout rep graphique tableur cadrage</t>
  </si>
  <si>
    <t>NB : chiffres purement spéculatifs visant à illustrer le type de restitution, et à visée de discussion interne</t>
  </si>
  <si>
    <t>rajouter SNBC, reprender scenario DNTE (DIV, SOB…), + niveau de conso actuel</t>
  </si>
  <si>
    <t>garder les historiques posés</t>
  </si>
  <si>
    <t>ENERGIE</t>
  </si>
  <si>
    <t>SNBC</t>
  </si>
  <si>
    <t>S TEND</t>
  </si>
  <si>
    <t>S1</t>
  </si>
  <si>
    <t>S2</t>
  </si>
  <si>
    <t>S3</t>
  </si>
  <si>
    <t>S4</t>
  </si>
  <si>
    <t>Renouvelable Electrique</t>
  </si>
  <si>
    <t>Fossiles dont CCS</t>
  </si>
  <si>
    <t>dont couverts par CCS</t>
  </si>
  <si>
    <t>Conso d'énergie, TWh</t>
  </si>
  <si>
    <t>Réduction de conso</t>
  </si>
  <si>
    <t>Mix énergétique ( énergie finale)</t>
  </si>
  <si>
    <t>Chaleur commercialisée, EnR thermique et déchets</t>
  </si>
  <si>
    <t>TOTAL (TWh)</t>
  </si>
  <si>
    <t>contrôle</t>
  </si>
  <si>
    <t>dont extraction</t>
  </si>
  <si>
    <t>dont recyclage</t>
  </si>
  <si>
    <t>Métaux</t>
  </si>
  <si>
    <t>Minéraux non metalliques</t>
  </si>
  <si>
    <t>Combustibles fossiles</t>
  </si>
  <si>
    <t>dont recylage</t>
  </si>
  <si>
    <t>Surface (France métropolitaine) M ha</t>
  </si>
  <si>
    <t>S</t>
  </si>
  <si>
    <t>Sols artificialisés</t>
  </si>
  <si>
    <t>Surfaces cultivées</t>
  </si>
  <si>
    <t>Surfaces tjs en herbe</t>
  </si>
  <si>
    <t>Forêts et haies</t>
  </si>
  <si>
    <t>Autres espaces naturels</t>
  </si>
  <si>
    <t>Surface (Reste du monde)</t>
  </si>
  <si>
    <t>Sols artificialisés/imperméabilisés</t>
  </si>
  <si>
    <t>Sols cultivés</t>
  </si>
  <si>
    <t>Espaces naturels</t>
  </si>
  <si>
    <t>Puits biologiques</t>
  </si>
  <si>
    <t>DACCS</t>
  </si>
  <si>
    <t>Importés</t>
  </si>
  <si>
    <t>Exportés</t>
  </si>
  <si>
    <t>Mt GES</t>
  </si>
  <si>
    <t>6.1 Demande d'énergie finale par énergie</t>
  </si>
  <si>
    <t>Combustible liquide</t>
  </si>
  <si>
    <t>Carburant liquide</t>
  </si>
  <si>
    <t>Combustible gazeux</t>
  </si>
  <si>
    <t>Carburant gazeux</t>
  </si>
  <si>
    <t>Réseau de chaleur</t>
  </si>
  <si>
    <t>Biomasse, déchets</t>
  </si>
  <si>
    <t>Solaire</t>
  </si>
  <si>
    <t>Chaleur environnement</t>
  </si>
  <si>
    <t>Autres GES</t>
  </si>
  <si>
    <t>4.  Land use, land-use change and forestry</t>
  </si>
  <si>
    <t>SNBC (AMS) 2050</t>
  </si>
  <si>
    <t>S TEND 2050</t>
  </si>
  <si>
    <t>Evolution (%)</t>
  </si>
  <si>
    <t>Légende :</t>
  </si>
  <si>
    <t>Total (Net Emissions)</t>
  </si>
  <si>
    <t>Inventaire émissions de GES (teqCO2), format CCNUCC</t>
  </si>
  <si>
    <t>Part (%) des sources captées par des puits ; doit être supérieur ou égal à 100%</t>
  </si>
  <si>
    <t>Modif indic NC d'equilibre emisions et absorptions anthopiques</t>
  </si>
  <si>
    <t>Ajout de l'onglet sorties graphiques pour la presentation au CS</t>
  </si>
  <si>
    <t>Source AME ajusté</t>
  </si>
  <si>
    <t>Consommation finale énergétique (mtep)</t>
  </si>
  <si>
    <t>AMS 2050</t>
  </si>
  <si>
    <t>Fichier source :</t>
  </si>
  <si>
    <t>file:///D:\Hors-ligne\Documents\Autres%20scénarios\DGEC\Dossier%20scénario%20AMS%20Ademe\Dossier%20complet\01_Hyp%20&amp;%20Res\019_Enerdata\AMS%202018%20v4%20-%202018%2006%2019.xlsx</t>
  </si>
  <si>
    <t>Mix énergétique (Energie finale, TWh)</t>
  </si>
  <si>
    <t>Electricité, hors P2X</t>
  </si>
  <si>
    <t>Titres axe horizontal graphique</t>
  </si>
  <si>
    <t>Car</t>
  </si>
  <si>
    <t>Bus</t>
  </si>
  <si>
    <t>Avion</t>
  </si>
  <si>
    <t>Fluvial</t>
  </si>
  <si>
    <t>Véhicule particulier</t>
  </si>
  <si>
    <t>Véhicule Utilitaire Léger</t>
  </si>
  <si>
    <t>Vecteurs Energétiques  (TWh)</t>
  </si>
  <si>
    <t>Ventilation par mode de Transport (TWh)</t>
  </si>
  <si>
    <t>Ajout onglet bilan des sols</t>
  </si>
  <si>
    <t>Injections de biométhane</t>
  </si>
  <si>
    <t>Demande énergétique finale industrie (TWh)</t>
  </si>
  <si>
    <t>Demande énergétique finale résidentiel (TWh)</t>
  </si>
  <si>
    <t>Demande énergétique finale tertiaire (TWh)</t>
  </si>
  <si>
    <t>Bilan 2050</t>
  </si>
  <si>
    <t>Source : AMEajusté enerdata</t>
  </si>
  <si>
    <t>Evolution</t>
  </si>
  <si>
    <t>Ajout onglet sorties tableaux qui pour l'instant récupére les bilans enerdata et sort des demandes finales sectorielles</t>
  </si>
  <si>
    <t>SFAB, tableur variables clés (version 3 avril), variable "Prairies permanentes, Mha"</t>
  </si>
  <si>
    <t>Surfaces artificialisées (ha)</t>
  </si>
  <si>
    <t>Autres surfaces (ha)</t>
  </si>
  <si>
    <t xml:space="preserve">Total surface maraichage </t>
  </si>
  <si>
    <t>Arboriculture - viticulture</t>
  </si>
  <si>
    <t>dont GC (autre terminologie : "Cultures annuelles")</t>
  </si>
  <si>
    <t>dont prairies (autre terminologie : "Cultures fourragères")</t>
  </si>
  <si>
    <t xml:space="preserve">total forêt </t>
  </si>
  <si>
    <t>Total haies</t>
  </si>
  <si>
    <t>Agroforesterie</t>
  </si>
  <si>
    <t>prairie naturelle peu productives, parcours</t>
  </si>
  <si>
    <t>prairie naturelle productives &gt;30ans</t>
  </si>
  <si>
    <t>PT autres Lég. Seule</t>
  </si>
  <si>
    <t>PT Luzerne</t>
  </si>
  <si>
    <t>PT Autres Gram seule</t>
  </si>
  <si>
    <t>PT mélangées1</t>
  </si>
  <si>
    <t>colza fourrager</t>
  </si>
  <si>
    <t>sorgho fourrager</t>
  </si>
  <si>
    <t>jachère 5 ans ou fixe</t>
  </si>
  <si>
    <t>somme(107:117)</t>
  </si>
  <si>
    <t>Ligne onglet "hypothèses"</t>
  </si>
  <si>
    <t>Definition valeur ClimAgri</t>
  </si>
  <si>
    <t>Nom variable</t>
  </si>
  <si>
    <t>valeur 2015</t>
  </si>
  <si>
    <t>valeur2050</t>
  </si>
  <si>
    <t>Extraction lignes liées aux sols dans l'onglet hypothèses du fichier climagri AME ("20180214_CLIMAGRI_AME.xlsx")</t>
  </si>
  <si>
    <t>67 ou somme(97:105)</t>
  </si>
  <si>
    <t>total forêt + total haies</t>
  </si>
  <si>
    <t>prairies naturelles peu productives + productives</t>
  </si>
  <si>
    <t>SAU (la SAU de cette ligne ne compte ni les haies ni l'agroforesterie contrairement à celle calculée ligne 405)</t>
  </si>
  <si>
    <t>SFAB, tableur variables clés (version 3 avril), variable "SAU, Mha" - "Prairies permanentes, Mha"</t>
  </si>
  <si>
    <t>Surface Superficie géodésique (IGN) France métropolitaine (Mha)</t>
  </si>
  <si>
    <t>Variable d'ajustement</t>
  </si>
  <si>
    <t>Valeur tableau cadrage récit (Mha)</t>
  </si>
  <si>
    <t>Valeurs Climagri AME (ha)</t>
  </si>
  <si>
    <t>Bilan sols</t>
  </si>
  <si>
    <t>Intégration progressive des données BAU 2049</t>
  </si>
  <si>
    <t>Valeur 2015 + Extension forestière nette valeur 2050 - source "Note – Etat des lieux actuel et scénario BAU pour les secteurs de la bioéconomie : alimentation, agriculture, forêt, usages non alimentaires de la biomasse"</t>
  </si>
  <si>
    <t>Maj bilan sol forêt</t>
  </si>
  <si>
    <t>Maj rep graph pour maj tableur cadrage</t>
  </si>
  <si>
    <t>TABLES TRANSPORTS</t>
  </si>
  <si>
    <t>Energie global</t>
  </si>
  <si>
    <t>Fioul Lourd</t>
  </si>
  <si>
    <t>Gaz Renouvelable</t>
  </si>
  <si>
    <t>Biomasse Solide</t>
  </si>
  <si>
    <t>Chaleur Vendue</t>
  </si>
  <si>
    <t>Energies renouvelables Electriques</t>
  </si>
  <si>
    <t>TOTAL</t>
  </si>
  <si>
    <t>Gain / 2015</t>
  </si>
  <si>
    <t xml:space="preserve"> </t>
  </si>
  <si>
    <t>Sorties GESTime modifié STM : onglet "Transport sorties"</t>
  </si>
  <si>
    <t>Poids Lourd</t>
  </si>
  <si>
    <t>Train Voyageur</t>
  </si>
  <si>
    <t>Train Marchandises</t>
  </si>
  <si>
    <t>Deux-roues motorisés</t>
  </si>
  <si>
    <t>BAU ADEME 2028 (sources : scénario AMPERE et PPE)</t>
  </si>
  <si>
    <t>Eolien en mer</t>
  </si>
  <si>
    <t>Gaz consommé, yc biogaz, H2 ds GN, P2X (dont GNL)</t>
  </si>
  <si>
    <t>Maj BAU STM</t>
  </si>
  <si>
    <t>Ajout point 2028 BAU/PPE sys élec</t>
  </si>
  <si>
    <t>Periode</t>
  </si>
  <si>
    <t>Origine</t>
  </si>
  <si>
    <t>Gr_Ress</t>
  </si>
  <si>
    <t>Ress_détaillée</t>
  </si>
  <si>
    <t>Unit_usuelle</t>
  </si>
  <si>
    <t>Dep_Prod_nom</t>
  </si>
  <si>
    <t>Dep_Prod_Qte</t>
  </si>
  <si>
    <t>Dep_Prod_tx</t>
  </si>
  <si>
    <t>Dep_Prod_unit</t>
  </si>
  <si>
    <t>Base_nom</t>
  </si>
  <si>
    <t>Base_Qte</t>
  </si>
  <si>
    <t>Base_unit</t>
  </si>
  <si>
    <t>Ratio1_nom</t>
  </si>
  <si>
    <t>Ratio1_Val</t>
  </si>
  <si>
    <t>Ratio1_nomprod</t>
  </si>
  <si>
    <t>GPM</t>
  </si>
  <si>
    <t>Cont_tech</t>
  </si>
  <si>
    <t>GTD</t>
  </si>
  <si>
    <t>Tx_valo</t>
  </si>
  <si>
    <t>GDD</t>
  </si>
  <si>
    <t>% pénétration</t>
  </si>
  <si>
    <t>GM</t>
  </si>
  <si>
    <t>GU</t>
  </si>
  <si>
    <t>Conv_Ms</t>
  </si>
  <si>
    <t>Conv_tep</t>
  </si>
  <si>
    <t>Conv_Meth_m3CH4/t</t>
  </si>
  <si>
    <t>Source1</t>
  </si>
  <si>
    <t>Source2</t>
  </si>
  <si>
    <t>Source3</t>
  </si>
  <si>
    <t>Source4</t>
  </si>
  <si>
    <t>Vigilence</t>
  </si>
  <si>
    <t>Ms</t>
  </si>
  <si>
    <t>Tep</t>
  </si>
  <si>
    <t>Meth_CH4</t>
  </si>
  <si>
    <t>GPMts</t>
  </si>
  <si>
    <t>GTDts</t>
  </si>
  <si>
    <t>GDDts</t>
  </si>
  <si>
    <t>GMts</t>
  </si>
  <si>
    <t>produit</t>
  </si>
  <si>
    <t>Ratio_Prod</t>
  </si>
  <si>
    <t>Qte_Produit</t>
  </si>
  <si>
    <t>GU_GWh</t>
  </si>
  <si>
    <t>Actuel_2015</t>
  </si>
  <si>
    <t>Agri-Autres</t>
  </si>
  <si>
    <t>Betteraves</t>
  </si>
  <si>
    <t>T brutes (milliers)</t>
  </si>
  <si>
    <t>Surface</t>
  </si>
  <si>
    <t>Milliers ha</t>
  </si>
  <si>
    <t>tb/ha</t>
  </si>
  <si>
    <t>AGRESTE - SAA 2017</t>
  </si>
  <si>
    <t>La Collective du Bioéthanol</t>
  </si>
  <si>
    <t>DGEC</t>
  </si>
  <si>
    <t>Estimations ACDV</t>
  </si>
  <si>
    <t>Chanvre</t>
  </si>
  <si>
    <t>FRD 2016 pour l'évaluation du gisement</t>
  </si>
  <si>
    <t>Coefficient conversion tonne sèche à confirmer</t>
  </si>
  <si>
    <t>CIVE</t>
  </si>
  <si>
    <t>Tonnes brutes (milliers)</t>
  </si>
  <si>
    <t>GIE GAO (projet(OPTICIE)</t>
  </si>
  <si>
    <t>Solagro pour coef conversion</t>
  </si>
  <si>
    <t>Rdt/ha et surfaces à revoir</t>
  </si>
  <si>
    <t>co-produit bet</t>
  </si>
  <si>
    <t>Fanes_Betteraves</t>
  </si>
  <si>
    <t>Cultures dédiées</t>
  </si>
  <si>
    <t>Cultures agricoles dédiées</t>
  </si>
  <si>
    <t>T matière brute (milliers)</t>
  </si>
  <si>
    <t>RMT biomasse pour rendements</t>
  </si>
  <si>
    <t>Surfaces à confirmer</t>
  </si>
  <si>
    <t>Cultures dédiées pérennes</t>
  </si>
  <si>
    <t>Cultures dédiées-TCR TTCR</t>
  </si>
  <si>
    <t>Grains_autre</t>
  </si>
  <si>
    <t>Grains protéa</t>
  </si>
  <si>
    <t>SAA 2016-2017 pour surfaces et rendements (tonnes brutes ?)</t>
  </si>
  <si>
    <t>Grains riz</t>
  </si>
  <si>
    <t>Grains_Céréales</t>
  </si>
  <si>
    <t>Grains autres cereales</t>
  </si>
  <si>
    <t>http://www.comptoir-agricole.fr pour humidité du grain</t>
  </si>
  <si>
    <t>Grains avoine</t>
  </si>
  <si>
    <t>Grains blé</t>
  </si>
  <si>
    <t>Grains orge</t>
  </si>
  <si>
    <t>Grains seigle</t>
  </si>
  <si>
    <t>Grains_Mais</t>
  </si>
  <si>
    <t>Grains maïs</t>
  </si>
  <si>
    <t>Grains_Oléa</t>
  </si>
  <si>
    <t>Grains autres oléa</t>
  </si>
  <si>
    <t>Moyenne tournesol et soja pour H%</t>
  </si>
  <si>
    <t>Grains colza</t>
  </si>
  <si>
    <t>http://www.terresinovia.fr/colza/cultiver-du-colza/recolte-conservation/conservation-stockage/ pour H%</t>
  </si>
  <si>
    <t>Grains Soja</t>
  </si>
  <si>
    <t>http://www.terresinovia.fr/espaces-regionaux/messages-techniques/regions-nord-et-est/2017/conseil-soja-se-preparer-pour-la-recolte/ pour H%</t>
  </si>
  <si>
    <t>Grains Tournesol</t>
  </si>
  <si>
    <t>http://www.terresinovia.fr/tournesol/cultiver-du-tournesol/recolte/qualite-de-la-recolte/ pour H%</t>
  </si>
  <si>
    <t>Invendus</t>
  </si>
  <si>
    <t>Invendus_fruits_Légumes</t>
  </si>
  <si>
    <t>Solagro : ressource d'intérêt</t>
  </si>
  <si>
    <t>Issues_silo_Céréales</t>
  </si>
  <si>
    <t>Issues_silo_autres céréales</t>
  </si>
  <si>
    <t>tb/tb</t>
  </si>
  <si>
    <t>Solagro pour ratio issues/grains</t>
  </si>
  <si>
    <t>Coop énergie 2011 pour ratios Ms et CH4</t>
  </si>
  <si>
    <t>Issues_silo_avoine</t>
  </si>
  <si>
    <t>Issues_silo_blé</t>
  </si>
  <si>
    <t>Issues_silo_Oléa</t>
  </si>
  <si>
    <t>Issues_silo_colza</t>
  </si>
  <si>
    <t>Issues_silo_Mais</t>
  </si>
  <si>
    <t>Issues_silo_maïs</t>
  </si>
  <si>
    <t>Issues_silo_orge</t>
  </si>
  <si>
    <t>Issues_silo_seigle</t>
  </si>
  <si>
    <t>Issues_silo_tournesol</t>
  </si>
  <si>
    <t>Grains Trournesol</t>
  </si>
  <si>
    <t>Lin fibres</t>
  </si>
  <si>
    <t>Agri-Effluents</t>
  </si>
  <si>
    <t>Effluents élevage</t>
  </si>
  <si>
    <t>Fientes volailles-pondeuse</t>
  </si>
  <si>
    <t>Cheptel</t>
  </si>
  <si>
    <t>Milliers</t>
  </si>
  <si>
    <t>Qté déjection</t>
  </si>
  <si>
    <t>t/animal/an</t>
  </si>
  <si>
    <t>SAA2017 pour effectifs</t>
  </si>
  <si>
    <t>ELBA pour Qte/animal et coeff conversion</t>
  </si>
  <si>
    <t>Fumier  volailles-canards-dindes</t>
  </si>
  <si>
    <t>ELBA pour Qte/animal</t>
  </si>
  <si>
    <t>Fumier  volailles-pondeuse</t>
  </si>
  <si>
    <t>Fumier  volailles-poulet</t>
  </si>
  <si>
    <t>Fumier bovins -génisse</t>
  </si>
  <si>
    <t>Fumier bovins veau</t>
  </si>
  <si>
    <t>Fumier bovins-laitières</t>
  </si>
  <si>
    <t>Fumier bovins-Nourrices</t>
  </si>
  <si>
    <t>Fumier caprins</t>
  </si>
  <si>
    <t>Fumier équidés</t>
  </si>
  <si>
    <t>Fumier ovins</t>
  </si>
  <si>
    <t>Fumier porc charcutier</t>
  </si>
  <si>
    <t>AGRESTE 2018 pour effectifs</t>
  </si>
  <si>
    <t>Fumier porcelet</t>
  </si>
  <si>
    <t>Fumier truie-verrat</t>
  </si>
  <si>
    <t>Lisier bovins -génisse</t>
  </si>
  <si>
    <t>Lisier bovins veau</t>
  </si>
  <si>
    <t>Lisier bovins-laitières</t>
  </si>
  <si>
    <t>Lisier bovins-Nourrices</t>
  </si>
  <si>
    <t>Lisier porc charcutier</t>
  </si>
  <si>
    <t>Lisier porcelet</t>
  </si>
  <si>
    <t>Lisier truie-verrat</t>
  </si>
  <si>
    <t>lisier volailles-canard-dindes</t>
  </si>
  <si>
    <t>Agri-Paille</t>
  </si>
  <si>
    <t>menues_pailles_Céréales</t>
  </si>
  <si>
    <t>Men_paille autres cereales</t>
  </si>
  <si>
    <t>Solagro pour RDT/ha paille comparé au rdt/ha grains SAA</t>
  </si>
  <si>
    <t>Men_paille avoine</t>
  </si>
  <si>
    <t>Men_paille blé</t>
  </si>
  <si>
    <t>menues_pailles_Oléa</t>
  </si>
  <si>
    <t>Men_paille colza</t>
  </si>
  <si>
    <t>Men_paille orge</t>
  </si>
  <si>
    <t>Men_paille seigle</t>
  </si>
  <si>
    <t>Paille_autre</t>
  </si>
  <si>
    <t>Paille protéa</t>
  </si>
  <si>
    <t>Paille riz</t>
  </si>
  <si>
    <t>Paille_Céréales</t>
  </si>
  <si>
    <t>Paille autres cereales</t>
  </si>
  <si>
    <t>Pris même coefficients que Paille céréales</t>
  </si>
  <si>
    <t>Paille avoine</t>
  </si>
  <si>
    <t>Paille blé</t>
  </si>
  <si>
    <t>Paille orge</t>
  </si>
  <si>
    <t>Paille seigle</t>
  </si>
  <si>
    <t>Paille_Mais</t>
  </si>
  <si>
    <t>Paille maïs</t>
  </si>
  <si>
    <t>Paille_Oléa</t>
  </si>
  <si>
    <t>Paille autres oléa</t>
  </si>
  <si>
    <t>Pris même coefficients que Paille colza</t>
  </si>
  <si>
    <t>Paille colza</t>
  </si>
  <si>
    <t>Paille Soja</t>
  </si>
  <si>
    <t>Paille Tournesol</t>
  </si>
  <si>
    <t>Algues</t>
  </si>
  <si>
    <t>Algues vertes</t>
  </si>
  <si>
    <t>Solagro: 70 000t/an mais sans intérêt</t>
  </si>
  <si>
    <t>micro-algues</t>
  </si>
  <si>
    <t>Solagro : intéressant dans le futur</t>
  </si>
  <si>
    <t>Boues de STEU</t>
  </si>
  <si>
    <t>Solagro pour GPM</t>
  </si>
  <si>
    <t>RESEDA pour % pénétration</t>
  </si>
  <si>
    <t>Déchets lipidiques</t>
  </si>
  <si>
    <t>Déchets lipidiques (Huiles Alimentaires Usagées, Graisses Animales)</t>
  </si>
  <si>
    <t>T matière sèche (milliers)</t>
  </si>
  <si>
    <t>Hors du périmètre de l'étude ?</t>
  </si>
  <si>
    <t>Herbe BdR</t>
  </si>
  <si>
    <t>Herbe bord route</t>
  </si>
  <si>
    <t>Solagro = 912000 ha et 9M t brutes</t>
  </si>
  <si>
    <t>Potentiel important mais pas de données sur l'utilisation actuelle (sans doute très faible)</t>
  </si>
  <si>
    <t>OM</t>
  </si>
  <si>
    <t>Biodéchets ménages et collectivités</t>
  </si>
  <si>
    <t>Prairies_Perm</t>
  </si>
  <si>
    <t>Prairies permanentes</t>
  </si>
  <si>
    <t>Solagro: 10 M ha ttes prairies dont 2 pour métha</t>
  </si>
  <si>
    <t>Prairies_temp</t>
  </si>
  <si>
    <t>Prairies temporaires</t>
  </si>
  <si>
    <t>Bois</t>
  </si>
  <si>
    <t>BIBE feuillus</t>
  </si>
  <si>
    <t>m3 sur écorce (milliers)</t>
  </si>
  <si>
    <t>Ademe 2016</t>
  </si>
  <si>
    <t>EAB 2015</t>
  </si>
  <si>
    <t>BIBE résineux</t>
  </si>
  <si>
    <t>Bois hors forêt</t>
  </si>
  <si>
    <t>ADEME 2009-2013-2018</t>
  </si>
  <si>
    <t>JWEE 2015</t>
  </si>
  <si>
    <t>Taille et arrachage de vergers</t>
  </si>
  <si>
    <t>Tb/ha</t>
  </si>
  <si>
    <t>0,57</t>
  </si>
  <si>
    <t>Bois Œuvre feuillus</t>
  </si>
  <si>
    <t>Bois Œuvre résineux</t>
  </si>
  <si>
    <t>Déchet bois</t>
  </si>
  <si>
    <t>DEBOIDEM</t>
  </si>
  <si>
    <t>Granulés</t>
  </si>
  <si>
    <t>Granulés HPCI</t>
  </si>
  <si>
    <t>Liqueur noire</t>
  </si>
  <si>
    <t>JWEE 2019</t>
  </si>
  <si>
    <t>MB</t>
  </si>
  <si>
    <t>MB Feuillus</t>
  </si>
  <si>
    <t>MB résineux</t>
  </si>
  <si>
    <t>PCS</t>
  </si>
  <si>
    <t>Souches</t>
  </si>
  <si>
    <t>ADEME 2009</t>
  </si>
  <si>
    <t>IAA</t>
  </si>
  <si>
    <t>IAA-Aliments animaux</t>
  </si>
  <si>
    <t>Aliments pour animaux</t>
  </si>
  <si>
    <t>Effectif (milliers)</t>
  </si>
  <si>
    <t>Salariés</t>
  </si>
  <si>
    <t>ratio</t>
  </si>
  <si>
    <t>Tb/sal</t>
  </si>
  <si>
    <t>IAA-Autres</t>
  </si>
  <si>
    <t>Cacao</t>
  </si>
  <si>
    <t>Plats préparés</t>
  </si>
  <si>
    <t>Sucre</t>
  </si>
  <si>
    <t>IAA-Boissons</t>
  </si>
  <si>
    <t>Bière</t>
  </si>
  <si>
    <t>Boissons alccoliques</t>
  </si>
  <si>
    <t>Boissons fermentées</t>
  </si>
  <si>
    <t>Cidre</t>
  </si>
  <si>
    <t>Malt</t>
  </si>
  <si>
    <t>Vinification</t>
  </si>
  <si>
    <t>Vins effervescents</t>
  </si>
  <si>
    <t>IAA-Boulangerie</t>
  </si>
  <si>
    <t>Boulangerie</t>
  </si>
  <si>
    <t>IAA-Corps gras</t>
  </si>
  <si>
    <t>Corps gras</t>
  </si>
  <si>
    <t>IAA-Fruits-légumes</t>
  </si>
  <si>
    <t>Fruits et légumes</t>
  </si>
  <si>
    <t>Jus de fruit</t>
  </si>
  <si>
    <t>Légumes</t>
  </si>
  <si>
    <t>Pommes de terre</t>
  </si>
  <si>
    <t>IAA-Grains</t>
  </si>
  <si>
    <t>Grains</t>
  </si>
  <si>
    <t>IAA-Laitière</t>
  </si>
  <si>
    <t>Fromage</t>
  </si>
  <si>
    <t>Lait</t>
  </si>
  <si>
    <t>IAA-Poisson</t>
  </si>
  <si>
    <t>Industrie poisson</t>
  </si>
  <si>
    <t>IAA-Viandes</t>
  </si>
  <si>
    <t>Industrie viande</t>
  </si>
  <si>
    <t>Viande boucherie</t>
  </si>
  <si>
    <t>Viande volaille</t>
  </si>
  <si>
    <t>Prospective_2035</t>
  </si>
  <si>
    <t>Prospective_2050</t>
  </si>
  <si>
    <t>ELBA pour Qte/animalet coeff conversion</t>
  </si>
  <si>
    <t>Tableur biomasse</t>
  </si>
  <si>
    <t>Masse matière sèche (ktMs)</t>
  </si>
  <si>
    <t>Ajout bilan matière avec ressources 2015 tableur biomasse</t>
  </si>
  <si>
    <t>Selon la SNBC (p72), passe de 10% à 14% donc chiffre obtenu par multiplication de la valeur 2015 : Artificialisation, De la mesure à l’action, CGDD, Thema, janvier 2017 – exploitation de la base de données Teruti-Lucas.</t>
  </si>
  <si>
    <t xml:space="preserve">[SAU- surface tjr en herbe] </t>
  </si>
  <si>
    <t>Maj source artificialisation 2050</t>
  </si>
  <si>
    <t>Cogénération</t>
  </si>
  <si>
    <t>Production chaleur - Désagrégation ThreeME</t>
  </si>
  <si>
    <t>Production électrique - Désagrégation ThreeME</t>
  </si>
  <si>
    <t>Gaz (combiné)</t>
  </si>
  <si>
    <t>éolien</t>
  </si>
  <si>
    <t>solaire</t>
  </si>
  <si>
    <t>Hydrau</t>
  </si>
  <si>
    <t>Production carburants - Désagrégation ThreeME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</si>
</sst>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
    <numFmt numFmtId="165" formatCode="0.0%"/>
    <numFmt numFmtId="166" formatCode="#,##0.0"/>
    <numFmt numFmtId="167" formatCode="_-* #,##0.00\ _F_-;\-* #,##0.00\ _F_-;_-* &quot;-&quot;??\ _F_-;_-@_-"/>
    <numFmt numFmtId="168" formatCode="_-* #,##0.00\ _€_-;\-* #,##0.00\ _€_-;_-* &quot;-&quot;??\ _€_-;_-@_-"/>
    <numFmt numFmtId="169" formatCode="_-* #,##0\ _€_-;\-* #,##0\ _€_-;_-* &quot;-&quot;??\ _€_-;_-@_-"/>
    <numFmt numFmtId="170" formatCode="0.000"/>
    <numFmt numFmtId="171" formatCode="\ * #,##0&quot;   &quot;;\-* #,##0&quot;   &quot;;\ * \-#&quot;   &quot;;@\ "/>
  </numFmts>
  <fonts count="63">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1"/>
      <name val="Arial"/>
      <family val="2"/>
    </font>
    <font>
      <sz val="10"/>
      <name val="Arial"/>
      <family val="2"/>
    </font>
    <font>
      <b/>
      <i/>
      <sz val="10"/>
      <name val="Arial"/>
      <family val="2"/>
    </font>
    <font>
      <i/>
      <sz val="10"/>
      <name val="Arial"/>
      <family val="2"/>
    </font>
    <font>
      <b/>
      <sz val="12"/>
      <name val="Arial"/>
      <family val="2"/>
    </font>
    <font>
      <b/>
      <sz val="11"/>
      <name val="Arial"/>
      <family val="2"/>
    </font>
    <font>
      <b/>
      <i/>
      <sz val="11"/>
      <name val="Arial"/>
      <family val="2"/>
    </font>
    <font>
      <i/>
      <sz val="11"/>
      <name val="Arial"/>
      <family val="2"/>
    </font>
    <font>
      <sz val="9"/>
      <color indexed="81"/>
      <name val="Tahoma"/>
      <family val="2"/>
    </font>
    <font>
      <b/>
      <sz val="9"/>
      <color indexed="81"/>
      <name val="Tahoma"/>
      <family val="2"/>
    </font>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sz val="10"/>
      <name val="Times New Roman"/>
      <family val="1"/>
    </font>
    <font>
      <b/>
      <sz val="12"/>
      <color theme="1"/>
      <name val="Calibri"/>
      <family val="2"/>
      <scheme val="minor"/>
    </font>
    <font>
      <sz val="11"/>
      <color theme="1"/>
      <name val="Liberation Sans"/>
    </font>
    <font>
      <b/>
      <sz val="14"/>
      <color theme="1"/>
      <name val="Calibri"/>
      <family val="2"/>
      <scheme val="minor"/>
    </font>
    <font>
      <sz val="11"/>
      <color rgb="FFC00000"/>
      <name val="Calibri"/>
      <family val="2"/>
      <scheme val="minor"/>
    </font>
    <font>
      <b/>
      <sz val="11"/>
      <color rgb="FFC00000"/>
      <name val="Calibri"/>
      <family val="2"/>
      <scheme val="minor"/>
    </font>
    <font>
      <sz val="11"/>
      <name val="Calibri"/>
      <family val="2"/>
      <scheme val="minor"/>
    </font>
    <font>
      <sz val="9"/>
      <name val="Times New Roman"/>
      <family val="1"/>
    </font>
    <font>
      <b/>
      <sz val="11"/>
      <color indexed="8"/>
      <name val="Calibri"/>
      <family val="2"/>
      <scheme val="minor"/>
    </font>
    <font>
      <sz val="11"/>
      <color indexed="8"/>
      <name val="Calibri"/>
      <family val="2"/>
      <scheme val="minor"/>
    </font>
    <font>
      <b/>
      <vertAlign val="subscript"/>
      <sz val="11"/>
      <color indexed="8"/>
      <name val="Calibri"/>
      <family val="2"/>
      <scheme val="minor"/>
    </font>
    <font>
      <b/>
      <sz val="12"/>
      <name val="Calibri"/>
      <family val="2"/>
      <scheme val="minor"/>
    </font>
    <font>
      <sz val="11"/>
      <color rgb="FFFA7D00"/>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1"/>
      <color rgb="FFA43A32"/>
      <name val="Calibri"/>
      <family val="2"/>
      <scheme val="minor"/>
    </font>
    <font>
      <sz val="10"/>
      <color indexed="8"/>
      <name val="Arial"/>
      <family val="2"/>
    </font>
    <font>
      <sz val="11"/>
      <color indexed="8"/>
      <name val="Calibri"/>
      <family val="2"/>
    </font>
    <font>
      <b/>
      <sz val="11"/>
      <color theme="3"/>
      <name val="Calibri"/>
      <family val="2"/>
      <scheme val="minor"/>
    </font>
    <font>
      <sz val="11"/>
      <color theme="0"/>
      <name val="Calibri"/>
      <family val="2"/>
      <scheme val="minor"/>
    </font>
    <font>
      <sz val="10"/>
      <name val="Calibri"/>
      <family val="2"/>
      <scheme val="minor"/>
    </font>
    <font>
      <i/>
      <sz val="10"/>
      <name val="Calibri"/>
      <family val="2"/>
      <scheme val="minor"/>
    </font>
    <font>
      <sz val="11"/>
      <color theme="6" tint="-0.499984740745262"/>
      <name val="Calibri"/>
      <family val="2"/>
      <scheme val="minor"/>
    </font>
    <font>
      <sz val="18"/>
      <color theme="3"/>
      <name val="Calibri Light"/>
      <family val="2"/>
      <scheme val="major"/>
    </font>
    <font>
      <b/>
      <sz val="13"/>
      <color theme="3"/>
      <name val="Calibri"/>
      <family val="2"/>
      <scheme val="minor"/>
    </font>
    <font>
      <b/>
      <sz val="11"/>
      <color theme="0"/>
      <name val="Calibri"/>
      <family val="2"/>
      <scheme val="minor"/>
    </font>
    <font>
      <i/>
      <sz val="11"/>
      <color rgb="FF7F7F7F"/>
      <name val="Calibri"/>
      <family val="2"/>
      <scheme val="minor"/>
    </font>
    <font>
      <b/>
      <sz val="12"/>
      <name val="Calibri"/>
      <family val="2"/>
      <charset val="1"/>
    </font>
    <font>
      <sz val="10"/>
      <name val="Calibri"/>
      <family val="2"/>
      <charset val="1"/>
    </font>
    <font>
      <b/>
      <sz val="10"/>
      <name val="Calibri"/>
      <family val="2"/>
      <charset val="1"/>
    </font>
    <font>
      <sz val="10"/>
      <color rgb="FF000000"/>
      <name val="Calibri"/>
      <family val="2"/>
      <charset val="1"/>
    </font>
    <font>
      <i/>
      <sz val="11"/>
      <color theme="6"/>
      <name val="Calibri"/>
      <family val="2"/>
      <scheme val="minor"/>
    </font>
    <font>
      <b/>
      <sz val="12"/>
      <color rgb="FF000000"/>
      <name val="Calibri"/>
      <family val="2"/>
      <charset val="1"/>
    </font>
    <font>
      <b/>
      <sz val="11"/>
      <color rgb="FF000000"/>
      <name val="Calibri"/>
      <family val="2"/>
      <charset val="1"/>
    </font>
    <font>
      <sz val="12"/>
      <color theme="1"/>
      <name val="Calibri"/>
      <family val="2"/>
      <scheme val="minor"/>
    </font>
    <font>
      <i/>
      <sz val="11"/>
      <color theme="1"/>
      <name val="Calibri"/>
      <family val="2"/>
      <scheme val="minor"/>
    </font>
    <font>
      <b/>
      <i/>
      <sz val="11"/>
      <color theme="1"/>
      <name val="Calibri"/>
      <family val="2"/>
      <scheme val="minor"/>
    </font>
    <font>
      <b/>
      <sz val="11"/>
      <color theme="1"/>
      <name val="Arial"/>
      <family val="2"/>
    </font>
    <font>
      <i/>
      <sz val="11"/>
      <color theme="1"/>
      <name val="Arial"/>
      <family val="2"/>
    </font>
    <font>
      <sz val="10"/>
      <color theme="1"/>
      <name val="Times New Roman"/>
      <family val="1"/>
    </font>
    <font>
      <b/>
      <sz val="11"/>
      <color theme="1"/>
      <name val="Calibri"/>
      <family val="2"/>
    </font>
    <font>
      <b/>
      <sz val="11"/>
      <color rgb="FF000000"/>
      <name val="Calibri"/>
      <family val="2"/>
    </font>
    <font>
      <sz val="11"/>
      <color rgb="FF000000"/>
      <name val="Calibri"/>
      <family val="2"/>
    </font>
    <font>
      <sz val="11"/>
      <color rgb="FF92D05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bgColor indexed="64"/>
      </patternFill>
    </fill>
    <fill>
      <patternFill patternType="solid">
        <fgColor indexed="44"/>
        <bgColor indexed="31"/>
      </patternFill>
    </fill>
    <fill>
      <patternFill patternType="solid">
        <fgColor rgb="FF92D050"/>
        <bgColor indexed="64"/>
      </patternFill>
    </fill>
    <fill>
      <patternFill patternType="solid">
        <fgColor theme="0"/>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lightUp">
        <fgColor rgb="FFCB5C53"/>
        <bgColor auto="1"/>
      </patternFill>
    </fill>
    <fill>
      <patternFill patternType="solid">
        <fgColor theme="8"/>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patternFill>
    </fill>
    <fill>
      <patternFill patternType="solid">
        <fgColor theme="6"/>
      </patternFill>
    </fill>
    <fill>
      <patternFill patternType="solid">
        <fgColor theme="9"/>
      </patternFill>
    </fill>
    <fill>
      <patternFill patternType="solid">
        <fgColor theme="4"/>
        <bgColor theme="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C00000"/>
        <bgColor indexed="64"/>
      </patternFill>
    </fill>
    <fill>
      <patternFill patternType="solid">
        <fgColor rgb="FFFF0000"/>
        <bgColor indexed="64"/>
      </patternFill>
    </fill>
    <fill>
      <patternFill patternType="solid">
        <fgColor rgb="FF93CDDD"/>
        <bgColor rgb="FFB9CDE5"/>
      </patternFill>
    </fill>
    <fill>
      <patternFill patternType="solid">
        <fgColor rgb="FFFFFFFF"/>
        <bgColor rgb="FFFFFFCC"/>
      </patternFill>
    </fill>
    <fill>
      <patternFill patternType="solid">
        <fgColor rgb="FFB9CDE5"/>
        <bgColor rgb="FFC0C0C0"/>
      </patternFill>
    </fill>
    <fill>
      <patternFill patternType="solid">
        <fgColor indexed="52"/>
        <bgColor indexed="51"/>
      </patternFill>
    </fill>
    <fill>
      <patternFill patternType="solid">
        <fgColor indexed="13"/>
        <bgColor indexed="34"/>
      </patternFill>
    </fill>
    <fill>
      <patternFill patternType="solid">
        <fgColor indexed="57"/>
        <bgColor indexed="38"/>
      </patternFill>
    </fill>
    <fill>
      <patternFill patternType="solid">
        <fgColor indexed="47"/>
        <bgColor indexed="41"/>
      </patternFill>
    </fill>
    <fill>
      <patternFill patternType="solid">
        <fgColor indexed="9"/>
        <bgColor indexed="26"/>
      </patternFill>
    </fill>
    <fill>
      <patternFill patternType="solid">
        <fgColor indexed="55"/>
        <bgColor indexed="37"/>
      </patternFill>
    </fill>
    <fill>
      <patternFill patternType="solid">
        <fgColor indexed="40"/>
        <bgColor indexed="49"/>
      </patternFill>
    </fill>
    <fill>
      <patternFill patternType="solid">
        <fgColor rgb="FFC0C0C0"/>
        <bgColor rgb="FFC0C0C0"/>
      </patternFill>
    </fill>
    <fill>
      <patternFill patternType="solid">
        <fgColor rgb="FF198A8A"/>
        <bgColor rgb="FF198A8A"/>
      </patternFill>
    </fill>
    <fill>
      <patternFill patternType="solid">
        <fgColor rgb="FFFF950E"/>
        <bgColor rgb="FFFF950E"/>
      </patternFill>
    </fill>
    <fill>
      <patternFill patternType="solid">
        <fgColor rgb="FFFF6633"/>
        <bgColor rgb="FFFF6633"/>
      </patternFill>
    </fill>
    <fill>
      <patternFill patternType="solid">
        <fgColor rgb="FF99CCFF"/>
        <bgColor rgb="FF99CCFF"/>
      </patternFill>
    </fill>
  </fills>
  <borders count="89">
    <border>
      <left/>
      <right/>
      <top/>
      <bottom/>
      <diagonal/>
    </border>
    <border>
      <left style="mediumDashed">
        <color theme="6" tint="-0.499984740745262"/>
      </left>
      <right style="mediumDashed">
        <color theme="6" tint="-0.499984740745262"/>
      </right>
      <top style="mediumDashed">
        <color theme="6" tint="-0.499984740745262"/>
      </top>
      <bottom style="mediumDashed">
        <color theme="6" tint="-0.499984740745262"/>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medium">
        <color indexed="8"/>
      </left>
      <right style="medium">
        <color indexed="8"/>
      </right>
      <top/>
      <bottom/>
      <diagonal/>
    </border>
    <border>
      <left style="mediumDashed">
        <color theme="9" tint="-0.499984740745262"/>
      </left>
      <right style="mediumDashed">
        <color theme="9" tint="-0.499984740745262"/>
      </right>
      <top style="mediumDashed">
        <color theme="9" tint="-0.499984740745262"/>
      </top>
      <bottom style="mediumDashed">
        <color theme="9" tint="-0.499984740745262"/>
      </bottom>
      <diagonal/>
    </border>
    <border>
      <left style="medium">
        <color indexed="8"/>
      </left>
      <right/>
      <top style="medium">
        <color indexed="8"/>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style="hair">
        <color indexed="8"/>
      </left>
      <right style="hair">
        <color indexed="8"/>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double">
        <color indexed="64"/>
      </bottom>
      <diagonal/>
    </border>
    <border>
      <left/>
      <right/>
      <top/>
      <bottom style="double">
        <color rgb="FFFF8001"/>
      </bottom>
      <diagonal/>
    </border>
    <border>
      <left/>
      <right/>
      <top style="thin">
        <color indexed="64"/>
      </top>
      <bottom style="double">
        <color rgb="FFFF8001"/>
      </bottom>
      <diagonal/>
    </border>
    <border>
      <left/>
      <right style="thin">
        <color indexed="64"/>
      </right>
      <top style="thin">
        <color indexed="64"/>
      </top>
      <bottom/>
      <diagonal/>
    </border>
    <border>
      <left/>
      <right/>
      <top/>
      <bottom style="medium">
        <color theme="4" tint="0.39997558519241921"/>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double">
        <color rgb="FFFF8001"/>
      </bottom>
      <diagonal/>
    </border>
    <border>
      <left style="thin">
        <color indexed="64"/>
      </left>
      <right style="thin">
        <color indexed="64"/>
      </right>
      <top style="double">
        <color rgb="FFFF8001"/>
      </top>
      <bottom style="thin">
        <color indexed="64"/>
      </bottom>
      <diagonal/>
    </border>
    <border>
      <left/>
      <right/>
      <top/>
      <bottom style="thick">
        <color theme="4" tint="0.499984740745262"/>
      </bottom>
      <diagonal/>
    </border>
    <border>
      <left/>
      <right style="thin">
        <color indexed="64"/>
      </right>
      <top/>
      <bottom style="double">
        <color rgb="FFFF8001"/>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right/>
      <top/>
      <bottom style="medium">
        <color auto="1"/>
      </bottom>
      <diagonal/>
    </border>
    <border>
      <left style="medium">
        <color indexed="8"/>
      </left>
      <right style="medium">
        <color indexed="8"/>
      </right>
      <top/>
      <bottom/>
      <diagonal/>
    </border>
    <border>
      <left style="thin">
        <color rgb="FF000000"/>
      </left>
      <right style="thin">
        <color rgb="FF000000"/>
      </right>
      <top style="thin">
        <color rgb="FF000000"/>
      </top>
      <bottom style="thin">
        <color rgb="FF000000"/>
      </bottom>
      <diagonal/>
    </border>
    <border>
      <left/>
      <right style="medium">
        <color rgb="FF000000"/>
      </right>
      <top style="medium">
        <color indexed="64"/>
      </top>
      <bottom style="medium">
        <color indexed="64"/>
      </bottom>
      <diagonal/>
    </border>
    <border>
      <left/>
      <right style="medium">
        <color indexed="64"/>
      </right>
      <top/>
      <bottom/>
      <diagonal/>
    </border>
  </borders>
  <cellStyleXfs count="38">
    <xf numFmtId="0" fontId="0" fillId="0" borderId="0"/>
    <xf numFmtId="0" fontId="4" fillId="0" borderId="0"/>
    <xf numFmtId="2" fontId="5" fillId="5" borderId="1"/>
    <xf numFmtId="165" fontId="4" fillId="7" borderId="5">
      <alignment horizontal="center"/>
    </xf>
    <xf numFmtId="9" fontId="4" fillId="0" borderId="0" applyFont="0" applyFill="0" applyBorder="0" applyAlignment="0" applyProtection="0"/>
    <xf numFmtId="2" fontId="1" fillId="2" borderId="0"/>
    <xf numFmtId="2" fontId="2" fillId="3" borderId="0"/>
    <xf numFmtId="2" fontId="3" fillId="4" borderId="0"/>
    <xf numFmtId="0" fontId="18" fillId="0" borderId="0"/>
    <xf numFmtId="9" fontId="18" fillId="0" borderId="0" applyFont="0" applyFill="0" applyBorder="0" applyAlignment="0" applyProtection="0"/>
    <xf numFmtId="167" fontId="18" fillId="0" borderId="0" applyFont="0" applyFill="0" applyBorder="0" applyAlignment="0" applyProtection="0"/>
    <xf numFmtId="0" fontId="18" fillId="0" borderId="0"/>
    <xf numFmtId="0" fontId="20" fillId="0" borderId="0"/>
    <xf numFmtId="0" fontId="14" fillId="0" borderId="0"/>
    <xf numFmtId="0" fontId="14" fillId="0" borderId="0"/>
    <xf numFmtId="9" fontId="4" fillId="0" borderId="0" applyFont="0" applyFill="0" applyBorder="0" applyAlignment="0" applyProtection="0"/>
    <xf numFmtId="2" fontId="15" fillId="0" borderId="0"/>
    <xf numFmtId="43" fontId="14" fillId="0" borderId="0" applyFont="0" applyFill="0" applyBorder="0" applyAlignment="0" applyProtection="0"/>
    <xf numFmtId="4" fontId="25" fillId="0" borderId="0"/>
    <xf numFmtId="9" fontId="14" fillId="0" borderId="0" applyFont="0" applyFill="0" applyBorder="0" applyAlignment="0" applyProtection="0"/>
    <xf numFmtId="0" fontId="3" fillId="4" borderId="0" applyNumberFormat="0" applyBorder="0" applyAlignment="0" applyProtection="0"/>
    <xf numFmtId="0" fontId="30" fillId="0" borderId="59" applyNumberFormat="0" applyFill="0" applyAlignment="0" applyProtection="0"/>
    <xf numFmtId="2" fontId="30" fillId="0" borderId="59"/>
    <xf numFmtId="0" fontId="5" fillId="0" borderId="0"/>
    <xf numFmtId="168" fontId="14" fillId="0" borderId="0" applyFont="0" applyFill="0" applyBorder="0" applyAlignment="0" applyProtection="0"/>
    <xf numFmtId="0" fontId="5" fillId="0" borderId="0" applyNumberFormat="0" applyFont="0" applyFill="0" applyBorder="0" applyProtection="0">
      <alignment horizontal="left" vertical="center" indent="5"/>
    </xf>
    <xf numFmtId="0" fontId="31" fillId="0" borderId="0" applyNumberFormat="0" applyFill="0" applyBorder="0" applyAlignment="0" applyProtection="0"/>
    <xf numFmtId="0" fontId="34" fillId="18" borderId="0"/>
    <xf numFmtId="0" fontId="35" fillId="0" borderId="0"/>
    <xf numFmtId="0" fontId="37" fillId="0" borderId="62" applyNumberFormat="0" applyFill="0" applyAlignment="0" applyProtection="0"/>
    <xf numFmtId="0" fontId="38" fillId="19" borderId="0" applyNumberFormat="0" applyBorder="0" applyAlignment="0" applyProtection="0"/>
    <xf numFmtId="0" fontId="42" fillId="0" borderId="0" applyNumberFormat="0" applyFill="0" applyBorder="0" applyAlignment="0" applyProtection="0"/>
    <xf numFmtId="0" fontId="43" fillId="0" borderId="72" applyNumberFormat="0" applyFill="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1" fillId="2" borderId="0" applyNumberFormat="0" applyBorder="0" applyAlignment="0" applyProtection="0"/>
    <xf numFmtId="0" fontId="45" fillId="0" borderId="0" applyNumberFormat="0" applyFill="0" applyBorder="0" applyAlignment="0" applyProtection="0"/>
  </cellStyleXfs>
  <cellXfs count="618">
    <xf numFmtId="0" fontId="0" fillId="0" borderId="0" xfId="0"/>
    <xf numFmtId="0" fontId="4" fillId="0" borderId="0" xfId="1"/>
    <xf numFmtId="14" fontId="4" fillId="0" borderId="0" xfId="1" applyNumberFormat="1"/>
    <xf numFmtId="0" fontId="5" fillId="0" borderId="0" xfId="0" applyFont="1"/>
    <xf numFmtId="0" fontId="5" fillId="0" borderId="0" xfId="0" applyFont="1" applyAlignment="1">
      <alignment horizontal="center" vertical="center"/>
    </xf>
    <xf numFmtId="0" fontId="0" fillId="0" borderId="0" xfId="0" applyAlignment="1">
      <alignment horizontal="center" vertical="center"/>
    </xf>
    <xf numFmtId="0" fontId="6" fillId="0" borderId="0" xfId="0" applyFont="1"/>
    <xf numFmtId="0" fontId="7" fillId="0" borderId="0" xfId="0" applyFont="1"/>
    <xf numFmtId="2" fontId="7" fillId="0" borderId="0" xfId="0" applyNumberFormat="1" applyFont="1"/>
    <xf numFmtId="2" fontId="6" fillId="0" borderId="0" xfId="0" applyNumberFormat="1" applyFont="1"/>
    <xf numFmtId="164" fontId="6" fillId="0" borderId="0" xfId="0" applyNumberFormat="1" applyFont="1"/>
    <xf numFmtId="2" fontId="0" fillId="0" borderId="0" xfId="0" applyNumberFormat="1"/>
    <xf numFmtId="164" fontId="0" fillId="0" borderId="0" xfId="0" applyNumberFormat="1"/>
    <xf numFmtId="2" fontId="0" fillId="0" borderId="0" xfId="0" applyNumberFormat="1" applyFill="1"/>
    <xf numFmtId="0" fontId="4" fillId="0" borderId="3" xfId="1" applyFont="1" applyBorder="1"/>
    <xf numFmtId="0" fontId="9" fillId="0" borderId="2" xfId="1" applyFont="1" applyBorder="1" applyAlignment="1">
      <alignment horizontal="center"/>
    </xf>
    <xf numFmtId="0" fontId="9" fillId="0" borderId="3" xfId="1" applyFont="1" applyBorder="1"/>
    <xf numFmtId="4" fontId="9" fillId="0" borderId="4" xfId="1" applyNumberFormat="1" applyFont="1" applyBorder="1" applyAlignment="1">
      <alignment horizontal="center"/>
    </xf>
    <xf numFmtId="4" fontId="4" fillId="0" borderId="4" xfId="1" applyNumberFormat="1" applyFont="1" applyBorder="1" applyAlignment="1">
      <alignment horizontal="center"/>
    </xf>
    <xf numFmtId="0" fontId="10" fillId="0" borderId="3" xfId="1" applyFont="1" applyBorder="1" applyAlignment="1">
      <alignment horizontal="right"/>
    </xf>
    <xf numFmtId="164" fontId="10" fillId="0" borderId="4" xfId="1" applyNumberFormat="1" applyFont="1" applyBorder="1" applyAlignment="1">
      <alignment horizontal="center"/>
    </xf>
    <xf numFmtId="0" fontId="9" fillId="0" borderId="6" xfId="1" applyFont="1" applyBorder="1"/>
    <xf numFmtId="4" fontId="9" fillId="0" borderId="7" xfId="1" applyNumberFormat="1" applyFont="1" applyBorder="1" applyAlignment="1">
      <alignment horizontal="center"/>
    </xf>
    <xf numFmtId="166" fontId="9" fillId="0" borderId="4" xfId="1" applyNumberFormat="1" applyFont="1" applyBorder="1" applyAlignment="1">
      <alignment horizontal="center"/>
    </xf>
    <xf numFmtId="9" fontId="0" fillId="0" borderId="0" xfId="4" applyFont="1"/>
    <xf numFmtId="0" fontId="9" fillId="0" borderId="8" xfId="1" applyFont="1" applyBorder="1"/>
    <xf numFmtId="9" fontId="9" fillId="0" borderId="4" xfId="1" applyNumberFormat="1" applyFont="1" applyBorder="1" applyAlignment="1">
      <alignment horizontal="center"/>
    </xf>
    <xf numFmtId="0" fontId="9" fillId="0" borderId="7" xfId="1" applyFont="1" applyFill="1" applyBorder="1"/>
    <xf numFmtId="3" fontId="9" fillId="0" borderId="7" xfId="1" applyNumberFormat="1" applyFont="1" applyBorder="1" applyAlignment="1">
      <alignment horizontal="center"/>
    </xf>
    <xf numFmtId="0" fontId="4" fillId="0" borderId="4" xfId="1" applyFont="1" applyBorder="1"/>
    <xf numFmtId="1" fontId="4" fillId="0" borderId="4" xfId="1" applyNumberFormat="1" applyBorder="1"/>
    <xf numFmtId="0" fontId="9" fillId="0" borderId="4" xfId="1" applyFont="1" applyFill="1" applyBorder="1"/>
    <xf numFmtId="165" fontId="9" fillId="0" borderId="4" xfId="1" applyNumberFormat="1" applyFont="1" applyBorder="1" applyAlignment="1">
      <alignment horizontal="center"/>
    </xf>
    <xf numFmtId="0" fontId="4" fillId="0" borderId="4" xfId="1" applyBorder="1"/>
    <xf numFmtId="0" fontId="9" fillId="0" borderId="4" xfId="1" applyFont="1" applyFill="1" applyBorder="1" applyAlignment="1">
      <alignment wrapText="1"/>
    </xf>
    <xf numFmtId="3" fontId="9" fillId="0" borderId="4" xfId="1" applyNumberFormat="1" applyFont="1" applyBorder="1" applyAlignment="1">
      <alignment horizontal="center"/>
    </xf>
    <xf numFmtId="0" fontId="11" fillId="0" borderId="4" xfId="1" applyFont="1" applyFill="1" applyBorder="1" applyAlignment="1">
      <alignment horizontal="right"/>
    </xf>
    <xf numFmtId="3" fontId="11" fillId="0" borderId="4" xfId="1" applyNumberFormat="1" applyFont="1" applyBorder="1" applyAlignment="1">
      <alignment horizontal="right"/>
    </xf>
    <xf numFmtId="0" fontId="11" fillId="0" borderId="4" xfId="1" applyFont="1" applyFill="1" applyBorder="1" applyAlignment="1">
      <alignment horizontal="right" wrapText="1"/>
    </xf>
    <xf numFmtId="4" fontId="11" fillId="0" borderId="4" xfId="1" applyNumberFormat="1" applyFont="1" applyBorder="1" applyAlignment="1">
      <alignment horizontal="right"/>
    </xf>
    <xf numFmtId="9" fontId="9" fillId="0" borderId="4" xfId="4" applyFont="1" applyFill="1" applyBorder="1" applyAlignment="1" applyProtection="1">
      <alignment horizontal="center"/>
    </xf>
    <xf numFmtId="0" fontId="9" fillId="0" borderId="9" xfId="1" applyFont="1" applyFill="1" applyBorder="1"/>
    <xf numFmtId="3" fontId="9" fillId="0" borderId="9" xfId="1" applyNumberFormat="1" applyFont="1" applyBorder="1" applyAlignment="1">
      <alignment horizontal="center"/>
    </xf>
    <xf numFmtId="0" fontId="9" fillId="0" borderId="0" xfId="1" applyFont="1"/>
    <xf numFmtId="1" fontId="10" fillId="0" borderId="0" xfId="1" applyNumberFormat="1" applyFont="1" applyAlignment="1">
      <alignment horizontal="center"/>
    </xf>
    <xf numFmtId="164" fontId="9" fillId="0" borderId="10" xfId="1" applyNumberFormat="1" applyFont="1" applyBorder="1" applyAlignment="1">
      <alignment horizontal="center"/>
    </xf>
    <xf numFmtId="0" fontId="4" fillId="0" borderId="0" xfId="1" applyFont="1" applyAlignment="1">
      <alignment horizontal="right"/>
    </xf>
    <xf numFmtId="166" fontId="4" fillId="0" borderId="10" xfId="1" applyNumberFormat="1" applyBorder="1"/>
    <xf numFmtId="164" fontId="4" fillId="0" borderId="10" xfId="1" applyNumberFormat="1" applyBorder="1"/>
    <xf numFmtId="164" fontId="4" fillId="0" borderId="0" xfId="1" applyNumberFormat="1"/>
    <xf numFmtId="1" fontId="4" fillId="0" borderId="0" xfId="1" applyNumberFormat="1"/>
    <xf numFmtId="3" fontId="9" fillId="0" borderId="3" xfId="1" applyNumberFormat="1" applyFont="1" applyBorder="1" applyAlignment="1">
      <alignment horizontal="center"/>
    </xf>
    <xf numFmtId="3" fontId="4" fillId="0" borderId="4" xfId="1" applyNumberFormat="1" applyFont="1" applyBorder="1" applyAlignment="1">
      <alignment horizontal="center"/>
    </xf>
    <xf numFmtId="2" fontId="1" fillId="2" borderId="0" xfId="5"/>
    <xf numFmtId="0" fontId="0" fillId="0" borderId="0" xfId="0"/>
    <xf numFmtId="0" fontId="5" fillId="0" borderId="0" xfId="0" applyFont="1" applyAlignment="1">
      <alignment vertical="center"/>
    </xf>
    <xf numFmtId="0" fontId="0" fillId="0" borderId="0" xfId="0" applyAlignment="1">
      <alignment vertical="center"/>
    </xf>
    <xf numFmtId="2" fontId="3" fillId="4" borderId="0" xfId="7"/>
    <xf numFmtId="2" fontId="2" fillId="3" borderId="0" xfId="6"/>
    <xf numFmtId="0" fontId="14" fillId="0" borderId="0" xfId="14"/>
    <xf numFmtId="1" fontId="14" fillId="0" borderId="0" xfId="14" applyNumberFormat="1"/>
    <xf numFmtId="9" fontId="14" fillId="0" borderId="0" xfId="14" applyNumberFormat="1"/>
    <xf numFmtId="0" fontId="14" fillId="0" borderId="0" xfId="14" applyAlignment="1">
      <alignment vertical="top" wrapText="1"/>
    </xf>
    <xf numFmtId="0" fontId="21" fillId="0" borderId="25" xfId="14" applyFont="1" applyBorder="1" applyAlignment="1">
      <alignment vertical="top" wrapText="1"/>
    </xf>
    <xf numFmtId="0" fontId="16" fillId="0" borderId="23" xfId="14" applyFont="1" applyBorder="1" applyAlignment="1">
      <alignment horizontal="center" wrapText="1"/>
    </xf>
    <xf numFmtId="0" fontId="16" fillId="0" borderId="22" xfId="14" applyFont="1" applyBorder="1" applyAlignment="1">
      <alignment horizontal="center" wrapText="1"/>
    </xf>
    <xf numFmtId="0" fontId="14" fillId="0" borderId="27" xfId="14" applyBorder="1" applyAlignment="1">
      <alignment horizontal="right"/>
    </xf>
    <xf numFmtId="0" fontId="14" fillId="0" borderId="0" xfId="14" applyBorder="1" applyAlignment="1">
      <alignment horizontal="center" wrapText="1"/>
    </xf>
    <xf numFmtId="0" fontId="14" fillId="0" borderId="27" xfId="14" applyBorder="1" applyAlignment="1">
      <alignment horizontal="center" wrapText="1"/>
    </xf>
    <xf numFmtId="0" fontId="14" fillId="0" borderId="28" xfId="14" applyBorder="1"/>
    <xf numFmtId="0" fontId="14" fillId="0" borderId="29" xfId="14" applyBorder="1" applyAlignment="1">
      <alignment wrapText="1"/>
    </xf>
    <xf numFmtId="0" fontId="14" fillId="0" borderId="27" xfId="14" applyBorder="1" applyAlignment="1">
      <alignment vertical="top" wrapText="1"/>
    </xf>
    <xf numFmtId="1" fontId="14" fillId="0" borderId="0" xfId="14" applyNumberFormat="1" applyBorder="1" applyAlignment="1">
      <alignment horizontal="center" vertical="top" wrapText="1"/>
    </xf>
    <xf numFmtId="0" fontId="14" fillId="0" borderId="27" xfId="14" applyBorder="1"/>
    <xf numFmtId="1" fontId="14" fillId="0" borderId="28" xfId="14" applyNumberFormat="1" applyBorder="1" applyAlignment="1">
      <alignment horizontal="center" vertical="top" wrapText="1"/>
    </xf>
    <xf numFmtId="1" fontId="14" fillId="0" borderId="29" xfId="14" applyNumberFormat="1" applyBorder="1" applyAlignment="1">
      <alignment vertical="top" wrapText="1"/>
    </xf>
    <xf numFmtId="1" fontId="14" fillId="0" borderId="0" xfId="14" applyNumberFormat="1" applyAlignment="1">
      <alignment horizontal="center" vertical="top" wrapText="1"/>
    </xf>
    <xf numFmtId="1" fontId="22" fillId="0" borderId="28" xfId="14" applyNumberFormat="1" applyFont="1" applyBorder="1" applyAlignment="1">
      <alignment horizontal="center" vertical="top" wrapText="1"/>
    </xf>
    <xf numFmtId="0" fontId="16" fillId="0" borderId="30" xfId="14" applyFont="1" applyBorder="1" applyAlignment="1">
      <alignment horizontal="right" vertical="center" wrapText="1"/>
    </xf>
    <xf numFmtId="1" fontId="16" fillId="0" borderId="31" xfId="14" applyNumberFormat="1" applyFont="1" applyBorder="1" applyAlignment="1">
      <alignment horizontal="center" vertical="center" wrapText="1"/>
    </xf>
    <xf numFmtId="0" fontId="14" fillId="0" borderId="30" xfId="14" applyBorder="1"/>
    <xf numFmtId="1" fontId="16" fillId="0" borderId="32" xfId="14" applyNumberFormat="1" applyFont="1" applyBorder="1" applyAlignment="1">
      <alignment horizontal="center" vertical="center" wrapText="1"/>
    </xf>
    <xf numFmtId="1" fontId="14" fillId="0" borderId="33" xfId="14" applyNumberFormat="1" applyBorder="1" applyAlignment="1">
      <alignment vertical="top" wrapText="1"/>
    </xf>
    <xf numFmtId="1" fontId="16" fillId="0" borderId="0" xfId="14" applyNumberFormat="1" applyFont="1" applyAlignment="1">
      <alignment horizontal="center" vertical="center" wrapText="1"/>
    </xf>
    <xf numFmtId="0" fontId="14" fillId="0" borderId="27" xfId="14" applyBorder="1" applyAlignment="1">
      <alignment horizontal="center" vertical="top" wrapText="1"/>
    </xf>
    <xf numFmtId="0" fontId="14" fillId="0" borderId="28" xfId="14" applyBorder="1" applyAlignment="1">
      <alignment horizontal="center" wrapText="1"/>
    </xf>
    <xf numFmtId="0" fontId="14" fillId="0" borderId="29" xfId="14" applyBorder="1" applyAlignment="1">
      <alignment horizontal="center" wrapText="1"/>
    </xf>
    <xf numFmtId="0" fontId="14" fillId="0" borderId="0" xfId="14" applyAlignment="1">
      <alignment horizontal="center" wrapText="1"/>
    </xf>
    <xf numFmtId="0" fontId="14" fillId="0" borderId="0" xfId="14" applyBorder="1" applyAlignment="1">
      <alignment horizontal="center"/>
    </xf>
    <xf numFmtId="1" fontId="14" fillId="0" borderId="27" xfId="14" applyNumberFormat="1" applyBorder="1" applyAlignment="1">
      <alignment horizontal="center"/>
    </xf>
    <xf numFmtId="1" fontId="14" fillId="0" borderId="28" xfId="14" applyNumberFormat="1" applyBorder="1" applyAlignment="1">
      <alignment horizontal="center"/>
    </xf>
    <xf numFmtId="0" fontId="14" fillId="0" borderId="29" xfId="14" applyBorder="1"/>
    <xf numFmtId="10" fontId="14" fillId="0" borderId="0" xfId="15" applyNumberFormat="1" applyFont="1"/>
    <xf numFmtId="0" fontId="14" fillId="0" borderId="27" xfId="14" applyBorder="1" applyAlignment="1">
      <alignment vertical="center" wrapText="1"/>
    </xf>
    <xf numFmtId="0" fontId="14" fillId="0" borderId="0" xfId="14" applyBorder="1" applyAlignment="1">
      <alignment horizontal="center" vertical="center"/>
    </xf>
    <xf numFmtId="1" fontId="22" fillId="0" borderId="27" xfId="14" applyNumberFormat="1" applyFont="1" applyBorder="1" applyAlignment="1">
      <alignment horizontal="center" vertical="center"/>
    </xf>
    <xf numFmtId="1" fontId="22" fillId="0" borderId="28" xfId="14" applyNumberFormat="1" applyFont="1" applyBorder="1" applyAlignment="1">
      <alignment horizontal="center" vertical="center"/>
    </xf>
    <xf numFmtId="1" fontId="14" fillId="0" borderId="29" xfId="14" applyNumberFormat="1" applyBorder="1" applyAlignment="1">
      <alignment horizontal="left" vertical="center" wrapText="1"/>
    </xf>
    <xf numFmtId="0" fontId="14" fillId="0" borderId="27" xfId="14" applyBorder="1" applyAlignment="1">
      <alignment horizontal="left" vertical="center" wrapText="1"/>
    </xf>
    <xf numFmtId="0" fontId="14" fillId="0" borderId="0" xfId="14" applyAlignment="1">
      <alignment horizontal="center" vertical="center"/>
    </xf>
    <xf numFmtId="0" fontId="14" fillId="0" borderId="27" xfId="14" applyBorder="1" applyAlignment="1">
      <alignment horizontal="center"/>
    </xf>
    <xf numFmtId="0" fontId="14" fillId="0" borderId="27" xfId="14" applyBorder="1" applyAlignment="1">
      <alignment horizontal="center" vertical="center"/>
    </xf>
    <xf numFmtId="0" fontId="16" fillId="0" borderId="27" xfId="14" applyFont="1" applyBorder="1" applyAlignment="1">
      <alignment horizontal="right" vertical="top" wrapText="1"/>
    </xf>
    <xf numFmtId="1" fontId="16" fillId="0" borderId="0" xfId="14" applyNumberFormat="1" applyFont="1" applyBorder="1" applyAlignment="1">
      <alignment horizontal="center"/>
    </xf>
    <xf numFmtId="1" fontId="23" fillId="0" borderId="28" xfId="14" applyNumberFormat="1" applyFont="1" applyBorder="1" applyAlignment="1">
      <alignment horizontal="center"/>
    </xf>
    <xf numFmtId="0" fontId="14" fillId="0" borderId="30" xfId="14" applyBorder="1" applyAlignment="1">
      <alignment horizontal="right"/>
    </xf>
    <xf numFmtId="0" fontId="14" fillId="0" borderId="31" xfId="14" applyBorder="1"/>
    <xf numFmtId="1" fontId="24" fillId="0" borderId="30" xfId="14" applyNumberFormat="1" applyFont="1" applyBorder="1"/>
    <xf numFmtId="0" fontId="14" fillId="0" borderId="32" xfId="14" applyBorder="1"/>
    <xf numFmtId="0" fontId="24" fillId="0" borderId="30" xfId="14" applyFont="1" applyBorder="1"/>
    <xf numFmtId="0" fontId="14" fillId="0" borderId="33" xfId="14" applyBorder="1"/>
    <xf numFmtId="0" fontId="14" fillId="0" borderId="0" xfId="14" applyAlignment="1">
      <alignment horizontal="right"/>
    </xf>
    <xf numFmtId="0" fontId="0" fillId="0" borderId="0" xfId="14" applyFont="1"/>
    <xf numFmtId="164" fontId="14" fillId="0" borderId="0" xfId="14" applyNumberFormat="1"/>
    <xf numFmtId="0" fontId="14" fillId="0" borderId="0" xfId="14" applyAlignment="1">
      <alignment horizontal="left"/>
    </xf>
    <xf numFmtId="2" fontId="15" fillId="0" borderId="0" xfId="16"/>
    <xf numFmtId="0" fontId="0" fillId="11" borderId="47" xfId="0" applyFont="1" applyFill="1" applyBorder="1" applyAlignment="1">
      <alignment wrapText="1"/>
    </xf>
    <xf numFmtId="0" fontId="0" fillId="13" borderId="12" xfId="0" applyFont="1" applyFill="1" applyBorder="1" applyAlignment="1">
      <alignment wrapText="1"/>
    </xf>
    <xf numFmtId="0" fontId="5" fillId="0" borderId="0" xfId="0" applyFont="1" applyAlignment="1">
      <alignment horizontal="center" vertical="center"/>
    </xf>
    <xf numFmtId="0" fontId="0" fillId="0" borderId="0" xfId="0" applyAlignment="1">
      <alignment horizontal="center" vertical="center"/>
    </xf>
    <xf numFmtId="0" fontId="0" fillId="0" borderId="31" xfId="0" applyBorder="1"/>
    <xf numFmtId="0" fontId="0" fillId="0" borderId="28" xfId="0" applyBorder="1"/>
    <xf numFmtId="0" fontId="0" fillId="0" borderId="32" xfId="0" applyBorder="1"/>
    <xf numFmtId="0" fontId="0" fillId="0" borderId="22" xfId="0" applyBorder="1"/>
    <xf numFmtId="0" fontId="0" fillId="0" borderId="29" xfId="0" applyBorder="1"/>
    <xf numFmtId="0" fontId="0" fillId="0" borderId="33" xfId="0" applyBorder="1"/>
    <xf numFmtId="0" fontId="0" fillId="0" borderId="48" xfId="0" applyBorder="1"/>
    <xf numFmtId="0" fontId="0" fillId="0" borderId="24" xfId="0" applyBorder="1"/>
    <xf numFmtId="0" fontId="0" fillId="0" borderId="30" xfId="0" applyBorder="1"/>
    <xf numFmtId="0" fontId="0" fillId="0" borderId="49" xfId="0" applyBorder="1"/>
    <xf numFmtId="0" fontId="0" fillId="0" borderId="0" xfId="0" applyBorder="1"/>
    <xf numFmtId="0" fontId="0" fillId="0" borderId="51" xfId="0" applyBorder="1"/>
    <xf numFmtId="0" fontId="0" fillId="0" borderId="50" xfId="0" applyBorder="1"/>
    <xf numFmtId="0" fontId="0" fillId="0" borderId="53" xfId="0" applyBorder="1"/>
    <xf numFmtId="0" fontId="0" fillId="0" borderId="52" xfId="0" applyBorder="1"/>
    <xf numFmtId="0" fontId="0" fillId="0" borderId="27" xfId="0" applyBorder="1"/>
    <xf numFmtId="2" fontId="26" fillId="0" borderId="54" xfId="18" quotePrefix="1" applyNumberFormat="1" applyFont="1" applyBorder="1" applyAlignment="1">
      <alignment horizontal="left" vertical="center"/>
    </xf>
    <xf numFmtId="2" fontId="27" fillId="0" borderId="45" xfId="18" applyNumberFormat="1" applyFont="1" applyBorder="1" applyAlignment="1">
      <alignment horizontal="left" vertical="center" indent="2"/>
    </xf>
    <xf numFmtId="2" fontId="27" fillId="0" borderId="55" xfId="18" applyNumberFormat="1" applyFont="1" applyBorder="1" applyAlignment="1">
      <alignment horizontal="left" vertical="center" indent="2"/>
    </xf>
    <xf numFmtId="43" fontId="16" fillId="15" borderId="56" xfId="17" applyFont="1" applyFill="1" applyBorder="1"/>
    <xf numFmtId="43" fontId="16" fillId="15" borderId="57" xfId="17" applyFont="1" applyFill="1" applyBorder="1"/>
    <xf numFmtId="2" fontId="26" fillId="0" borderId="58" xfId="18" applyNumberFormat="1" applyFont="1" applyBorder="1" applyAlignment="1">
      <alignment horizontal="center" vertical="center"/>
    </xf>
    <xf numFmtId="168" fontId="0" fillId="0" borderId="0" xfId="0" applyNumberFormat="1"/>
    <xf numFmtId="2" fontId="0" fillId="0" borderId="0" xfId="0" applyNumberFormat="1" applyBorder="1"/>
    <xf numFmtId="2" fontId="3" fillId="4" borderId="0" xfId="7" applyBorder="1"/>
    <xf numFmtId="164" fontId="16" fillId="0" borderId="0" xfId="0" applyNumberFormat="1" applyFont="1" applyFill="1" applyBorder="1" applyAlignment="1">
      <alignment horizontal="right"/>
    </xf>
    <xf numFmtId="0" fontId="0" fillId="0" borderId="0" xfId="0"/>
    <xf numFmtId="0" fontId="19" fillId="16" borderId="22" xfId="0" applyFont="1" applyFill="1" applyBorder="1" applyAlignment="1">
      <alignment horizontal="left" vertical="center"/>
    </xf>
    <xf numFmtId="164" fontId="0" fillId="8" borderId="22" xfId="0" applyNumberFormat="1" applyFont="1" applyFill="1" applyBorder="1" applyAlignment="1">
      <alignment horizontal="right"/>
    </xf>
    <xf numFmtId="164" fontId="0" fillId="0" borderId="22" xfId="0" applyNumberFormat="1" applyFont="1" applyBorder="1" applyAlignment="1">
      <alignment horizontal="right"/>
    </xf>
    <xf numFmtId="164" fontId="16" fillId="16" borderId="22" xfId="0" applyNumberFormat="1" applyFont="1" applyFill="1" applyBorder="1" applyAlignment="1">
      <alignment horizontal="right"/>
    </xf>
    <xf numFmtId="2" fontId="7" fillId="0" borderId="0" xfId="0" applyNumberFormat="1" applyFont="1" applyBorder="1"/>
    <xf numFmtId="0" fontId="5" fillId="0" borderId="0" xfId="0" applyFont="1" applyAlignment="1">
      <alignment horizontal="center" vertical="center"/>
    </xf>
    <xf numFmtId="0" fontId="0" fillId="0" borderId="0" xfId="0" applyAlignment="1">
      <alignment horizontal="center" vertical="center"/>
    </xf>
    <xf numFmtId="2" fontId="30" fillId="0" borderId="59" xfId="21" applyNumberFormat="1"/>
    <xf numFmtId="2" fontId="30" fillId="3" borderId="59" xfId="21" applyNumberFormat="1" applyFill="1"/>
    <xf numFmtId="2" fontId="30" fillId="0" borderId="59" xfId="22"/>
    <xf numFmtId="9" fontId="0" fillId="0" borderId="0" xfId="19" applyFont="1"/>
    <xf numFmtId="0" fontId="31" fillId="0" borderId="0" xfId="26"/>
    <xf numFmtId="0" fontId="0" fillId="0" borderId="23" xfId="0" applyBorder="1" applyAlignment="1">
      <alignment wrapText="1"/>
    </xf>
    <xf numFmtId="0" fontId="34" fillId="18" borderId="0" xfId="27"/>
    <xf numFmtId="2" fontId="7" fillId="0" borderId="24" xfId="0" applyNumberFormat="1" applyFont="1" applyBorder="1"/>
    <xf numFmtId="2" fontId="3" fillId="4" borderId="24" xfId="7" applyBorder="1"/>
    <xf numFmtId="2" fontId="0" fillId="0" borderId="24" xfId="0" applyNumberFormat="1" applyBorder="1"/>
    <xf numFmtId="2" fontId="30" fillId="0" borderId="60" xfId="21" applyNumberFormat="1" applyBorder="1"/>
    <xf numFmtId="2" fontId="1" fillId="2" borderId="24" xfId="5" applyBorder="1"/>
    <xf numFmtId="0" fontId="34" fillId="18" borderId="24" xfId="27" applyBorder="1"/>
    <xf numFmtId="0" fontId="34" fillId="18" borderId="61" xfId="27" applyBorder="1"/>
    <xf numFmtId="2" fontId="30" fillId="0" borderId="59" xfId="21" applyNumberFormat="1" applyBorder="1"/>
    <xf numFmtId="2" fontId="30" fillId="0" borderId="59" xfId="22" applyBorder="1"/>
    <xf numFmtId="2" fontId="2" fillId="3" borderId="0" xfId="6" applyBorder="1"/>
    <xf numFmtId="2" fontId="30" fillId="3" borderId="59" xfId="21" applyNumberFormat="1" applyFill="1" applyBorder="1"/>
    <xf numFmtId="2" fontId="6" fillId="17" borderId="31" xfId="0" applyNumberFormat="1" applyFont="1" applyFill="1" applyBorder="1"/>
    <xf numFmtId="2" fontId="7" fillId="17" borderId="31" xfId="0" applyNumberFormat="1" applyFont="1" applyFill="1" applyBorder="1"/>
    <xf numFmtId="2" fontId="7" fillId="17" borderId="32" xfId="0" applyNumberFormat="1" applyFont="1" applyFill="1" applyBorder="1"/>
    <xf numFmtId="2" fontId="0" fillId="0" borderId="61" xfId="0" applyNumberFormat="1" applyBorder="1"/>
    <xf numFmtId="2" fontId="0" fillId="0" borderId="28" xfId="0" applyNumberFormat="1" applyBorder="1"/>
    <xf numFmtId="2" fontId="1" fillId="2" borderId="0" xfId="5" applyBorder="1"/>
    <xf numFmtId="2" fontId="2" fillId="3" borderId="24" xfId="6" applyBorder="1"/>
    <xf numFmtId="2" fontId="0" fillId="0" borderId="0" xfId="0" applyNumberFormat="1" applyFill="1" applyBorder="1"/>
    <xf numFmtId="0" fontId="7" fillId="17" borderId="33" xfId="0" applyFont="1" applyFill="1" applyBorder="1"/>
    <xf numFmtId="0" fontId="7" fillId="0" borderId="25" xfId="0" applyFont="1" applyBorder="1"/>
    <xf numFmtId="0" fontId="5" fillId="0" borderId="23" xfId="0" applyFont="1" applyBorder="1" applyAlignment="1">
      <alignment wrapText="1"/>
    </xf>
    <xf numFmtId="0" fontId="5" fillId="0" borderId="26" xfId="0" applyFont="1" applyBorder="1" applyAlignment="1">
      <alignment wrapText="1"/>
    </xf>
    <xf numFmtId="2" fontId="0" fillId="0" borderId="49" xfId="0" applyNumberFormat="1" applyBorder="1"/>
    <xf numFmtId="2" fontId="0" fillId="0" borderId="29" xfId="0" applyNumberFormat="1" applyBorder="1"/>
    <xf numFmtId="169" fontId="0" fillId="0" borderId="0" xfId="24" applyNumberFormat="1" applyFont="1"/>
    <xf numFmtId="169" fontId="0" fillId="0" borderId="0" xfId="0" applyNumberFormat="1"/>
    <xf numFmtId="166" fontId="16" fillId="16" borderId="22" xfId="0" applyNumberFormat="1" applyFont="1" applyFill="1" applyBorder="1"/>
    <xf numFmtId="166" fontId="32" fillId="0" borderId="22" xfId="0" applyNumberFormat="1" applyFont="1" applyBorder="1"/>
    <xf numFmtId="166" fontId="33" fillId="16" borderId="22" xfId="0" applyNumberFormat="1" applyFont="1" applyFill="1" applyBorder="1"/>
    <xf numFmtId="166" fontId="0" fillId="0" borderId="22" xfId="0" applyNumberFormat="1" applyFont="1" applyBorder="1"/>
    <xf numFmtId="166" fontId="16" fillId="16" borderId="33" xfId="0" applyNumberFormat="1" applyFont="1" applyFill="1" applyBorder="1"/>
    <xf numFmtId="164" fontId="16" fillId="16" borderId="33" xfId="0" applyNumberFormat="1" applyFont="1" applyFill="1" applyBorder="1" applyAlignment="1">
      <alignment horizontal="right"/>
    </xf>
    <xf numFmtId="0" fontId="16" fillId="0" borderId="22" xfId="0" applyFont="1" applyBorder="1"/>
    <xf numFmtId="0" fontId="0" fillId="10" borderId="22" xfId="0" applyFont="1" applyFill="1" applyBorder="1"/>
    <xf numFmtId="0" fontId="0" fillId="20" borderId="22" xfId="0" applyFont="1" applyFill="1" applyBorder="1"/>
    <xf numFmtId="0" fontId="37" fillId="0" borderId="62" xfId="29"/>
    <xf numFmtId="2" fontId="0" fillId="0" borderId="22" xfId="0" applyNumberFormat="1" applyBorder="1"/>
    <xf numFmtId="9" fontId="0" fillId="0" borderId="22" xfId="19" applyFont="1" applyBorder="1"/>
    <xf numFmtId="0" fontId="29" fillId="21" borderId="0" xfId="8" applyFont="1" applyFill="1"/>
    <xf numFmtId="0" fontId="39" fillId="21" borderId="0" xfId="8" applyFont="1" applyFill="1" applyAlignment="1">
      <alignment horizontal="center"/>
    </xf>
    <xf numFmtId="0" fontId="40" fillId="21" borderId="0" xfId="8" applyFont="1" applyFill="1" applyAlignment="1">
      <alignment horizontal="center"/>
    </xf>
    <xf numFmtId="0" fontId="29" fillId="0" borderId="22"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2" xfId="0" applyFont="1" applyFill="1" applyBorder="1" applyAlignment="1">
      <alignment horizontal="center" vertical="center" wrapText="1"/>
    </xf>
    <xf numFmtId="0" fontId="0" fillId="0" borderId="22" xfId="0" applyBorder="1" applyAlignment="1">
      <alignment wrapText="1"/>
    </xf>
    <xf numFmtId="0" fontId="0" fillId="0" borderId="22" xfId="0" applyFill="1" applyBorder="1"/>
    <xf numFmtId="2" fontId="38" fillId="19" borderId="22" xfId="30" applyNumberFormat="1" applyBorder="1"/>
    <xf numFmtId="9" fontId="38" fillId="19" borderId="22" xfId="30" applyNumberFormat="1" applyBorder="1"/>
    <xf numFmtId="9" fontId="0" fillId="0" borderId="22" xfId="0" applyNumberFormat="1" applyBorder="1"/>
    <xf numFmtId="0" fontId="0" fillId="11" borderId="31" xfId="0" applyFont="1" applyFill="1" applyBorder="1" applyAlignment="1">
      <alignment wrapText="1"/>
    </xf>
    <xf numFmtId="10" fontId="0" fillId="0" borderId="22" xfId="0" applyNumberFormat="1" applyBorder="1"/>
    <xf numFmtId="165" fontId="38" fillId="19" borderId="22" xfId="30" applyNumberFormat="1" applyBorder="1"/>
    <xf numFmtId="165" fontId="0" fillId="0" borderId="22" xfId="19" applyNumberFormat="1" applyFont="1" applyBorder="1"/>
    <xf numFmtId="0" fontId="0" fillId="0" borderId="26" xfId="0" applyBorder="1"/>
    <xf numFmtId="0" fontId="16" fillId="0" borderId="22" xfId="0" applyFont="1" applyBorder="1" applyAlignment="1">
      <alignment wrapText="1"/>
    </xf>
    <xf numFmtId="0" fontId="38" fillId="19" borderId="0" xfId="30" applyAlignment="1">
      <alignment wrapText="1"/>
    </xf>
    <xf numFmtId="0" fontId="0" fillId="0" borderId="61" xfId="0" applyBorder="1"/>
    <xf numFmtId="0" fontId="0" fillId="13" borderId="67" xfId="0" applyFont="1" applyFill="1" applyBorder="1" applyAlignment="1">
      <alignment wrapText="1"/>
    </xf>
    <xf numFmtId="0" fontId="41" fillId="0" borderId="0" xfId="0" applyFont="1" applyBorder="1"/>
    <xf numFmtId="0" fontId="41" fillId="0" borderId="0" xfId="0" applyFont="1" applyFill="1" applyBorder="1"/>
    <xf numFmtId="0" fontId="0" fillId="0" borderId="23" xfId="0" applyBorder="1"/>
    <xf numFmtId="2" fontId="3" fillId="4" borderId="22" xfId="7" applyBorder="1"/>
    <xf numFmtId="2" fontId="2" fillId="3" borderId="22" xfId="6" applyBorder="1"/>
    <xf numFmtId="2" fontId="1" fillId="2" borderId="22" xfId="5" applyBorder="1"/>
    <xf numFmtId="2" fontId="32" fillId="0" borderId="22" xfId="0" applyNumberFormat="1" applyFont="1" applyBorder="1"/>
    <xf numFmtId="2" fontId="33" fillId="17" borderId="22" xfId="0" applyNumberFormat="1" applyFont="1" applyFill="1" applyBorder="1"/>
    <xf numFmtId="2" fontId="16" fillId="0" borderId="22" xfId="0" applyNumberFormat="1" applyFont="1" applyBorder="1"/>
    <xf numFmtId="2" fontId="3" fillId="4" borderId="29" xfId="7" applyBorder="1"/>
    <xf numFmtId="2" fontId="1" fillId="2" borderId="29" xfId="5" applyBorder="1"/>
    <xf numFmtId="2" fontId="1" fillId="2" borderId="33" xfId="5" applyBorder="1"/>
    <xf numFmtId="2" fontId="32" fillId="0" borderId="29" xfId="0" applyNumberFormat="1" applyFont="1" applyBorder="1"/>
    <xf numFmtId="0" fontId="32" fillId="0" borderId="29" xfId="0" applyFont="1" applyBorder="1"/>
    <xf numFmtId="0" fontId="16" fillId="0" borderId="0" xfId="0" applyFont="1"/>
    <xf numFmtId="2" fontId="0" fillId="0" borderId="33" xfId="0" applyNumberFormat="1" applyBorder="1"/>
    <xf numFmtId="10" fontId="0" fillId="0" borderId="22" xfId="19" applyNumberFormat="1" applyFont="1" applyBorder="1"/>
    <xf numFmtId="0" fontId="3" fillId="4" borderId="22" xfId="20" applyBorder="1"/>
    <xf numFmtId="2" fontId="0" fillId="0" borderId="22" xfId="19" applyNumberFormat="1" applyFont="1" applyBorder="1"/>
    <xf numFmtId="2" fontId="30" fillId="0" borderId="70" xfId="22" applyBorder="1"/>
    <xf numFmtId="2" fontId="30" fillId="0" borderId="71" xfId="22" applyBorder="1"/>
    <xf numFmtId="0" fontId="0" fillId="0" borderId="26" xfId="0" applyBorder="1"/>
    <xf numFmtId="9" fontId="1" fillId="2" borderId="22" xfId="19" applyFont="1" applyFill="1" applyBorder="1"/>
    <xf numFmtId="2" fontId="1" fillId="2" borderId="28" xfId="5" applyBorder="1"/>
    <xf numFmtId="2" fontId="30" fillId="0" borderId="73" xfId="22" applyBorder="1"/>
    <xf numFmtId="2" fontId="30" fillId="0" borderId="32" xfId="22" applyBorder="1"/>
    <xf numFmtId="0" fontId="16" fillId="13" borderId="20" xfId="0" applyFont="1" applyFill="1" applyBorder="1" applyAlignment="1">
      <alignment horizontal="center" vertical="center"/>
    </xf>
    <xf numFmtId="0" fontId="0" fillId="0" borderId="17" xfId="0" applyBorder="1" applyAlignment="1">
      <alignment horizontal="center" vertical="center"/>
    </xf>
    <xf numFmtId="0" fontId="16" fillId="12" borderId="15" xfId="0" applyFont="1" applyFill="1" applyBorder="1" applyAlignment="1">
      <alignment horizontal="center" vertical="center"/>
    </xf>
    <xf numFmtId="0" fontId="42" fillId="0" borderId="0" xfId="31"/>
    <xf numFmtId="0" fontId="43" fillId="0" borderId="72" xfId="32"/>
    <xf numFmtId="2" fontId="1" fillId="2" borderId="0" xfId="5" applyAlignment="1">
      <alignment horizontal="center" wrapText="1"/>
    </xf>
    <xf numFmtId="2" fontId="3" fillId="4" borderId="0" xfId="7" applyAlignment="1">
      <alignment horizontal="center" wrapText="1"/>
    </xf>
    <xf numFmtId="2" fontId="2" fillId="3" borderId="0" xfId="6" applyAlignment="1">
      <alignment horizontal="center" wrapText="1"/>
    </xf>
    <xf numFmtId="0" fontId="34" fillId="18" borderId="0" xfId="27" applyAlignment="1">
      <alignment horizontal="center" wrapText="1"/>
    </xf>
    <xf numFmtId="0" fontId="30" fillId="0" borderId="0" xfId="21" applyBorder="1" applyAlignment="1">
      <alignment horizontal="center" wrapText="1"/>
    </xf>
    <xf numFmtId="0" fontId="38" fillId="19" borderId="0" xfId="30" applyAlignment="1">
      <alignment horizontal="center"/>
    </xf>
    <xf numFmtId="0" fontId="38" fillId="22" borderId="0" xfId="33" applyAlignment="1">
      <alignment horizontal="center"/>
    </xf>
    <xf numFmtId="0" fontId="38" fillId="23" borderId="0" xfId="34" applyAlignment="1">
      <alignment horizontal="center"/>
    </xf>
    <xf numFmtId="0" fontId="34" fillId="18" borderId="28" xfId="27" applyBorder="1"/>
    <xf numFmtId="0" fontId="0" fillId="0" borderId="0" xfId="0" applyAlignment="1">
      <alignment wrapText="1"/>
    </xf>
    <xf numFmtId="0" fontId="38" fillId="24" borderId="0" xfId="35" applyAlignment="1">
      <alignment horizontal="center"/>
    </xf>
    <xf numFmtId="2" fontId="26" fillId="0" borderId="46" xfId="18" applyNumberFormat="1" applyFont="1" applyBorder="1" applyAlignment="1">
      <alignment vertical="center"/>
    </xf>
    <xf numFmtId="49" fontId="26" fillId="0" borderId="69" xfId="18" applyNumberFormat="1" applyFont="1" applyBorder="1" applyAlignment="1">
      <alignment horizontal="center" vertical="center"/>
    </xf>
    <xf numFmtId="168" fontId="19" fillId="15" borderId="69" xfId="24" applyFont="1" applyFill="1" applyBorder="1"/>
    <xf numFmtId="2" fontId="26" fillId="0" borderId="43" xfId="18" applyNumberFormat="1" applyFont="1" applyBorder="1" applyAlignment="1">
      <alignment vertical="center"/>
    </xf>
    <xf numFmtId="49" fontId="26" fillId="0" borderId="75" xfId="18" applyNumberFormat="1" applyFont="1" applyBorder="1" applyAlignment="1">
      <alignment horizontal="center" vertical="center"/>
    </xf>
    <xf numFmtId="168" fontId="16" fillId="15" borderId="44" xfId="24" applyFont="1" applyFill="1" applyBorder="1"/>
    <xf numFmtId="49" fontId="27" fillId="0" borderId="25" xfId="18" applyNumberFormat="1" applyFont="1" applyBorder="1" applyAlignment="1">
      <alignment horizontal="center" vertical="center"/>
    </xf>
    <xf numFmtId="168" fontId="16" fillId="15" borderId="56" xfId="24" applyFont="1" applyFill="1" applyBorder="1"/>
    <xf numFmtId="0" fontId="27" fillId="0" borderId="45" xfId="25" applyFont="1" applyBorder="1">
      <alignment horizontal="left" vertical="center" indent="5"/>
    </xf>
    <xf numFmtId="49" fontId="26" fillId="0" borderId="25" xfId="25" applyNumberFormat="1" applyFont="1" applyBorder="1" applyAlignment="1">
      <alignment horizontal="center" vertical="center"/>
    </xf>
    <xf numFmtId="49" fontId="27" fillId="0" borderId="25" xfId="25" applyNumberFormat="1" applyFont="1" applyBorder="1" applyAlignment="1">
      <alignment horizontal="center" vertical="center"/>
    </xf>
    <xf numFmtId="2" fontId="26" fillId="0" borderId="54" xfId="18" applyNumberFormat="1" applyFont="1" applyBorder="1" applyAlignment="1">
      <alignment vertical="center"/>
    </xf>
    <xf numFmtId="49" fontId="26" fillId="0" borderId="30" xfId="18" applyNumberFormat="1" applyFont="1" applyBorder="1" applyAlignment="1">
      <alignment horizontal="center" vertical="center"/>
    </xf>
    <xf numFmtId="2" fontId="26" fillId="0" borderId="43" xfId="18" quotePrefix="1" applyNumberFormat="1" applyFont="1" applyBorder="1" applyAlignment="1">
      <alignment horizontal="left" vertical="center"/>
    </xf>
    <xf numFmtId="168" fontId="0" fillId="15" borderId="76" xfId="0" applyNumberFormat="1" applyFill="1" applyBorder="1"/>
    <xf numFmtId="168" fontId="0" fillId="15" borderId="78" xfId="0" applyNumberFormat="1" applyFill="1" applyBorder="1"/>
    <xf numFmtId="168" fontId="19" fillId="15" borderId="69" xfId="24" applyNumberFormat="1" applyFont="1" applyFill="1" applyBorder="1"/>
    <xf numFmtId="168" fontId="16" fillId="15" borderId="44" xfId="24" applyNumberFormat="1" applyFont="1" applyFill="1" applyBorder="1"/>
    <xf numFmtId="168" fontId="16" fillId="15" borderId="56" xfId="24" applyNumberFormat="1" applyFont="1" applyFill="1" applyBorder="1"/>
    <xf numFmtId="168" fontId="16" fillId="15" borderId="33" xfId="24" applyNumberFormat="1" applyFont="1" applyFill="1" applyBorder="1"/>
    <xf numFmtId="0" fontId="36" fillId="0" borderId="0" xfId="28" applyFont="1" applyBorder="1" applyAlignment="1">
      <alignment horizontal="right"/>
    </xf>
    <xf numFmtId="169" fontId="0" fillId="0" borderId="0" xfId="24" applyNumberFormat="1" applyFont="1" applyBorder="1"/>
    <xf numFmtId="9" fontId="0" fillId="0" borderId="33" xfId="19" applyFont="1" applyBorder="1"/>
    <xf numFmtId="168" fontId="19" fillId="15" borderId="65" xfId="24" applyNumberFormat="1" applyFont="1" applyFill="1" applyBorder="1"/>
    <xf numFmtId="168" fontId="16" fillId="15" borderId="75" xfId="24" applyNumberFormat="1" applyFont="1" applyFill="1" applyBorder="1"/>
    <xf numFmtId="168" fontId="16" fillId="15" borderId="30" xfId="24" applyNumberFormat="1" applyFont="1" applyFill="1" applyBorder="1"/>
    <xf numFmtId="168" fontId="0" fillId="15" borderId="34" xfId="0" applyNumberFormat="1" applyFill="1" applyBorder="1"/>
    <xf numFmtId="168" fontId="0" fillId="15" borderId="37" xfId="0" applyNumberFormat="1" applyFill="1" applyBorder="1"/>
    <xf numFmtId="0" fontId="0" fillId="10" borderId="61" xfId="0" applyFill="1" applyBorder="1" applyAlignment="1">
      <alignment horizontal="center"/>
    </xf>
    <xf numFmtId="0" fontId="16" fillId="10" borderId="22" xfId="0" applyFont="1" applyFill="1" applyBorder="1" applyAlignment="1">
      <alignment horizontal="center"/>
    </xf>
    <xf numFmtId="0" fontId="32" fillId="0" borderId="0" xfId="0" applyFont="1"/>
    <xf numFmtId="0" fontId="0" fillId="26" borderId="80" xfId="0" applyFont="1" applyFill="1" applyBorder="1" applyAlignment="1">
      <alignment wrapText="1"/>
    </xf>
    <xf numFmtId="0" fontId="0" fillId="0" borderId="80" xfId="0" applyFont="1" applyBorder="1" applyAlignment="1">
      <alignment wrapText="1"/>
    </xf>
    <xf numFmtId="0" fontId="16" fillId="0" borderId="0" xfId="0" applyFont="1" applyAlignment="1">
      <alignment wrapText="1"/>
    </xf>
    <xf numFmtId="0" fontId="16" fillId="0" borderId="0" xfId="0" applyFont="1" applyAlignment="1">
      <alignment horizontal="left" wrapText="1"/>
    </xf>
    <xf numFmtId="0" fontId="16" fillId="0" borderId="79" xfId="0" applyFont="1" applyBorder="1" applyAlignment="1">
      <alignment wrapText="1"/>
    </xf>
    <xf numFmtId="14" fontId="0" fillId="0" borderId="0" xfId="0" applyNumberFormat="1"/>
    <xf numFmtId="0" fontId="32" fillId="0" borderId="0" xfId="0" applyFont="1" applyAlignment="1">
      <alignment horizontal="right"/>
    </xf>
    <xf numFmtId="0" fontId="32" fillId="0" borderId="0" xfId="0" applyFont="1" applyAlignment="1">
      <alignment horizontal="right" wrapText="1"/>
    </xf>
    <xf numFmtId="14" fontId="0" fillId="0" borderId="0" xfId="0" applyNumberFormat="1" applyFont="1" applyAlignment="1">
      <alignment horizontal="left" wrapText="1"/>
    </xf>
    <xf numFmtId="0" fontId="34" fillId="18" borderId="22" xfId="27" applyBorder="1"/>
    <xf numFmtId="0" fontId="44" fillId="25" borderId="0" xfId="0" applyFont="1" applyFill="1" applyBorder="1" applyAlignment="1">
      <alignment wrapText="1"/>
    </xf>
    <xf numFmtId="0" fontId="34" fillId="18" borderId="0" xfId="27"/>
    <xf numFmtId="2" fontId="3" fillId="4" borderId="0" xfId="7"/>
    <xf numFmtId="0" fontId="34" fillId="18" borderId="0" xfId="27"/>
    <xf numFmtId="0" fontId="0" fillId="0" borderId="26" xfId="0" applyBorder="1"/>
    <xf numFmtId="2" fontId="0" fillId="0" borderId="23" xfId="0" applyNumberFormat="1" applyBorder="1"/>
    <xf numFmtId="2" fontId="33" fillId="0" borderId="33" xfId="0" applyNumberFormat="1" applyFont="1" applyBorder="1"/>
    <xf numFmtId="2" fontId="1" fillId="2" borderId="59" xfId="36" applyNumberFormat="1" applyBorder="1"/>
    <xf numFmtId="2" fontId="1" fillId="2" borderId="0" xfId="5"/>
    <xf numFmtId="0" fontId="0" fillId="0" borderId="25" xfId="0" applyBorder="1"/>
    <xf numFmtId="0" fontId="0" fillId="0" borderId="25" xfId="0" applyBorder="1" applyAlignment="1">
      <alignment horizontal="center"/>
    </xf>
    <xf numFmtId="2" fontId="1" fillId="2" borderId="0" xfId="5"/>
    <xf numFmtId="0" fontId="0" fillId="0" borderId="26" xfId="0" applyBorder="1"/>
    <xf numFmtId="0" fontId="16" fillId="0" borderId="22" xfId="0" applyFont="1" applyBorder="1" applyAlignment="1">
      <alignment horizontal="center"/>
    </xf>
    <xf numFmtId="0" fontId="34" fillId="18" borderId="29" xfId="27" applyBorder="1"/>
    <xf numFmtId="9" fontId="30" fillId="0" borderId="22" xfId="19" applyFont="1" applyBorder="1"/>
    <xf numFmtId="0" fontId="16" fillId="0" borderId="0" xfId="0" applyFont="1" applyBorder="1"/>
    <xf numFmtId="0" fontId="0" fillId="27" borderId="0" xfId="0" applyFill="1"/>
    <xf numFmtId="0" fontId="0" fillId="28" borderId="22" xfId="0" applyFill="1" applyBorder="1"/>
    <xf numFmtId="0" fontId="16" fillId="0" borderId="0" xfId="0" applyFont="1" applyAlignment="1">
      <alignment horizontal="left"/>
    </xf>
    <xf numFmtId="1" fontId="0" fillId="0" borderId="0" xfId="0" applyNumberFormat="1"/>
    <xf numFmtId="0" fontId="0" fillId="0" borderId="22" xfId="0" applyBorder="1" applyAlignment="1">
      <alignment horizontal="right"/>
    </xf>
    <xf numFmtId="0" fontId="0" fillId="0" borderId="0" xfId="0" applyAlignment="1">
      <alignment horizontal="right"/>
    </xf>
    <xf numFmtId="0" fontId="0" fillId="0" borderId="29" xfId="0" applyFill="1" applyBorder="1" applyAlignment="1">
      <alignment horizontal="right"/>
    </xf>
    <xf numFmtId="0" fontId="0" fillId="29" borderId="22" xfId="0" applyFill="1" applyBorder="1"/>
    <xf numFmtId="1" fontId="0" fillId="0" borderId="22" xfId="0" applyNumberFormat="1" applyBorder="1"/>
    <xf numFmtId="1" fontId="0" fillId="28" borderId="22" xfId="0" applyNumberFormat="1" applyFill="1" applyBorder="1"/>
    <xf numFmtId="0" fontId="15" fillId="0" borderId="0" xfId="0" applyFont="1"/>
    <xf numFmtId="0" fontId="0" fillId="7" borderId="0" xfId="0" applyFill="1"/>
    <xf numFmtId="0" fontId="0" fillId="8" borderId="22" xfId="0" applyFill="1" applyBorder="1"/>
    <xf numFmtId="0" fontId="0" fillId="30" borderId="22" xfId="0" applyFill="1" applyBorder="1"/>
    <xf numFmtId="0" fontId="0" fillId="0" borderId="22" xfId="0" applyFill="1" applyBorder="1" applyAlignment="1">
      <alignment horizontal="right"/>
    </xf>
    <xf numFmtId="0" fontId="0" fillId="0" borderId="0" xfId="0" applyFill="1" applyBorder="1" applyAlignment="1">
      <alignment horizontal="right"/>
    </xf>
    <xf numFmtId="0" fontId="0" fillId="30" borderId="0" xfId="0" applyFill="1" applyBorder="1"/>
    <xf numFmtId="0" fontId="0" fillId="27" borderId="22" xfId="0" applyFill="1" applyBorder="1"/>
    <xf numFmtId="0" fontId="0" fillId="31" borderId="0" xfId="0" applyFill="1"/>
    <xf numFmtId="0" fontId="0" fillId="31" borderId="22" xfId="0" applyFill="1" applyBorder="1"/>
    <xf numFmtId="0" fontId="0" fillId="8" borderId="0" xfId="0" applyFill="1" applyBorder="1"/>
    <xf numFmtId="0" fontId="46" fillId="32" borderId="0" xfId="37" applyNumberFormat="1" applyFont="1" applyFill="1"/>
    <xf numFmtId="0" fontId="47" fillId="32" borderId="0" xfId="37" applyNumberFormat="1" applyFont="1" applyFill="1" applyAlignment="1">
      <alignment horizontal="center"/>
    </xf>
    <xf numFmtId="0" fontId="47" fillId="33" borderId="0" xfId="37" applyNumberFormat="1" applyFont="1" applyFill="1"/>
    <xf numFmtId="0" fontId="47" fillId="33" borderId="81" xfId="37" applyNumberFormat="1" applyFont="1" applyFill="1" applyBorder="1" applyAlignment="1">
      <alignment horizontal="left"/>
    </xf>
    <xf numFmtId="0" fontId="48" fillId="33" borderId="82" xfId="37" applyNumberFormat="1" applyFont="1" applyFill="1" applyBorder="1" applyAlignment="1">
      <alignment horizontal="center"/>
    </xf>
    <xf numFmtId="0" fontId="47" fillId="33" borderId="14" xfId="37" applyNumberFormat="1" applyFont="1" applyFill="1" applyBorder="1"/>
    <xf numFmtId="164" fontId="49" fillId="33" borderId="0" xfId="37" applyNumberFormat="1" applyFont="1" applyFill="1" applyBorder="1" applyAlignment="1">
      <alignment horizontal="center"/>
    </xf>
    <xf numFmtId="2" fontId="14" fillId="0" borderId="0" xfId="19" applyNumberFormat="1"/>
    <xf numFmtId="0" fontId="47" fillId="33" borderId="83" xfId="37" applyNumberFormat="1" applyFont="1" applyFill="1" applyBorder="1"/>
    <xf numFmtId="164" fontId="47" fillId="33" borderId="0" xfId="37" applyNumberFormat="1" applyFont="1" applyFill="1" applyBorder="1" applyAlignment="1">
      <alignment horizontal="center"/>
    </xf>
    <xf numFmtId="0" fontId="47" fillId="33" borderId="18" xfId="37" applyNumberFormat="1" applyFont="1" applyFill="1" applyBorder="1"/>
    <xf numFmtId="164" fontId="47" fillId="33" borderId="84" xfId="37" applyNumberFormat="1" applyFont="1" applyFill="1" applyBorder="1" applyAlignment="1">
      <alignment horizontal="center"/>
    </xf>
    <xf numFmtId="2" fontId="1" fillId="2" borderId="0" xfId="5"/>
    <xf numFmtId="2" fontId="3" fillId="4" borderId="0" xfId="7"/>
    <xf numFmtId="0" fontId="0" fillId="0" borderId="25" xfId="0" applyBorder="1"/>
    <xf numFmtId="166" fontId="16" fillId="16" borderId="22" xfId="0" applyNumberFormat="1" applyFont="1" applyFill="1" applyBorder="1" applyAlignment="1">
      <alignment wrapText="1"/>
    </xf>
    <xf numFmtId="166" fontId="0" fillId="0" borderId="22" xfId="0" applyNumberFormat="1" applyFont="1" applyBorder="1" applyAlignment="1">
      <alignment wrapText="1"/>
    </xf>
    <xf numFmtId="0" fontId="0" fillId="17" borderId="22" xfId="0" applyFill="1" applyBorder="1" applyAlignment="1">
      <alignment horizontal="left" vertical="top" wrapText="1"/>
    </xf>
    <xf numFmtId="0" fontId="0" fillId="17" borderId="22" xfId="0" applyFill="1" applyBorder="1" applyAlignment="1">
      <alignment horizontal="left" vertical="top"/>
    </xf>
    <xf numFmtId="0" fontId="0" fillId="17" borderId="49" xfId="0" applyFill="1" applyBorder="1" applyAlignment="1">
      <alignment horizontal="left" vertical="top"/>
    </xf>
    <xf numFmtId="0" fontId="50" fillId="0" borderId="0" xfId="0" applyFont="1"/>
    <xf numFmtId="0" fontId="0" fillId="17" borderId="22" xfId="0" applyFill="1" applyBorder="1" applyAlignment="1">
      <alignment horizontal="center" vertical="top"/>
    </xf>
    <xf numFmtId="9" fontId="38" fillId="19" borderId="22" xfId="19" applyFont="1" applyFill="1" applyBorder="1"/>
    <xf numFmtId="0" fontId="0" fillId="0" borderId="0" xfId="0" applyFill="1" applyBorder="1"/>
    <xf numFmtId="0" fontId="51" fillId="34" borderId="22" xfId="0" applyFont="1" applyFill="1" applyBorder="1" applyAlignment="1">
      <alignment horizontal="left" vertical="center"/>
    </xf>
    <xf numFmtId="164" fontId="52" fillId="34" borderId="22" xfId="0" applyNumberFormat="1" applyFont="1" applyFill="1" applyBorder="1" applyAlignment="1">
      <alignment horizontal="right"/>
    </xf>
    <xf numFmtId="0" fontId="46" fillId="0" borderId="22" xfId="0" applyFont="1" applyBorder="1" applyAlignment="1">
      <alignment horizontal="center" vertical="center"/>
    </xf>
    <xf numFmtId="0" fontId="52" fillId="0" borderId="22" xfId="0" applyFont="1" applyBorder="1" applyAlignment="1">
      <alignment horizontal="center" vertical="center"/>
    </xf>
    <xf numFmtId="0" fontId="29" fillId="0" borderId="22" xfId="0" applyFont="1" applyBorder="1" applyAlignment="1">
      <alignment horizontal="center" vertical="center"/>
    </xf>
    <xf numFmtId="0" fontId="16" fillId="0" borderId="22" xfId="0" applyFont="1" applyBorder="1" applyAlignment="1">
      <alignment horizontal="center" vertical="center"/>
    </xf>
    <xf numFmtId="0" fontId="16" fillId="0" borderId="22" xfId="0" applyFont="1" applyFill="1" applyBorder="1" applyAlignment="1">
      <alignment horizontal="center" vertical="center"/>
    </xf>
    <xf numFmtId="9" fontId="38" fillId="0" borderId="22" xfId="19" applyFont="1" applyBorder="1"/>
    <xf numFmtId="164" fontId="0" fillId="0" borderId="22" xfId="0" applyNumberFormat="1" applyBorder="1" applyAlignment="1">
      <alignment horizontal="right"/>
    </xf>
    <xf numFmtId="0" fontId="8" fillId="6" borderId="2" xfId="0" applyFont="1" applyFill="1" applyBorder="1" applyAlignment="1">
      <alignment horizontal="center"/>
    </xf>
    <xf numFmtId="0" fontId="9" fillId="0" borderId="2" xfId="0" applyFont="1" applyBorder="1" applyAlignment="1">
      <alignment horizontal="center"/>
    </xf>
    <xf numFmtId="164" fontId="9" fillId="35" borderId="85" xfId="0" applyNumberFormat="1" applyFont="1" applyFill="1" applyBorder="1" applyAlignment="1">
      <alignment horizontal="center"/>
    </xf>
    <xf numFmtId="164" fontId="0" fillId="35" borderId="85" xfId="0" applyNumberFormat="1" applyFont="1" applyFill="1" applyBorder="1" applyAlignment="1">
      <alignment horizontal="center"/>
    </xf>
    <xf numFmtId="164" fontId="10" fillId="35" borderId="85" xfId="0" applyNumberFormat="1" applyFont="1" applyFill="1" applyBorder="1" applyAlignment="1">
      <alignment horizontal="center"/>
    </xf>
    <xf numFmtId="4" fontId="9" fillId="35" borderId="7" xfId="0" applyNumberFormat="1" applyFont="1" applyFill="1" applyBorder="1" applyAlignment="1">
      <alignment horizontal="center"/>
    </xf>
    <xf numFmtId="166" fontId="9" fillId="35" borderId="85" xfId="0" applyNumberFormat="1" applyFont="1" applyFill="1" applyBorder="1" applyAlignment="1">
      <alignment horizontal="center"/>
    </xf>
    <xf numFmtId="166" fontId="0" fillId="35" borderId="85" xfId="0" applyNumberFormat="1" applyFill="1" applyBorder="1" applyAlignment="1">
      <alignment horizontal="center"/>
    </xf>
    <xf numFmtId="166" fontId="9" fillId="35" borderId="9" xfId="0" applyNumberFormat="1" applyFont="1" applyFill="1" applyBorder="1" applyAlignment="1">
      <alignment horizontal="center"/>
    </xf>
    <xf numFmtId="9" fontId="9" fillId="0" borderId="85" xfId="0" applyNumberFormat="1" applyFont="1" applyBorder="1" applyAlignment="1">
      <alignment horizontal="center"/>
    </xf>
    <xf numFmtId="169" fontId="0" fillId="0" borderId="22" xfId="0" applyNumberFormat="1" applyBorder="1"/>
    <xf numFmtId="0" fontId="0" fillId="8" borderId="0" xfId="0" applyFill="1"/>
    <xf numFmtId="0" fontId="19" fillId="0" borderId="23" xfId="0" applyFont="1" applyFill="1" applyBorder="1" applyAlignment="1">
      <alignment horizontal="left" vertical="center"/>
    </xf>
    <xf numFmtId="4" fontId="16" fillId="0" borderId="23" xfId="0" applyNumberFormat="1" applyFont="1" applyFill="1" applyBorder="1"/>
    <xf numFmtId="0" fontId="0" fillId="0" borderId="22" xfId="0" applyBorder="1" applyAlignment="1">
      <alignment horizontal="left" vertical="center"/>
    </xf>
    <xf numFmtId="166" fontId="0" fillId="0" borderId="22" xfId="0" applyNumberFormat="1" applyBorder="1"/>
    <xf numFmtId="166" fontId="16" fillId="0" borderId="23" xfId="0" applyNumberFormat="1" applyFont="1" applyFill="1" applyBorder="1"/>
    <xf numFmtId="4" fontId="0" fillId="0" borderId="22" xfId="0" applyNumberFormat="1" applyBorder="1"/>
    <xf numFmtId="0" fontId="53" fillId="0" borderId="22" xfId="0" applyFont="1" applyBorder="1" applyAlignment="1">
      <alignment horizontal="left" vertical="center"/>
    </xf>
    <xf numFmtId="166" fontId="54" fillId="0" borderId="22" xfId="0" applyNumberFormat="1" applyFont="1" applyBorder="1"/>
    <xf numFmtId="166" fontId="55" fillId="16" borderId="22" xfId="0" applyNumberFormat="1" applyFont="1" applyFill="1" applyBorder="1"/>
    <xf numFmtId="166" fontId="0" fillId="0" borderId="0" xfId="0" applyNumberFormat="1"/>
    <xf numFmtId="0" fontId="19" fillId="0" borderId="24" xfId="0" applyFont="1" applyFill="1" applyBorder="1" applyAlignment="1">
      <alignment horizontal="left" vertical="center"/>
    </xf>
    <xf numFmtId="4" fontId="16" fillId="0" borderId="24" xfId="0" applyNumberFormat="1" applyFont="1" applyFill="1" applyBorder="1"/>
    <xf numFmtId="170" fontId="0" fillId="8" borderId="22" xfId="0" applyNumberFormat="1" applyFont="1" applyFill="1" applyBorder="1" applyAlignment="1">
      <alignment horizontal="right"/>
    </xf>
    <xf numFmtId="164" fontId="16" fillId="0" borderId="23" xfId="0" applyNumberFormat="1" applyFont="1" applyFill="1" applyBorder="1" applyAlignment="1">
      <alignment horizontal="right"/>
    </xf>
    <xf numFmtId="164" fontId="16" fillId="8" borderId="22" xfId="0" applyNumberFormat="1" applyFont="1" applyFill="1" applyBorder="1" applyAlignment="1">
      <alignment horizontal="right"/>
    </xf>
    <xf numFmtId="0" fontId="37" fillId="0" borderId="0" xfId="29" applyBorder="1" applyAlignment="1">
      <alignment wrapText="1"/>
    </xf>
    <xf numFmtId="164" fontId="0" fillId="0" borderId="22" xfId="0" applyNumberFormat="1" applyBorder="1" applyAlignment="1">
      <alignment horizontal="right" wrapText="1"/>
    </xf>
    <xf numFmtId="9" fontId="0" fillId="0" borderId="22" xfId="19" applyFont="1" applyBorder="1" applyAlignment="1"/>
    <xf numFmtId="0" fontId="0" fillId="0" borderId="0" xfId="0" applyAlignment="1"/>
    <xf numFmtId="0" fontId="0" fillId="0" borderId="22" xfId="0" applyFill="1" applyBorder="1" applyAlignment="1">
      <alignment wrapText="1"/>
    </xf>
    <xf numFmtId="171" fontId="0" fillId="0" borderId="0" xfId="0" applyNumberFormat="1"/>
    <xf numFmtId="2" fontId="3" fillId="4" borderId="0" xfId="7"/>
    <xf numFmtId="2" fontId="2" fillId="3" borderId="0" xfId="6"/>
    <xf numFmtId="0" fontId="34" fillId="18" borderId="0" xfId="27"/>
    <xf numFmtId="0" fontId="30" fillId="0" borderId="0" xfId="21" applyBorder="1"/>
    <xf numFmtId="0" fontId="0" fillId="0" borderId="0" xfId="0" applyFill="1" applyBorder="1" applyAlignment="1">
      <alignment horizontal="left"/>
    </xf>
    <xf numFmtId="164" fontId="0" fillId="0" borderId="0" xfId="0" applyNumberFormat="1" applyBorder="1"/>
    <xf numFmtId="0" fontId="0" fillId="30" borderId="25" xfId="0" applyFill="1" applyBorder="1"/>
    <xf numFmtId="0" fontId="0" fillId="0" borderId="22" xfId="0" applyFont="1" applyBorder="1" applyAlignment="1">
      <alignment wrapText="1"/>
    </xf>
    <xf numFmtId="0" fontId="43" fillId="0" borderId="72" xfId="32" applyFill="1" applyAlignment="1">
      <alignment horizontal="left"/>
    </xf>
    <xf numFmtId="0" fontId="0" fillId="0" borderId="0" xfId="0" applyFill="1" applyBorder="1" applyAlignment="1">
      <alignment horizontal="left" wrapText="1"/>
    </xf>
    <xf numFmtId="0" fontId="37" fillId="0" borderId="0" xfId="29" applyFill="1" applyBorder="1" applyAlignment="1">
      <alignment horizontal="left"/>
    </xf>
    <xf numFmtId="1" fontId="5" fillId="36" borderId="22" xfId="19" applyNumberFormat="1" applyFont="1" applyFill="1" applyBorder="1" applyAlignment="1" applyProtection="1">
      <alignment horizontal="center" vertical="top" wrapText="1"/>
    </xf>
    <xf numFmtId="171" fontId="35" fillId="36" borderId="22" xfId="17" applyNumberFormat="1" applyFont="1" applyFill="1" applyBorder="1" applyAlignment="1" applyProtection="1">
      <alignment horizontal="center" vertical="center" wrapText="1"/>
    </xf>
    <xf numFmtId="171" fontId="35" fillId="6" borderId="22" xfId="17" applyNumberFormat="1" applyFont="1" applyFill="1" applyBorder="1" applyAlignment="1" applyProtection="1">
      <alignment horizontal="center" vertical="center" wrapText="1"/>
    </xf>
    <xf numFmtId="171" fontId="35" fillId="41" borderId="22" xfId="17" applyNumberFormat="1" applyFont="1" applyFill="1" applyBorder="1" applyAlignment="1" applyProtection="1">
      <alignment horizontal="center" vertical="center" wrapText="1"/>
    </xf>
    <xf numFmtId="0" fontId="5" fillId="38" borderId="22" xfId="0" applyFont="1" applyFill="1" applyBorder="1" applyAlignment="1">
      <alignment horizontal="center" wrapText="1"/>
    </xf>
    <xf numFmtId="3" fontId="35" fillId="36" borderId="22" xfId="0" applyNumberFormat="1" applyFont="1" applyFill="1" applyBorder="1" applyAlignment="1">
      <alignment horizontal="center" vertical="center" wrapText="1"/>
    </xf>
    <xf numFmtId="0" fontId="0" fillId="0" borderId="22" xfId="0" applyFill="1" applyBorder="1" applyAlignment="1">
      <alignment horizontal="right" wrapText="1"/>
    </xf>
    <xf numFmtId="171" fontId="0" fillId="37" borderId="22" xfId="17" applyNumberFormat="1" applyFont="1" applyFill="1" applyBorder="1" applyAlignment="1" applyProtection="1">
      <alignment wrapText="1"/>
    </xf>
    <xf numFmtId="171" fontId="0" fillId="0" borderId="22" xfId="0" applyNumberFormat="1" applyBorder="1" applyAlignment="1">
      <alignment wrapText="1"/>
    </xf>
    <xf numFmtId="171" fontId="0" fillId="36" borderId="22" xfId="17" applyNumberFormat="1" applyFont="1" applyFill="1" applyBorder="1" applyAlignment="1" applyProtection="1">
      <alignment horizontal="center" wrapText="1"/>
    </xf>
    <xf numFmtId="3" fontId="0" fillId="36" borderId="22" xfId="0" applyNumberFormat="1" applyFill="1" applyBorder="1" applyAlignment="1">
      <alignment horizontal="right" wrapText="1"/>
    </xf>
    <xf numFmtId="171" fontId="0" fillId="40" borderId="22" xfId="17" applyNumberFormat="1" applyFont="1" applyFill="1" applyBorder="1" applyAlignment="1" applyProtection="1">
      <alignment horizontal="center" wrapText="1"/>
    </xf>
    <xf numFmtId="171" fontId="0" fillId="36" borderId="22" xfId="0" applyNumberFormat="1" applyFill="1" applyBorder="1" applyAlignment="1">
      <alignment wrapText="1"/>
    </xf>
    <xf numFmtId="171" fontId="0" fillId="37" borderId="22" xfId="17" applyNumberFormat="1" applyFont="1" applyFill="1" applyBorder="1" applyAlignment="1" applyProtection="1">
      <alignment horizontal="center" wrapText="1"/>
    </xf>
    <xf numFmtId="0" fontId="0" fillId="39" borderId="22" xfId="0" applyFont="1" applyFill="1" applyBorder="1" applyAlignment="1">
      <alignment wrapText="1"/>
    </xf>
    <xf numFmtId="3" fontId="0" fillId="0" borderId="22" xfId="0" applyNumberFormat="1" applyBorder="1" applyAlignment="1">
      <alignment wrapText="1"/>
    </xf>
    <xf numFmtId="171" fontId="0" fillId="37" borderId="22" xfId="17" applyNumberFormat="1" applyFont="1" applyFill="1" applyBorder="1" applyAlignment="1" applyProtection="1">
      <alignment vertical="top" wrapText="1"/>
    </xf>
    <xf numFmtId="1" fontId="3" fillId="4" borderId="22" xfId="7" applyNumberFormat="1" applyBorder="1"/>
    <xf numFmtId="0" fontId="16" fillId="0" borderId="0" xfId="0" applyFont="1" applyAlignment="1"/>
    <xf numFmtId="2" fontId="1" fillId="2" borderId="0" xfId="5" applyAlignment="1"/>
    <xf numFmtId="2" fontId="34" fillId="18" borderId="22" xfId="27" applyNumberFormat="1" applyBorder="1"/>
    <xf numFmtId="2" fontId="1" fillId="2" borderId="0" xfId="5"/>
    <xf numFmtId="0" fontId="0" fillId="0" borderId="25" xfId="0" applyBorder="1"/>
    <xf numFmtId="2" fontId="27" fillId="0" borderId="43" xfId="18" applyNumberFormat="1" applyFont="1" applyBorder="1" applyAlignment="1">
      <alignment horizontal="center" vertical="center"/>
    </xf>
    <xf numFmtId="2" fontId="27" fillId="0" borderId="46" xfId="18" applyNumberFormat="1" applyFont="1" applyBorder="1" applyAlignment="1">
      <alignment horizontal="center" vertical="center"/>
    </xf>
    <xf numFmtId="164" fontId="0" fillId="0" borderId="22" xfId="0" applyNumberFormat="1" applyBorder="1"/>
    <xf numFmtId="1" fontId="0" fillId="0" borderId="22" xfId="0" applyNumberFormat="1" applyFill="1" applyBorder="1"/>
    <xf numFmtId="2" fontId="0" fillId="0" borderId="0" xfId="0" applyNumberFormat="1" applyAlignment="1">
      <alignment horizontal="right"/>
    </xf>
    <xf numFmtId="0" fontId="4" fillId="42" borderId="0" xfId="1" applyFill="1" applyBorder="1"/>
    <xf numFmtId="0" fontId="56" fillId="42" borderId="0" xfId="1" applyFont="1" applyFill="1" applyBorder="1" applyAlignment="1">
      <alignment horizontal="center"/>
    </xf>
    <xf numFmtId="166" fontId="56" fillId="42" borderId="0" xfId="1" applyNumberFormat="1" applyFont="1" applyFill="1" applyBorder="1" applyAlignment="1">
      <alignment horizontal="center"/>
    </xf>
    <xf numFmtId="0" fontId="56" fillId="42" borderId="86" xfId="1" applyFont="1" applyFill="1" applyBorder="1" applyAlignment="1">
      <alignment horizontal="center" vertical="center" wrapText="1"/>
    </xf>
    <xf numFmtId="0" fontId="56" fillId="42" borderId="86" xfId="1" applyFont="1" applyFill="1" applyBorder="1" applyAlignment="1">
      <alignment horizontal="center"/>
    </xf>
    <xf numFmtId="0" fontId="4" fillId="44" borderId="86" xfId="1" applyFill="1" applyBorder="1" applyAlignment="1">
      <alignment horizontal="left"/>
    </xf>
    <xf numFmtId="0" fontId="57" fillId="44" borderId="86" xfId="1" applyFont="1" applyFill="1" applyBorder="1" applyAlignment="1">
      <alignment horizontal="center"/>
    </xf>
    <xf numFmtId="166" fontId="4" fillId="42" borderId="86" xfId="1" applyNumberFormat="1" applyFill="1" applyBorder="1" applyAlignment="1">
      <alignment horizontal="center"/>
    </xf>
    <xf numFmtId="0" fontId="4" fillId="45" borderId="86" xfId="1" applyFill="1" applyBorder="1" applyAlignment="1">
      <alignment horizontal="left"/>
    </xf>
    <xf numFmtId="0" fontId="57" fillId="45" borderId="86" xfId="1" applyFont="1" applyFill="1" applyBorder="1" applyAlignment="1">
      <alignment horizontal="center"/>
    </xf>
    <xf numFmtId="166" fontId="4" fillId="46" borderId="86" xfId="1" applyNumberFormat="1" applyFill="1" applyBorder="1" applyAlignment="1">
      <alignment horizontal="center"/>
    </xf>
    <xf numFmtId="9" fontId="4" fillId="46" borderId="86" xfId="1" applyNumberFormat="1" applyFill="1" applyBorder="1" applyAlignment="1">
      <alignment horizontal="center"/>
    </xf>
    <xf numFmtId="0" fontId="4" fillId="46" borderId="86" xfId="1" applyFill="1" applyBorder="1" applyAlignment="1">
      <alignment horizontal="center"/>
    </xf>
    <xf numFmtId="170" fontId="0" fillId="0" borderId="0" xfId="0" applyNumberFormat="1"/>
    <xf numFmtId="1" fontId="0" fillId="0" borderId="25" xfId="0" applyNumberFormat="1" applyBorder="1"/>
    <xf numFmtId="0" fontId="61" fillId="0" borderId="17" xfId="0" applyFont="1" applyBorder="1" applyAlignment="1">
      <alignment horizontal="center" vertical="center" wrapText="1"/>
    </xf>
    <xf numFmtId="0" fontId="61" fillId="0" borderId="88" xfId="0" applyFont="1" applyBorder="1" applyAlignment="1">
      <alignment horizontal="center" vertical="center" wrapText="1"/>
    </xf>
    <xf numFmtId="0" fontId="61" fillId="0" borderId="17" xfId="0" applyFont="1" applyBorder="1" applyAlignment="1">
      <alignment horizontal="center" vertical="center"/>
    </xf>
    <xf numFmtId="0" fontId="61" fillId="0" borderId="88" xfId="0" applyFont="1" applyBorder="1" applyAlignment="1">
      <alignment horizontal="center" vertical="center"/>
    </xf>
    <xf numFmtId="0" fontId="60" fillId="0" borderId="17" xfId="0" applyFont="1" applyBorder="1" applyAlignment="1">
      <alignment horizontal="center" vertical="center"/>
    </xf>
    <xf numFmtId="0" fontId="59" fillId="0" borderId="88" xfId="0" applyFont="1" applyBorder="1" applyAlignment="1">
      <alignment horizontal="center" vertical="center"/>
    </xf>
    <xf numFmtId="0" fontId="61" fillId="0" borderId="17" xfId="0" applyFont="1" applyBorder="1" applyAlignment="1">
      <alignment vertical="center" wrapText="1"/>
    </xf>
    <xf numFmtId="0" fontId="61" fillId="0" borderId="0" xfId="0" applyFont="1" applyAlignment="1">
      <alignment horizontal="center" vertical="center"/>
    </xf>
    <xf numFmtId="0" fontId="58" fillId="0" borderId="0" xfId="0" applyFont="1" applyAlignment="1">
      <alignment vertical="center"/>
    </xf>
    <xf numFmtId="0" fontId="60" fillId="0" borderId="82" xfId="0" applyFont="1" applyBorder="1" applyAlignment="1">
      <alignment horizontal="center" vertical="center" wrapText="1"/>
    </xf>
    <xf numFmtId="0" fontId="61" fillId="0" borderId="0" xfId="0" applyFont="1" applyAlignment="1">
      <alignment horizontal="center" vertical="center" wrapText="1"/>
    </xf>
    <xf numFmtId="164" fontId="16" fillId="16" borderId="22" xfId="0" applyNumberFormat="1" applyFont="1" applyFill="1" applyBorder="1" applyAlignment="1">
      <alignment horizontal="left"/>
    </xf>
    <xf numFmtId="43" fontId="16" fillId="16" borderId="22" xfId="17" applyFont="1" applyFill="1" applyBorder="1" applyAlignment="1">
      <alignment horizontal="right"/>
    </xf>
    <xf numFmtId="166" fontId="0" fillId="0" borderId="68" xfId="0" applyNumberFormat="1" applyFont="1" applyBorder="1" applyAlignment="1">
      <alignment wrapText="1"/>
    </xf>
    <xf numFmtId="166" fontId="0" fillId="0" borderId="69" xfId="0" applyNumberFormat="1" applyFont="1" applyBorder="1" applyAlignment="1">
      <alignment wrapText="1"/>
    </xf>
    <xf numFmtId="0" fontId="16" fillId="0" borderId="22" xfId="0" applyFont="1" applyBorder="1" applyAlignment="1">
      <alignment horizontal="center"/>
    </xf>
    <xf numFmtId="0" fontId="24" fillId="0" borderId="0" xfId="0" applyFont="1"/>
    <xf numFmtId="0" fontId="0" fillId="0" borderId="0" xfId="19" applyNumberFormat="1" applyFont="1"/>
    <xf numFmtId="0" fontId="0" fillId="0" borderId="0" xfId="0" applyNumberFormat="1"/>
    <xf numFmtId="0" fontId="62" fillId="0" borderId="0" xfId="0" applyFont="1"/>
    <xf numFmtId="10" fontId="0" fillId="0" borderId="0" xfId="19" applyNumberFormat="1" applyFont="1"/>
    <xf numFmtId="49" fontId="0" fillId="0" borderId="0" xfId="0" applyNumberFormat="1"/>
    <xf numFmtId="0" fontId="0" fillId="0" borderId="0" xfId="0" applyAlignment="1">
      <alignment horizontal="left" vertical="top" wrapText="1"/>
    </xf>
    <xf numFmtId="0" fontId="16" fillId="0" borderId="0" xfId="0" applyFont="1" applyAlignment="1">
      <alignment horizontal="center"/>
    </xf>
    <xf numFmtId="0" fontId="16" fillId="0" borderId="22" xfId="0" applyFont="1" applyBorder="1" applyAlignment="1">
      <alignment horizontal="center" wrapText="1"/>
    </xf>
    <xf numFmtId="2" fontId="1" fillId="2" borderId="0" xfId="5"/>
    <xf numFmtId="2" fontId="3" fillId="4" borderId="0" xfId="7"/>
    <xf numFmtId="2" fontId="2" fillId="3" borderId="0" xfId="6"/>
    <xf numFmtId="0" fontId="34" fillId="18" borderId="0" xfId="27"/>
    <xf numFmtId="0" fontId="30" fillId="0" borderId="0" xfId="21" applyBorder="1"/>
    <xf numFmtId="0" fontId="5" fillId="0" borderId="25" xfId="0" applyFont="1" applyBorder="1" applyAlignment="1">
      <alignment horizontal="center" vertical="center"/>
    </xf>
    <xf numFmtId="0" fontId="0" fillId="0" borderId="23" xfId="0" applyBorder="1" applyAlignment="1">
      <alignment horizontal="center" vertical="center"/>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32" fillId="17" borderId="25" xfId="0" applyFont="1" applyFill="1" applyBorder="1"/>
    <xf numFmtId="0" fontId="32" fillId="17" borderId="26" xfId="0" applyFont="1" applyFill="1" applyBorder="1"/>
    <xf numFmtId="0" fontId="0" fillId="0" borderId="49" xfId="0" applyBorder="1" applyAlignment="1">
      <alignment horizontal="left" wrapText="1"/>
    </xf>
    <xf numFmtId="0" fontId="0" fillId="0" borderId="33" xfId="0" applyBorder="1" applyAlignment="1">
      <alignment horizontal="left" wrapText="1"/>
    </xf>
    <xf numFmtId="0" fontId="0" fillId="0" borderId="25" xfId="0" applyBorder="1"/>
    <xf numFmtId="0" fontId="0" fillId="0" borderId="26" xfId="0" applyBorder="1"/>
    <xf numFmtId="0" fontId="16" fillId="0" borderId="22" xfId="0" applyFont="1" applyBorder="1" applyAlignment="1">
      <alignment horizontal="center"/>
    </xf>
    <xf numFmtId="0" fontId="19" fillId="8" borderId="15" xfId="0" applyFont="1" applyFill="1" applyBorder="1" applyAlignment="1">
      <alignment wrapText="1"/>
    </xf>
    <xf numFmtId="0" fontId="19" fillId="8" borderId="16" xfId="0" applyFont="1" applyFill="1" applyBorder="1" applyAlignment="1">
      <alignment wrapText="1"/>
    </xf>
    <xf numFmtId="0" fontId="0" fillId="11" borderId="47" xfId="0" applyFont="1" applyFill="1" applyBorder="1" applyAlignment="1">
      <alignment horizontal="left" wrapText="1"/>
    </xf>
    <xf numFmtId="0" fontId="0" fillId="11" borderId="31" xfId="0" applyFont="1" applyFill="1" applyBorder="1" applyAlignment="1">
      <alignment horizontal="left" wrapText="1"/>
    </xf>
    <xf numFmtId="0" fontId="16" fillId="11" borderId="21" xfId="0" applyFont="1" applyFill="1" applyBorder="1" applyAlignment="1">
      <alignment horizontal="center" vertical="center"/>
    </xf>
    <xf numFmtId="0" fontId="16" fillId="11" borderId="18" xfId="0" applyFont="1" applyFill="1" applyBorder="1" applyAlignment="1">
      <alignment horizontal="center" vertical="center"/>
    </xf>
    <xf numFmtId="0" fontId="0" fillId="10" borderId="45" xfId="0" applyFont="1" applyFill="1" applyBorder="1" applyAlignment="1">
      <alignment wrapText="1"/>
    </xf>
    <xf numFmtId="0" fontId="0" fillId="10" borderId="25" xfId="0" applyFont="1" applyFill="1" applyBorder="1" applyAlignment="1">
      <alignment wrapText="1"/>
    </xf>
    <xf numFmtId="0" fontId="19" fillId="10" borderId="46" xfId="0" applyFont="1" applyFill="1" applyBorder="1" applyAlignment="1">
      <alignment wrapText="1"/>
    </xf>
    <xf numFmtId="0" fontId="0" fillId="10" borderId="65" xfId="0" applyFill="1" applyBorder="1" applyAlignment="1">
      <alignment wrapText="1"/>
    </xf>
    <xf numFmtId="0" fontId="16" fillId="10" borderId="21" xfId="0" applyFont="1" applyFill="1" applyBorder="1" applyAlignment="1">
      <alignment horizontal="center" vertical="center"/>
    </xf>
    <xf numFmtId="0" fontId="16" fillId="10" borderId="14" xfId="0" applyFont="1" applyFill="1" applyBorder="1" applyAlignment="1">
      <alignment horizontal="center" vertical="center"/>
    </xf>
    <xf numFmtId="0" fontId="16" fillId="10" borderId="18" xfId="0" applyFont="1" applyFill="1" applyBorder="1" applyAlignment="1">
      <alignment horizontal="center" vertical="center"/>
    </xf>
    <xf numFmtId="0" fontId="0" fillId="13" borderId="37" xfId="0" applyFont="1" applyFill="1" applyBorder="1" applyAlignment="1">
      <alignment horizontal="center" wrapText="1"/>
    </xf>
    <xf numFmtId="0" fontId="0" fillId="13" borderId="66" xfId="0" applyFont="1" applyFill="1" applyBorder="1" applyAlignment="1">
      <alignment horizontal="center" wrapText="1"/>
    </xf>
    <xf numFmtId="0" fontId="16" fillId="13" borderId="21" xfId="0" applyFont="1" applyFill="1" applyBorder="1" applyAlignment="1">
      <alignment horizontal="center" vertical="center"/>
    </xf>
    <xf numFmtId="0" fontId="16" fillId="13" borderId="18" xfId="0" applyFont="1" applyFill="1" applyBorder="1" applyAlignment="1">
      <alignment horizontal="center" vertical="center"/>
    </xf>
    <xf numFmtId="0" fontId="0" fillId="13" borderId="12" xfId="0" applyFont="1" applyFill="1" applyBorder="1" applyAlignment="1">
      <alignment wrapText="1"/>
    </xf>
    <xf numFmtId="0" fontId="0" fillId="13" borderId="67" xfId="0" applyFont="1" applyFill="1" applyBorder="1" applyAlignment="1">
      <alignment wrapText="1"/>
    </xf>
    <xf numFmtId="0" fontId="0" fillId="12" borderId="43" xfId="0" applyFont="1" applyFill="1" applyBorder="1" applyAlignment="1">
      <alignment wrapText="1"/>
    </xf>
    <xf numFmtId="0" fontId="0" fillId="0" borderId="68" xfId="0" applyBorder="1" applyAlignment="1">
      <alignment wrapText="1"/>
    </xf>
    <xf numFmtId="0" fontId="16" fillId="12" borderId="14" xfId="0" applyFont="1" applyFill="1" applyBorder="1" applyAlignment="1">
      <alignment horizontal="center" vertical="center"/>
    </xf>
    <xf numFmtId="0" fontId="16" fillId="12" borderId="18" xfId="0" applyFont="1" applyFill="1" applyBorder="1" applyAlignment="1">
      <alignment horizontal="center" vertical="center"/>
    </xf>
    <xf numFmtId="0" fontId="0" fillId="12" borderId="45" xfId="0" applyFont="1" applyFill="1" applyBorder="1" applyAlignment="1">
      <alignment wrapText="1"/>
    </xf>
    <xf numFmtId="0" fontId="0" fillId="12" borderId="22" xfId="0" applyFont="1" applyFill="1" applyBorder="1" applyAlignment="1">
      <alignment wrapText="1"/>
    </xf>
    <xf numFmtId="0" fontId="0" fillId="12" borderId="46" xfId="0" applyFont="1" applyFill="1" applyBorder="1" applyAlignment="1">
      <alignment wrapText="1"/>
    </xf>
    <xf numFmtId="0" fontId="0" fillId="12" borderId="69" xfId="0" applyFont="1" applyFill="1" applyBorder="1" applyAlignment="1">
      <alignment wrapText="1"/>
    </xf>
    <xf numFmtId="0" fontId="16" fillId="14" borderId="21" xfId="0" applyFont="1" applyFill="1" applyBorder="1" applyAlignment="1">
      <alignment horizontal="center" vertical="center" wrapText="1"/>
    </xf>
    <xf numFmtId="0" fontId="16" fillId="14" borderId="14" xfId="0" applyFont="1" applyFill="1" applyBorder="1" applyAlignment="1">
      <alignment horizontal="center" vertical="center" wrapText="1"/>
    </xf>
    <xf numFmtId="0" fontId="16" fillId="14" borderId="18" xfId="0" applyFont="1" applyFill="1" applyBorder="1" applyAlignment="1">
      <alignment horizontal="center" vertical="center" wrapText="1"/>
    </xf>
    <xf numFmtId="0" fontId="0" fillId="14" borderId="47" xfId="0" applyFont="1" applyFill="1" applyBorder="1" applyAlignment="1">
      <alignment wrapText="1"/>
    </xf>
    <xf numFmtId="0" fontId="0" fillId="14" borderId="32" xfId="0" applyFont="1" applyFill="1" applyBorder="1" applyAlignment="1">
      <alignment wrapText="1"/>
    </xf>
    <xf numFmtId="0" fontId="0" fillId="14" borderId="36" xfId="0" applyFont="1" applyFill="1" applyBorder="1" applyAlignment="1">
      <alignment wrapText="1"/>
    </xf>
    <xf numFmtId="0" fontId="0" fillId="14" borderId="26" xfId="0" applyFont="1" applyFill="1" applyBorder="1" applyAlignment="1">
      <alignment wrapText="1"/>
    </xf>
    <xf numFmtId="0" fontId="0" fillId="14" borderId="37" xfId="0" applyFont="1" applyFill="1" applyBorder="1" applyAlignment="1">
      <alignment wrapText="1"/>
    </xf>
    <xf numFmtId="0" fontId="0" fillId="14" borderId="66" xfId="0" applyFont="1" applyFill="1" applyBorder="1" applyAlignment="1">
      <alignment wrapText="1"/>
    </xf>
    <xf numFmtId="0" fontId="0" fillId="11" borderId="39" xfId="0" applyFont="1" applyFill="1" applyBorder="1" applyAlignment="1">
      <alignment wrapText="1"/>
    </xf>
    <xf numFmtId="0" fontId="0" fillId="11" borderId="61" xfId="0" applyFont="1" applyFill="1" applyBorder="1" applyAlignment="1">
      <alignment wrapText="1"/>
    </xf>
    <xf numFmtId="0" fontId="19" fillId="10" borderId="43" xfId="0" applyFont="1" applyFill="1" applyBorder="1" applyAlignment="1">
      <alignment wrapText="1"/>
    </xf>
    <xf numFmtId="0" fontId="0" fillId="10" borderId="44" xfId="0" applyFill="1" applyBorder="1" applyAlignment="1">
      <alignment wrapText="1"/>
    </xf>
    <xf numFmtId="0" fontId="17" fillId="9" borderId="12" xfId="0" applyFont="1" applyFill="1" applyBorder="1" applyAlignment="1">
      <alignment horizontal="center" wrapText="1"/>
    </xf>
    <xf numFmtId="0" fontId="17" fillId="9" borderId="11" xfId="0" applyFont="1" applyFill="1" applyBorder="1" applyAlignment="1">
      <alignment horizontal="center" wrapText="1"/>
    </xf>
    <xf numFmtId="0" fontId="17" fillId="9" borderId="13" xfId="0" applyFont="1" applyFill="1" applyBorder="1" applyAlignment="1">
      <alignment horizontal="center" wrapText="1"/>
    </xf>
    <xf numFmtId="0" fontId="19" fillId="8" borderId="20" xfId="0" applyFont="1" applyFill="1" applyBorder="1" applyAlignment="1">
      <alignment wrapText="1"/>
    </xf>
    <xf numFmtId="0" fontId="19" fillId="8" borderId="19" xfId="0" applyFont="1" applyFill="1" applyBorder="1" applyAlignment="1">
      <alignment wrapText="1"/>
    </xf>
    <xf numFmtId="0" fontId="19" fillId="10" borderId="21" xfId="0" applyFont="1" applyFill="1" applyBorder="1" applyAlignment="1">
      <alignment horizontal="center" vertical="center" wrapText="1"/>
    </xf>
    <xf numFmtId="0" fontId="19" fillId="10" borderId="14" xfId="0"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0" fillId="10" borderId="34" xfId="0" applyFont="1" applyFill="1" applyBorder="1" applyAlignment="1">
      <alignment wrapText="1"/>
    </xf>
    <xf numFmtId="0" fontId="0" fillId="0" borderId="35" xfId="0" applyBorder="1" applyAlignment="1">
      <alignment wrapText="1"/>
    </xf>
    <xf numFmtId="0" fontId="0" fillId="10" borderId="36" xfId="0" applyFont="1" applyFill="1" applyBorder="1" applyAlignment="1">
      <alignment wrapText="1"/>
    </xf>
    <xf numFmtId="0" fontId="0" fillId="10" borderId="23" xfId="0" applyFont="1" applyFill="1" applyBorder="1" applyAlignment="1">
      <alignment wrapText="1"/>
    </xf>
    <xf numFmtId="0" fontId="0" fillId="10" borderId="37" xfId="0" applyFont="1" applyFill="1" applyBorder="1" applyAlignment="1">
      <alignment wrapText="1"/>
    </xf>
    <xf numFmtId="0" fontId="0" fillId="0" borderId="38" xfId="0" applyBorder="1" applyAlignment="1">
      <alignment wrapText="1"/>
    </xf>
    <xf numFmtId="0" fontId="19" fillId="11" borderId="21" xfId="0" applyFont="1" applyFill="1" applyBorder="1" applyAlignment="1">
      <alignment horizontal="center" vertical="center" wrapText="1"/>
    </xf>
    <xf numFmtId="0" fontId="19" fillId="11" borderId="14" xfId="0" applyFont="1" applyFill="1" applyBorder="1" applyAlignment="1">
      <alignment horizontal="center" vertical="center" wrapText="1"/>
    </xf>
    <xf numFmtId="0" fontId="19" fillId="11" borderId="18" xfId="0" applyFont="1" applyFill="1" applyBorder="1" applyAlignment="1">
      <alignment horizontal="center" vertical="center" wrapText="1"/>
    </xf>
    <xf numFmtId="0" fontId="0" fillId="11" borderId="34" xfId="0" applyFont="1" applyFill="1" applyBorder="1" applyAlignment="1">
      <alignment wrapText="1"/>
    </xf>
    <xf numFmtId="0" fontId="0" fillId="11" borderId="35" xfId="0" applyFont="1" applyFill="1" applyBorder="1" applyAlignment="1">
      <alignment wrapText="1"/>
    </xf>
    <xf numFmtId="0" fontId="0" fillId="11" borderId="36" xfId="0" applyFont="1" applyFill="1" applyBorder="1" applyAlignment="1">
      <alignment wrapText="1"/>
    </xf>
    <xf numFmtId="0" fontId="0" fillId="11" borderId="23" xfId="0" applyFont="1" applyFill="1" applyBorder="1" applyAlignment="1">
      <alignment wrapText="1"/>
    </xf>
    <xf numFmtId="0" fontId="0" fillId="11" borderId="39" xfId="0" applyFont="1" applyFill="1" applyBorder="1" applyAlignment="1"/>
    <xf numFmtId="0" fontId="0" fillId="11" borderId="24" xfId="0" applyFont="1" applyFill="1" applyBorder="1" applyAlignment="1"/>
    <xf numFmtId="0" fontId="16" fillId="12" borderId="40" xfId="0" applyFont="1" applyFill="1" applyBorder="1" applyAlignment="1">
      <alignment horizontal="center" vertical="center" wrapText="1"/>
    </xf>
    <xf numFmtId="0" fontId="16" fillId="12" borderId="41" xfId="0" applyFont="1" applyFill="1" applyBorder="1" applyAlignment="1">
      <alignment horizontal="center" vertical="center" wrapText="1"/>
    </xf>
    <xf numFmtId="0" fontId="16" fillId="12" borderId="42" xfId="0" applyFont="1" applyFill="1" applyBorder="1" applyAlignment="1">
      <alignment horizontal="center" vertical="center" wrapText="1"/>
    </xf>
    <xf numFmtId="0" fontId="0" fillId="12" borderId="25" xfId="0" applyFont="1" applyFill="1" applyBorder="1" applyAlignment="1">
      <alignment wrapText="1"/>
    </xf>
    <xf numFmtId="0" fontId="0" fillId="0" borderId="26" xfId="0" applyBorder="1" applyAlignment="1">
      <alignment wrapText="1"/>
    </xf>
    <xf numFmtId="0" fontId="37" fillId="0" borderId="0" xfId="29" applyBorder="1" applyAlignment="1">
      <alignment horizontal="center"/>
    </xf>
    <xf numFmtId="0" fontId="37" fillId="0" borderId="0" xfId="29" applyBorder="1" applyAlignment="1">
      <alignment horizontal="center" wrapText="1"/>
    </xf>
    <xf numFmtId="0" fontId="0" fillId="17" borderId="25" xfId="0" applyFill="1" applyBorder="1" applyAlignment="1">
      <alignment horizontal="center" vertical="top"/>
    </xf>
    <xf numFmtId="0" fontId="0" fillId="17" borderId="23" xfId="0" applyFill="1" applyBorder="1" applyAlignment="1">
      <alignment horizontal="center" vertical="top"/>
    </xf>
    <xf numFmtId="0" fontId="0" fillId="17" borderId="26" xfId="0" applyFill="1" applyBorder="1" applyAlignment="1">
      <alignment horizontal="center" vertical="top"/>
    </xf>
    <xf numFmtId="0" fontId="0" fillId="0" borderId="25" xfId="0" applyBorder="1" applyAlignment="1">
      <alignment horizontal="center"/>
    </xf>
    <xf numFmtId="0" fontId="0" fillId="0" borderId="26" xfId="0" applyBorder="1" applyAlignment="1">
      <alignment horizontal="center"/>
    </xf>
    <xf numFmtId="0" fontId="0" fillId="0" borderId="49" xfId="0" applyBorder="1" applyAlignment="1">
      <alignment horizontal="center" wrapText="1"/>
    </xf>
    <xf numFmtId="0" fontId="0" fillId="0" borderId="33" xfId="0" applyBorder="1" applyAlignment="1">
      <alignment horizontal="center" wrapText="1"/>
    </xf>
    <xf numFmtId="0" fontId="0" fillId="20" borderId="22" xfId="0" applyFont="1" applyFill="1" applyBorder="1" applyAlignment="1">
      <alignment horizontal="center"/>
    </xf>
    <xf numFmtId="2" fontId="27" fillId="0" borderId="43" xfId="18" applyNumberFormat="1" applyFont="1" applyBorder="1" applyAlignment="1">
      <alignment horizontal="center" vertical="center"/>
    </xf>
    <xf numFmtId="2" fontId="27" fillId="0" borderId="44" xfId="18" applyNumberFormat="1" applyFont="1" applyBorder="1" applyAlignment="1">
      <alignment horizontal="center" vertical="center"/>
    </xf>
    <xf numFmtId="2" fontId="27" fillId="0" borderId="46" xfId="18" applyNumberFormat="1" applyFont="1" applyBorder="1" applyAlignment="1">
      <alignment horizontal="center" vertical="center"/>
    </xf>
    <xf numFmtId="2" fontId="27" fillId="0" borderId="77" xfId="18" applyNumberFormat="1" applyFont="1" applyBorder="1" applyAlignment="1">
      <alignment horizontal="center" vertical="center"/>
    </xf>
    <xf numFmtId="0" fontId="0" fillId="20" borderId="22" xfId="0" applyFill="1" applyBorder="1" applyAlignment="1">
      <alignment horizontal="center"/>
    </xf>
    <xf numFmtId="0" fontId="16" fillId="20" borderId="22" xfId="0" applyFont="1" applyFill="1" applyBorder="1" applyAlignment="1">
      <alignment horizontal="center"/>
    </xf>
    <xf numFmtId="0" fontId="0" fillId="0" borderId="23" xfId="0" applyBorder="1" applyAlignment="1">
      <alignment horizontal="center"/>
    </xf>
    <xf numFmtId="0" fontId="16" fillId="0" borderId="25" xfId="0" applyFont="1" applyBorder="1" applyAlignment="1">
      <alignment horizontal="left"/>
    </xf>
    <xf numFmtId="0" fontId="16" fillId="0" borderId="23" xfId="0" applyFont="1" applyBorder="1" applyAlignment="1">
      <alignment horizontal="left"/>
    </xf>
    <xf numFmtId="0" fontId="0" fillId="0" borderId="29" xfId="0" applyBorder="1" applyAlignment="1">
      <alignment horizontal="left" vertical="center"/>
    </xf>
    <xf numFmtId="0" fontId="0" fillId="0" borderId="33" xfId="0" applyBorder="1" applyAlignment="1">
      <alignment horizontal="left" vertical="center"/>
    </xf>
    <xf numFmtId="0" fontId="0" fillId="0" borderId="29" xfId="0" applyBorder="1" applyAlignment="1">
      <alignment horizontal="center" wrapText="1"/>
    </xf>
    <xf numFmtId="0" fontId="0" fillId="0" borderId="74" xfId="0" applyBorder="1" applyAlignment="1">
      <alignment horizontal="center" wrapText="1"/>
    </xf>
    <xf numFmtId="0" fontId="16" fillId="0" borderId="31" xfId="0" applyFont="1" applyBorder="1" applyAlignment="1">
      <alignment horizontal="center"/>
    </xf>
    <xf numFmtId="0" fontId="16" fillId="0" borderId="25" xfId="0" applyFont="1" applyBorder="1" applyAlignment="1">
      <alignment horizontal="center"/>
    </xf>
    <xf numFmtId="0" fontId="16" fillId="0" borderId="26" xfId="0" applyFont="1" applyBorder="1" applyAlignment="1">
      <alignment horizontal="center"/>
    </xf>
    <xf numFmtId="0" fontId="0" fillId="10" borderId="38" xfId="0" applyFont="1" applyFill="1" applyBorder="1" applyAlignment="1">
      <alignment wrapText="1"/>
    </xf>
    <xf numFmtId="0" fontId="19" fillId="10" borderId="34" xfId="0" applyFont="1" applyFill="1" applyBorder="1" applyAlignment="1">
      <alignment wrapText="1"/>
    </xf>
    <xf numFmtId="0" fontId="19" fillId="10" borderId="64" xfId="0" applyFont="1" applyFill="1" applyBorder="1" applyAlignment="1">
      <alignment wrapText="1"/>
    </xf>
    <xf numFmtId="0" fontId="0" fillId="10" borderId="63" xfId="0" applyFont="1" applyFill="1" applyBorder="1" applyAlignment="1">
      <alignment wrapText="1"/>
    </xf>
    <xf numFmtId="0" fontId="8" fillId="6" borderId="2" xfId="1" applyFont="1" applyFill="1" applyBorder="1" applyAlignment="1">
      <alignment horizontal="center"/>
    </xf>
    <xf numFmtId="0" fontId="60" fillId="0" borderId="12" xfId="0" applyFont="1" applyBorder="1" applyAlignment="1">
      <alignment horizontal="center" vertical="center" wrapText="1"/>
    </xf>
    <xf numFmtId="0" fontId="60" fillId="0" borderId="87" xfId="0" applyFont="1" applyBorder="1" applyAlignment="1">
      <alignment horizontal="center" vertical="center" wrapText="1"/>
    </xf>
    <xf numFmtId="0" fontId="16" fillId="0" borderId="25" xfId="14" applyFont="1" applyBorder="1" applyAlignment="1">
      <alignment horizontal="center" wrapText="1"/>
    </xf>
    <xf numFmtId="0" fontId="16" fillId="0" borderId="26" xfId="14" applyFont="1" applyBorder="1" applyAlignment="1">
      <alignment horizontal="center" wrapText="1"/>
    </xf>
    <xf numFmtId="0" fontId="16" fillId="0" borderId="25" xfId="14" applyFont="1" applyBorder="1" applyAlignment="1">
      <alignment horizontal="center"/>
    </xf>
    <xf numFmtId="0" fontId="16" fillId="0" borderId="26" xfId="14" applyFont="1" applyBorder="1" applyAlignment="1">
      <alignment horizontal="center"/>
    </xf>
    <xf numFmtId="0" fontId="4" fillId="43" borderId="86" xfId="1" applyFill="1" applyBorder="1" applyAlignment="1">
      <alignment horizontal="center"/>
    </xf>
    <xf numFmtId="0" fontId="56" fillId="44" borderId="86" xfId="1" applyFont="1" applyFill="1" applyBorder="1" applyAlignment="1">
      <alignment horizontal="center"/>
    </xf>
    <xf numFmtId="0" fontId="5"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xf>
    <xf numFmtId="0" fontId="3" fillId="4" borderId="49" xfId="20" applyBorder="1"/>
    <xf numFmtId="0" fontId="0" fillId="0" borderId="28" xfId="0" applyFill="1" applyBorder="1"/>
    <xf numFmtId="0" fontId="0" fillId="0" borderId="0" xfId="0" applyFill="1"/>
  </cellXfs>
  <cellStyles count="38">
    <cellStyle name="5x indented GHG Textfiels" xfId="25"/>
    <cellStyle name="Accent2" xfId="33" builtinId="33"/>
    <cellStyle name="Accent3" xfId="34" builtinId="37"/>
    <cellStyle name="Accent5" xfId="30" builtinId="45"/>
    <cellStyle name="Accent6" xfId="35" builtinId="49"/>
    <cellStyle name="Ajouts" xfId="2"/>
    <cellStyle name="AME" xfId="7"/>
    <cellStyle name="BAU Ademe" xfId="5"/>
    <cellStyle name="BAU ADEME strong" xfId="3"/>
    <cellStyle name="Calcul de cohérence" xfId="22"/>
    <cellStyle name="Cellule liée" xfId="21" builtinId="24"/>
    <cellStyle name="Donnée manquante" xfId="6"/>
    <cellStyle name="Donnée manquante non cruciale" xfId="27"/>
    <cellStyle name="Lien hypertexte" xfId="26" builtinId="8"/>
    <cellStyle name="Milliers" xfId="17" builtinId="3"/>
    <cellStyle name="Milliers 2" xfId="24"/>
    <cellStyle name="Milliers 2 6" xfId="10"/>
    <cellStyle name="Neutre" xfId="20" builtinId="28"/>
    <cellStyle name="Normal" xfId="0" builtinId="0"/>
    <cellStyle name="Normal 2 2 2" xfId="23"/>
    <cellStyle name="Normal 2 3 17" xfId="8"/>
    <cellStyle name="Normal 3 9" xfId="11"/>
    <cellStyle name="Normal 4 3" xfId="14"/>
    <cellStyle name="Normal 54" xfId="12"/>
    <cellStyle name="Normal 7 2 2 3" xfId="13"/>
    <cellStyle name="Normal 9" xfId="1"/>
    <cellStyle name="Normal_DEFSET1" xfId="28"/>
    <cellStyle name="Pourcentage" xfId="19" builtinId="5"/>
    <cellStyle name="Pourcentage 2" xfId="4"/>
    <cellStyle name="Pourcentage 2 6" xfId="9"/>
    <cellStyle name="Pourcentage 5" xfId="15"/>
    <cellStyle name="Satisfaisant" xfId="36" builtinId="26"/>
    <cellStyle name="TempDev" xfId="16"/>
    <cellStyle name="Texte explicatif" xfId="37" builtinId="53"/>
    <cellStyle name="Titre" xfId="31" builtinId="15"/>
    <cellStyle name="Titre 2" xfId="32" builtinId="17"/>
    <cellStyle name="Titre 3" xfId="29" builtinId="18"/>
    <cellStyle name="Обычный_2++_CRFReport-template" xfId="18"/>
  </cellStyles>
  <dxfs count="76">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2" formatCode="#,##0_ ;\-#,##0\ "/>
    </dxf>
    <dxf>
      <numFmt numFmtId="173" formatCode="#,##0_ ;\-#,##0,"/>
    </dxf>
    <dxf>
      <numFmt numFmtId="172" formatCode="#,##0_ ;\-#,##0\ "/>
    </dxf>
    <dxf>
      <fill>
        <patternFill>
          <bgColor theme="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A43A32"/>
      <color rgb="FFCB5C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Consommation d'énergie finale (TWh /an) </a:t>
            </a:r>
          </a:p>
          <a:p>
            <a:pPr>
              <a:defRPr/>
            </a:pPr>
            <a:r>
              <a:rPr lang="fr-FR"/>
              <a:t>selon</a:t>
            </a:r>
            <a:r>
              <a:rPr lang="fr-FR" baseline="0"/>
              <a:t> énergie primaire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'Rep Graph'!$B$7</c:f>
              <c:strCache>
                <c:ptCount val="1"/>
                <c:pt idx="0">
                  <c:v>Biomasse</c:v>
                </c:pt>
              </c:strCache>
            </c:strRef>
          </c:tx>
          <c:spPr>
            <a:solidFill>
              <a:srgbClr val="92D050"/>
            </a:solidFill>
            <a:ln>
              <a:noFill/>
            </a:ln>
            <a:effectLst/>
          </c:spPr>
          <c:invertIfNegative val="0"/>
          <c:cat>
            <c:strRef>
              <c:f>'Rep Graph'!$C$6:$I$6</c:f>
              <c:strCache>
                <c:ptCount val="7"/>
                <c:pt idx="0">
                  <c:v>2015</c:v>
                </c:pt>
                <c:pt idx="1">
                  <c:v>SNBC (AMS) 2050</c:v>
                </c:pt>
                <c:pt idx="2">
                  <c:v>S TEND 2050</c:v>
                </c:pt>
                <c:pt idx="3">
                  <c:v>S1</c:v>
                </c:pt>
                <c:pt idx="4">
                  <c:v>S2</c:v>
                </c:pt>
                <c:pt idx="5">
                  <c:v>S3</c:v>
                </c:pt>
                <c:pt idx="6">
                  <c:v>S4</c:v>
                </c:pt>
              </c:strCache>
            </c:strRef>
          </c:cat>
          <c:val>
            <c:numRef>
              <c:f>'Rep Graph'!$C$7:$I$7</c:f>
              <c:numCache>
                <c:formatCode>0</c:formatCode>
                <c:ptCount val="7"/>
                <c:pt idx="0" formatCode="General">
                  <c:v>173</c:v>
                </c:pt>
                <c:pt idx="1">
                  <c:v>425</c:v>
                </c:pt>
                <c:pt idx="2">
                  <c:v>322.05608113054825</c:v>
                </c:pt>
                <c:pt idx="3" formatCode="General">
                  <c:v>200</c:v>
                </c:pt>
                <c:pt idx="4" formatCode="General">
                  <c:v>300</c:v>
                </c:pt>
                <c:pt idx="5" formatCode="General">
                  <c:v>400</c:v>
                </c:pt>
                <c:pt idx="6" formatCode="General">
                  <c:v>300</c:v>
                </c:pt>
              </c:numCache>
            </c:numRef>
          </c:val>
          <c:extLst>
            <c:ext xmlns:c16="http://schemas.microsoft.com/office/drawing/2014/chart" uri="{C3380CC4-5D6E-409C-BE32-E72D297353CC}">
              <c16:uniqueId val="{00000000-D5C0-4243-B01D-9B78DFA04052}"/>
            </c:ext>
          </c:extLst>
        </c:ser>
        <c:ser>
          <c:idx val="1"/>
          <c:order val="1"/>
          <c:tx>
            <c:strRef>
              <c:f>'Rep Graph'!$B$8</c:f>
              <c:strCache>
                <c:ptCount val="1"/>
                <c:pt idx="0">
                  <c:v>Renouvelable Electrique</c:v>
                </c:pt>
              </c:strCache>
            </c:strRef>
          </c:tx>
          <c:spPr>
            <a:solidFill>
              <a:schemeClr val="accent1">
                <a:lumMod val="60000"/>
                <a:lumOff val="40000"/>
              </a:schemeClr>
            </a:solidFill>
            <a:ln>
              <a:noFill/>
            </a:ln>
            <a:effectLst/>
          </c:spPr>
          <c:invertIfNegative val="0"/>
          <c:cat>
            <c:strRef>
              <c:f>'Rep Graph'!$C$6:$I$6</c:f>
              <c:strCache>
                <c:ptCount val="7"/>
                <c:pt idx="0">
                  <c:v>2015</c:v>
                </c:pt>
                <c:pt idx="1">
                  <c:v>SNBC (AMS) 2050</c:v>
                </c:pt>
                <c:pt idx="2">
                  <c:v>S TEND 2050</c:v>
                </c:pt>
                <c:pt idx="3">
                  <c:v>S1</c:v>
                </c:pt>
                <c:pt idx="4">
                  <c:v>S2</c:v>
                </c:pt>
                <c:pt idx="5">
                  <c:v>S3</c:v>
                </c:pt>
                <c:pt idx="6">
                  <c:v>S4</c:v>
                </c:pt>
              </c:strCache>
            </c:strRef>
          </c:cat>
          <c:val>
            <c:numRef>
              <c:f>'Rep Graph'!$C$8:$I$8</c:f>
              <c:numCache>
                <c:formatCode>0</c:formatCode>
                <c:ptCount val="7"/>
                <c:pt idx="0">
                  <c:v>108.25</c:v>
                </c:pt>
                <c:pt idx="1">
                  <c:v>312.5</c:v>
                </c:pt>
                <c:pt idx="2">
                  <c:v>262.596</c:v>
                </c:pt>
                <c:pt idx="3" formatCode="General">
                  <c:v>300</c:v>
                </c:pt>
                <c:pt idx="4" formatCode="General">
                  <c:v>400</c:v>
                </c:pt>
                <c:pt idx="5" formatCode="General">
                  <c:v>400</c:v>
                </c:pt>
                <c:pt idx="6" formatCode="General">
                  <c:v>300</c:v>
                </c:pt>
              </c:numCache>
            </c:numRef>
          </c:val>
          <c:extLst>
            <c:ext xmlns:c16="http://schemas.microsoft.com/office/drawing/2014/chart" uri="{C3380CC4-5D6E-409C-BE32-E72D297353CC}">
              <c16:uniqueId val="{00000001-D5C0-4243-B01D-9B78DFA04052}"/>
            </c:ext>
          </c:extLst>
        </c:ser>
        <c:ser>
          <c:idx val="2"/>
          <c:order val="2"/>
          <c:tx>
            <c:strRef>
              <c:f>'Rep Graph'!$B$9</c:f>
              <c:strCache>
                <c:ptCount val="1"/>
                <c:pt idx="0">
                  <c:v>Nucléaire</c:v>
                </c:pt>
              </c:strCache>
            </c:strRef>
          </c:tx>
          <c:spPr>
            <a:solidFill>
              <a:schemeClr val="accent1">
                <a:lumMod val="75000"/>
              </a:schemeClr>
            </a:solidFill>
            <a:ln>
              <a:noFill/>
            </a:ln>
            <a:effectLst/>
          </c:spPr>
          <c:invertIfNegative val="0"/>
          <c:cat>
            <c:strRef>
              <c:f>'Rep Graph'!$C$6:$I$6</c:f>
              <c:strCache>
                <c:ptCount val="7"/>
                <c:pt idx="0">
                  <c:v>2015</c:v>
                </c:pt>
                <c:pt idx="1">
                  <c:v>SNBC (AMS) 2050</c:v>
                </c:pt>
                <c:pt idx="2">
                  <c:v>S TEND 2050</c:v>
                </c:pt>
                <c:pt idx="3">
                  <c:v>S1</c:v>
                </c:pt>
                <c:pt idx="4">
                  <c:v>S2</c:v>
                </c:pt>
                <c:pt idx="5">
                  <c:v>S3</c:v>
                </c:pt>
                <c:pt idx="6">
                  <c:v>S4</c:v>
                </c:pt>
              </c:strCache>
            </c:strRef>
          </c:cat>
          <c:val>
            <c:numRef>
              <c:f>'Rep Graph'!$C$9:$I$9</c:f>
              <c:numCache>
                <c:formatCode>0</c:formatCode>
                <c:ptCount val="7"/>
                <c:pt idx="0">
                  <c:v>324.75</c:v>
                </c:pt>
                <c:pt idx="1">
                  <c:v>312.5</c:v>
                </c:pt>
                <c:pt idx="2">
                  <c:v>275.06273412350816</c:v>
                </c:pt>
                <c:pt idx="3" formatCode="General">
                  <c:v>30</c:v>
                </c:pt>
                <c:pt idx="4" formatCode="General">
                  <c:v>30</c:v>
                </c:pt>
                <c:pt idx="5" formatCode="General">
                  <c:v>300</c:v>
                </c:pt>
                <c:pt idx="6" formatCode="General">
                  <c:v>400</c:v>
                </c:pt>
              </c:numCache>
            </c:numRef>
          </c:val>
          <c:extLst>
            <c:ext xmlns:c16="http://schemas.microsoft.com/office/drawing/2014/chart" uri="{C3380CC4-5D6E-409C-BE32-E72D297353CC}">
              <c16:uniqueId val="{00000002-D5C0-4243-B01D-9B78DFA04052}"/>
            </c:ext>
          </c:extLst>
        </c:ser>
        <c:ser>
          <c:idx val="3"/>
          <c:order val="3"/>
          <c:tx>
            <c:strRef>
              <c:f>'Rep Graph'!$B$10</c:f>
              <c:strCache>
                <c:ptCount val="1"/>
                <c:pt idx="0">
                  <c:v>Fossiles dont CCS</c:v>
                </c:pt>
              </c:strCache>
            </c:strRef>
          </c:tx>
          <c:spPr>
            <a:solidFill>
              <a:schemeClr val="tx1">
                <a:lumMod val="75000"/>
                <a:lumOff val="25000"/>
              </a:schemeClr>
            </a:solidFill>
            <a:ln>
              <a:noFill/>
            </a:ln>
            <a:effectLst/>
          </c:spPr>
          <c:invertIfNegative val="0"/>
          <c:cat>
            <c:strRef>
              <c:f>'Rep Graph'!$C$6:$I$6</c:f>
              <c:strCache>
                <c:ptCount val="7"/>
                <c:pt idx="0">
                  <c:v>2015</c:v>
                </c:pt>
                <c:pt idx="1">
                  <c:v>SNBC (AMS) 2050</c:v>
                </c:pt>
                <c:pt idx="2">
                  <c:v>S TEND 2050</c:v>
                </c:pt>
                <c:pt idx="3">
                  <c:v>S1</c:v>
                </c:pt>
                <c:pt idx="4">
                  <c:v>S2</c:v>
                </c:pt>
                <c:pt idx="5">
                  <c:v>S3</c:v>
                </c:pt>
                <c:pt idx="6">
                  <c:v>S4</c:v>
                </c:pt>
              </c:strCache>
            </c:strRef>
          </c:cat>
          <c:val>
            <c:numRef>
              <c:f>'Rep Graph'!$C$10:$I$10</c:f>
              <c:numCache>
                <c:formatCode>0</c:formatCode>
                <c:ptCount val="7"/>
                <c:pt idx="0" formatCode="General">
                  <c:v>1126</c:v>
                </c:pt>
                <c:pt idx="1">
                  <c:v>55</c:v>
                </c:pt>
                <c:pt idx="2">
                  <c:v>692.73196415587336</c:v>
                </c:pt>
                <c:pt idx="3" formatCode="General">
                  <c:v>300</c:v>
                </c:pt>
                <c:pt idx="4" formatCode="General">
                  <c:v>350</c:v>
                </c:pt>
                <c:pt idx="5" formatCode="General">
                  <c:v>400</c:v>
                </c:pt>
                <c:pt idx="6" formatCode="General">
                  <c:v>500</c:v>
                </c:pt>
              </c:numCache>
            </c:numRef>
          </c:val>
          <c:extLst>
            <c:ext xmlns:c16="http://schemas.microsoft.com/office/drawing/2014/chart" uri="{C3380CC4-5D6E-409C-BE32-E72D297353CC}">
              <c16:uniqueId val="{00000003-D5C0-4243-B01D-9B78DFA04052}"/>
            </c:ext>
          </c:extLst>
        </c:ser>
        <c:dLbls>
          <c:showLegendKey val="0"/>
          <c:showVal val="0"/>
          <c:showCatName val="0"/>
          <c:showSerName val="0"/>
          <c:showPercent val="0"/>
          <c:showBubbleSize val="0"/>
        </c:dLbls>
        <c:gapWidth val="150"/>
        <c:overlap val="100"/>
        <c:axId val="481403248"/>
        <c:axId val="481399968"/>
      </c:barChart>
      <c:catAx>
        <c:axId val="48140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1399968"/>
        <c:crosses val="autoZero"/>
        <c:auto val="1"/>
        <c:lblAlgn val="ctr"/>
        <c:lblOffset val="100"/>
        <c:noMultiLvlLbl val="0"/>
      </c:catAx>
      <c:valAx>
        <c:axId val="4813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140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fr-FR" sz="1200">
                <a:effectLst/>
              </a:rPr>
              <a:t>Demande Energétique par Vecteur Energétique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areaChart>
        <c:grouping val="stacked"/>
        <c:varyColors val="0"/>
        <c:ser>
          <c:idx val="0"/>
          <c:order val="0"/>
          <c:tx>
            <c:strRef>
              <c:f>'Sorties graphiques'!$U$36</c:f>
              <c:strCache>
                <c:ptCount val="1"/>
                <c:pt idx="0">
                  <c:v>Diesel</c:v>
                </c:pt>
              </c:strCache>
            </c:strRef>
          </c:tx>
          <c:spPr>
            <a:solidFill>
              <a:schemeClr val="accent1"/>
            </a:solidFill>
            <a:ln w="25400">
              <a:noFill/>
            </a:ln>
            <a:effectLst/>
          </c:spPr>
          <c:cat>
            <c:numRef>
              <c:f>'Sorties graphiques'!$V$34:$X$34</c:f>
              <c:numCache>
                <c:formatCode>General</c:formatCode>
                <c:ptCount val="3"/>
                <c:pt idx="0">
                  <c:v>2015</c:v>
                </c:pt>
                <c:pt idx="1">
                  <c:v>2030</c:v>
                </c:pt>
                <c:pt idx="2">
                  <c:v>2050</c:v>
                </c:pt>
              </c:numCache>
            </c:numRef>
          </c:cat>
          <c:val>
            <c:numRef>
              <c:f>'Sorties graphiques'!$V$36:$X$36</c:f>
              <c:numCache>
                <c:formatCode>0.0</c:formatCode>
                <c:ptCount val="3"/>
                <c:pt idx="0">
                  <c:v>371.29390644508305</c:v>
                </c:pt>
                <c:pt idx="1">
                  <c:v>345.84350467133362</c:v>
                </c:pt>
                <c:pt idx="2">
                  <c:v>245.94561783545655</c:v>
                </c:pt>
              </c:numCache>
            </c:numRef>
          </c:val>
          <c:extLst>
            <c:ext xmlns:c16="http://schemas.microsoft.com/office/drawing/2014/chart" uri="{C3380CC4-5D6E-409C-BE32-E72D297353CC}">
              <c16:uniqueId val="{00000000-5DAD-4931-A483-77BB27FD7F9D}"/>
            </c:ext>
          </c:extLst>
        </c:ser>
        <c:ser>
          <c:idx val="1"/>
          <c:order val="1"/>
          <c:tx>
            <c:strRef>
              <c:f>'Sorties graphiques'!$U$37</c:f>
              <c:strCache>
                <c:ptCount val="1"/>
                <c:pt idx="0">
                  <c:v>Essence</c:v>
                </c:pt>
              </c:strCache>
            </c:strRef>
          </c:tx>
          <c:spPr>
            <a:solidFill>
              <a:schemeClr val="accent2"/>
            </a:solidFill>
            <a:ln w="25400">
              <a:noFill/>
            </a:ln>
            <a:effectLst/>
          </c:spPr>
          <c:cat>
            <c:numRef>
              <c:f>'Sorties graphiques'!$V$34:$X$34</c:f>
              <c:numCache>
                <c:formatCode>General</c:formatCode>
                <c:ptCount val="3"/>
                <c:pt idx="0">
                  <c:v>2015</c:v>
                </c:pt>
                <c:pt idx="1">
                  <c:v>2030</c:v>
                </c:pt>
                <c:pt idx="2">
                  <c:v>2050</c:v>
                </c:pt>
              </c:numCache>
            </c:numRef>
          </c:cat>
          <c:val>
            <c:numRef>
              <c:f>'Sorties graphiques'!$V$37:$X$37</c:f>
              <c:numCache>
                <c:formatCode>0.0</c:formatCode>
                <c:ptCount val="3"/>
                <c:pt idx="0">
                  <c:v>78.704027961631112</c:v>
                </c:pt>
                <c:pt idx="1">
                  <c:v>93.138810535524982</c:v>
                </c:pt>
                <c:pt idx="2">
                  <c:v>58.424473575422041</c:v>
                </c:pt>
              </c:numCache>
            </c:numRef>
          </c:val>
          <c:extLst>
            <c:ext xmlns:c16="http://schemas.microsoft.com/office/drawing/2014/chart" uri="{C3380CC4-5D6E-409C-BE32-E72D297353CC}">
              <c16:uniqueId val="{00000001-5DAD-4931-A483-77BB27FD7F9D}"/>
            </c:ext>
          </c:extLst>
        </c:ser>
        <c:ser>
          <c:idx val="2"/>
          <c:order val="2"/>
          <c:tx>
            <c:strRef>
              <c:f>'Sorties graphiques'!$U$38</c:f>
              <c:strCache>
                <c:ptCount val="1"/>
                <c:pt idx="0">
                  <c:v>Kérosène</c:v>
                </c:pt>
              </c:strCache>
            </c:strRef>
          </c:tx>
          <c:spPr>
            <a:solidFill>
              <a:schemeClr val="accent3"/>
            </a:solidFill>
            <a:ln w="25400">
              <a:noFill/>
            </a:ln>
            <a:effectLst/>
          </c:spPr>
          <c:cat>
            <c:numRef>
              <c:f>'Sorties graphiques'!$V$34:$X$34</c:f>
              <c:numCache>
                <c:formatCode>General</c:formatCode>
                <c:ptCount val="3"/>
                <c:pt idx="0">
                  <c:v>2015</c:v>
                </c:pt>
                <c:pt idx="1">
                  <c:v>2030</c:v>
                </c:pt>
                <c:pt idx="2">
                  <c:v>2050</c:v>
                </c:pt>
              </c:numCache>
            </c:numRef>
          </c:cat>
          <c:val>
            <c:numRef>
              <c:f>'Sorties graphiques'!$V$38:$X$38</c:f>
              <c:numCache>
                <c:formatCode>0.0</c:formatCode>
                <c:ptCount val="3"/>
                <c:pt idx="0">
                  <c:v>11.802068923325468</c:v>
                </c:pt>
                <c:pt idx="1">
                  <c:v>12.378662235119469</c:v>
                </c:pt>
                <c:pt idx="2">
                  <c:v>15.012101577552643</c:v>
                </c:pt>
              </c:numCache>
            </c:numRef>
          </c:val>
          <c:extLst>
            <c:ext xmlns:c16="http://schemas.microsoft.com/office/drawing/2014/chart" uri="{C3380CC4-5D6E-409C-BE32-E72D297353CC}">
              <c16:uniqueId val="{00000002-5DAD-4931-A483-77BB27FD7F9D}"/>
            </c:ext>
          </c:extLst>
        </c:ser>
        <c:ser>
          <c:idx val="3"/>
          <c:order val="3"/>
          <c:tx>
            <c:strRef>
              <c:f>'Sorties graphiques'!$U$39</c:f>
              <c:strCache>
                <c:ptCount val="1"/>
                <c:pt idx="0">
                  <c:v>Gaz Naturel</c:v>
                </c:pt>
              </c:strCache>
            </c:strRef>
          </c:tx>
          <c:spPr>
            <a:solidFill>
              <a:schemeClr val="accent4"/>
            </a:solidFill>
            <a:ln w="25400">
              <a:noFill/>
            </a:ln>
            <a:effectLst/>
          </c:spPr>
          <c:cat>
            <c:numRef>
              <c:f>'Sorties graphiques'!$V$34:$X$34</c:f>
              <c:numCache>
                <c:formatCode>General</c:formatCode>
                <c:ptCount val="3"/>
                <c:pt idx="0">
                  <c:v>2015</c:v>
                </c:pt>
                <c:pt idx="1">
                  <c:v>2030</c:v>
                </c:pt>
                <c:pt idx="2">
                  <c:v>2050</c:v>
                </c:pt>
              </c:numCache>
            </c:numRef>
          </c:cat>
          <c:val>
            <c:numRef>
              <c:f>'Sorties graphiques'!$V$39:$X$39</c:f>
              <c:numCache>
                <c:formatCode>0.0</c:formatCode>
                <c:ptCount val="3"/>
                <c:pt idx="0">
                  <c:v>0.46054800000000001</c:v>
                </c:pt>
                <c:pt idx="1">
                  <c:v>5.3152837436537546</c:v>
                </c:pt>
                <c:pt idx="2">
                  <c:v>24.0662558252608</c:v>
                </c:pt>
              </c:numCache>
            </c:numRef>
          </c:val>
          <c:extLst>
            <c:ext xmlns:c16="http://schemas.microsoft.com/office/drawing/2014/chart" uri="{C3380CC4-5D6E-409C-BE32-E72D297353CC}">
              <c16:uniqueId val="{00000003-5DAD-4931-A483-77BB27FD7F9D}"/>
            </c:ext>
          </c:extLst>
        </c:ser>
        <c:ser>
          <c:idx val="4"/>
          <c:order val="4"/>
          <c:tx>
            <c:strRef>
              <c:f>'Sorties graphiques'!$U$40</c:f>
              <c:strCache>
                <c:ptCount val="1"/>
                <c:pt idx="0">
                  <c:v>Hydrogène</c:v>
                </c:pt>
              </c:strCache>
            </c:strRef>
          </c:tx>
          <c:spPr>
            <a:solidFill>
              <a:schemeClr val="accent5"/>
            </a:solidFill>
            <a:ln w="25400">
              <a:noFill/>
            </a:ln>
            <a:effectLst/>
          </c:spPr>
          <c:cat>
            <c:numRef>
              <c:f>'Sorties graphiques'!$V$34:$X$34</c:f>
              <c:numCache>
                <c:formatCode>General</c:formatCode>
                <c:ptCount val="3"/>
                <c:pt idx="0">
                  <c:v>2015</c:v>
                </c:pt>
                <c:pt idx="1">
                  <c:v>2030</c:v>
                </c:pt>
                <c:pt idx="2">
                  <c:v>2050</c:v>
                </c:pt>
              </c:numCache>
            </c:numRef>
          </c:cat>
          <c:val>
            <c:numRef>
              <c:f>'Sorties graphiques'!$V$40:$X$40</c:f>
              <c:numCache>
                <c:formatCode>0.0</c:formatCode>
                <c:ptCount val="3"/>
                <c:pt idx="0">
                  <c:v>0</c:v>
                </c:pt>
                <c:pt idx="1">
                  <c:v>9.5827490801708701E-2</c:v>
                </c:pt>
                <c:pt idx="2">
                  <c:v>10.330031251973677</c:v>
                </c:pt>
              </c:numCache>
            </c:numRef>
          </c:val>
          <c:extLst>
            <c:ext xmlns:c16="http://schemas.microsoft.com/office/drawing/2014/chart" uri="{C3380CC4-5D6E-409C-BE32-E72D297353CC}">
              <c16:uniqueId val="{00000004-5DAD-4931-A483-77BB27FD7F9D}"/>
            </c:ext>
          </c:extLst>
        </c:ser>
        <c:ser>
          <c:idx val="5"/>
          <c:order val="5"/>
          <c:tx>
            <c:strRef>
              <c:f>'Sorties graphiques'!$U$41</c:f>
              <c:strCache>
                <c:ptCount val="1"/>
                <c:pt idx="0">
                  <c:v>Electricité</c:v>
                </c:pt>
              </c:strCache>
            </c:strRef>
          </c:tx>
          <c:spPr>
            <a:solidFill>
              <a:schemeClr val="accent6"/>
            </a:solidFill>
            <a:ln w="25400">
              <a:noFill/>
            </a:ln>
            <a:effectLst/>
          </c:spPr>
          <c:cat>
            <c:numRef>
              <c:f>'Sorties graphiques'!$V$34:$X$34</c:f>
              <c:numCache>
                <c:formatCode>General</c:formatCode>
                <c:ptCount val="3"/>
                <c:pt idx="0">
                  <c:v>2015</c:v>
                </c:pt>
                <c:pt idx="1">
                  <c:v>2030</c:v>
                </c:pt>
                <c:pt idx="2">
                  <c:v>2050</c:v>
                </c:pt>
              </c:numCache>
            </c:numRef>
          </c:cat>
          <c:val>
            <c:numRef>
              <c:f>'Sorties graphiques'!$V$41:$X$41</c:f>
              <c:numCache>
                <c:formatCode>0.0</c:formatCode>
                <c:ptCount val="3"/>
                <c:pt idx="0">
                  <c:v>10.986999999999998</c:v>
                </c:pt>
                <c:pt idx="1">
                  <c:v>31.665154802834628</c:v>
                </c:pt>
                <c:pt idx="2">
                  <c:v>102.95967934486593</c:v>
                </c:pt>
              </c:numCache>
            </c:numRef>
          </c:val>
          <c:extLst>
            <c:ext xmlns:c16="http://schemas.microsoft.com/office/drawing/2014/chart" uri="{C3380CC4-5D6E-409C-BE32-E72D297353CC}">
              <c16:uniqueId val="{00000005-5DAD-4931-A483-77BB27FD7F9D}"/>
            </c:ext>
          </c:extLst>
        </c:ser>
        <c:ser>
          <c:idx val="6"/>
          <c:order val="6"/>
          <c:tx>
            <c:strRef>
              <c:f>'Sorties graphiques'!$U$42</c:f>
              <c:strCache>
                <c:ptCount val="1"/>
                <c:pt idx="0">
                  <c:v>Biocarburants</c:v>
                </c:pt>
              </c:strCache>
            </c:strRef>
          </c:tx>
          <c:spPr>
            <a:solidFill>
              <a:schemeClr val="accent1">
                <a:lumMod val="60000"/>
              </a:schemeClr>
            </a:solidFill>
            <a:ln w="25400">
              <a:noFill/>
            </a:ln>
            <a:effectLst/>
          </c:spPr>
          <c:cat>
            <c:numRef>
              <c:f>'Sorties graphiques'!$V$34:$X$34</c:f>
              <c:numCache>
                <c:formatCode>General</c:formatCode>
                <c:ptCount val="3"/>
                <c:pt idx="0">
                  <c:v>2015</c:v>
                </c:pt>
                <c:pt idx="1">
                  <c:v>2030</c:v>
                </c:pt>
                <c:pt idx="2">
                  <c:v>2050</c:v>
                </c:pt>
              </c:numCache>
            </c:numRef>
          </c:cat>
          <c:val>
            <c:numRef>
              <c:f>'Sorties graphiques'!$V$42:$X$42</c:f>
              <c:numCache>
                <c:formatCode>0.0</c:formatCode>
                <c:ptCount val="3"/>
                <c:pt idx="0">
                  <c:v>34.287047555555517</c:v>
                </c:pt>
                <c:pt idx="1">
                  <c:v>33.128711974804411</c:v>
                </c:pt>
                <c:pt idx="2">
                  <c:v>40.313548899874689</c:v>
                </c:pt>
              </c:numCache>
            </c:numRef>
          </c:val>
          <c:extLst>
            <c:ext xmlns:c16="http://schemas.microsoft.com/office/drawing/2014/chart" uri="{C3380CC4-5D6E-409C-BE32-E72D297353CC}">
              <c16:uniqueId val="{00000006-5DAD-4931-A483-77BB27FD7F9D}"/>
            </c:ext>
          </c:extLst>
        </c:ser>
        <c:dLbls>
          <c:showLegendKey val="0"/>
          <c:showVal val="0"/>
          <c:showCatName val="0"/>
          <c:showSerName val="0"/>
          <c:showPercent val="0"/>
          <c:showBubbleSize val="0"/>
        </c:dLbls>
        <c:axId val="679329544"/>
        <c:axId val="679331840"/>
      </c:areaChart>
      <c:catAx>
        <c:axId val="679329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331840"/>
        <c:crosses val="autoZero"/>
        <c:auto val="1"/>
        <c:lblAlgn val="ctr"/>
        <c:lblOffset val="100"/>
        <c:noMultiLvlLbl val="0"/>
      </c:catAx>
      <c:valAx>
        <c:axId val="67933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Demande</a:t>
                </a:r>
                <a:r>
                  <a:rPr lang="fr-FR" baseline="0"/>
                  <a:t> énergétique (</a:t>
                </a:r>
                <a:r>
                  <a:rPr lang="fr-FR"/>
                  <a:t>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329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fr-FR" sz="1200">
                <a:effectLst/>
              </a:rPr>
              <a:t>Demande Energétique par mode-véhicule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areaChart>
        <c:grouping val="stacked"/>
        <c:varyColors val="0"/>
        <c:ser>
          <c:idx val="0"/>
          <c:order val="0"/>
          <c:tx>
            <c:strRef>
              <c:f>'Sorties graphiques'!$AC$46</c:f>
              <c:strCache>
                <c:ptCount val="1"/>
                <c:pt idx="0">
                  <c:v>Véhicule particulier</c:v>
                </c:pt>
              </c:strCache>
            </c:strRef>
          </c:tx>
          <c:spPr>
            <a:solidFill>
              <a:schemeClr val="accent1"/>
            </a:solidFill>
            <a:ln w="25400">
              <a:noFill/>
            </a:ln>
            <a:effectLst/>
          </c:spPr>
          <c:cat>
            <c:numRef>
              <c:f>'Sorties graphiques'!$AD$45:$AF$45</c:f>
              <c:numCache>
                <c:formatCode>General</c:formatCode>
                <c:ptCount val="3"/>
                <c:pt idx="0">
                  <c:v>2015</c:v>
                </c:pt>
                <c:pt idx="1">
                  <c:v>2030</c:v>
                </c:pt>
                <c:pt idx="2">
                  <c:v>2050</c:v>
                </c:pt>
              </c:numCache>
            </c:numRef>
          </c:cat>
          <c:val>
            <c:numRef>
              <c:f>'Sorties graphiques'!$AD$46:$AF$46</c:f>
              <c:numCache>
                <c:formatCode>0</c:formatCode>
                <c:ptCount val="3"/>
                <c:pt idx="0">
                  <c:v>278.56068480815941</c:v>
                </c:pt>
                <c:pt idx="1">
                  <c:v>243.1782220398255</c:v>
                </c:pt>
                <c:pt idx="2">
                  <c:v>134.02375957109049</c:v>
                </c:pt>
              </c:numCache>
            </c:numRef>
          </c:val>
          <c:extLst>
            <c:ext xmlns:c16="http://schemas.microsoft.com/office/drawing/2014/chart" uri="{C3380CC4-5D6E-409C-BE32-E72D297353CC}">
              <c16:uniqueId val="{00000000-0D6C-48A8-B4CF-EF44F247B0E8}"/>
            </c:ext>
          </c:extLst>
        </c:ser>
        <c:ser>
          <c:idx val="1"/>
          <c:order val="1"/>
          <c:tx>
            <c:strRef>
              <c:f>'Sorties graphiques'!$AC$47</c:f>
              <c:strCache>
                <c:ptCount val="1"/>
                <c:pt idx="0">
                  <c:v>Poids Lourd</c:v>
                </c:pt>
              </c:strCache>
            </c:strRef>
          </c:tx>
          <c:spPr>
            <a:solidFill>
              <a:schemeClr val="accent2"/>
            </a:solidFill>
            <a:ln w="25400">
              <a:noFill/>
            </a:ln>
            <a:effectLst/>
          </c:spPr>
          <c:cat>
            <c:numRef>
              <c:f>'Sorties graphiques'!$AD$45:$AF$45</c:f>
              <c:numCache>
                <c:formatCode>General</c:formatCode>
                <c:ptCount val="3"/>
                <c:pt idx="0">
                  <c:v>2015</c:v>
                </c:pt>
                <c:pt idx="1">
                  <c:v>2030</c:v>
                </c:pt>
                <c:pt idx="2">
                  <c:v>2050</c:v>
                </c:pt>
              </c:numCache>
            </c:numRef>
          </c:cat>
          <c:val>
            <c:numRef>
              <c:f>'Sorties graphiques'!$AD$47:$AF$47</c:f>
              <c:numCache>
                <c:formatCode>0</c:formatCode>
                <c:ptCount val="3"/>
                <c:pt idx="0">
                  <c:v>90.208453439842302</c:v>
                </c:pt>
                <c:pt idx="1">
                  <c:v>109.68689146406523</c:v>
                </c:pt>
                <c:pt idx="2">
                  <c:v>141.43147863957529</c:v>
                </c:pt>
              </c:numCache>
            </c:numRef>
          </c:val>
          <c:extLst>
            <c:ext xmlns:c16="http://schemas.microsoft.com/office/drawing/2014/chart" uri="{C3380CC4-5D6E-409C-BE32-E72D297353CC}">
              <c16:uniqueId val="{00000001-0D6C-48A8-B4CF-EF44F247B0E8}"/>
            </c:ext>
          </c:extLst>
        </c:ser>
        <c:ser>
          <c:idx val="2"/>
          <c:order val="2"/>
          <c:tx>
            <c:strRef>
              <c:f>'Sorties graphiques'!$AC$48</c:f>
              <c:strCache>
                <c:ptCount val="1"/>
                <c:pt idx="0">
                  <c:v>Véhicule Utilitaire Léger</c:v>
                </c:pt>
              </c:strCache>
            </c:strRef>
          </c:tx>
          <c:spPr>
            <a:solidFill>
              <a:schemeClr val="accent3"/>
            </a:solidFill>
            <a:ln w="25400">
              <a:noFill/>
            </a:ln>
            <a:effectLst/>
          </c:spPr>
          <c:cat>
            <c:numRef>
              <c:f>'Sorties graphiques'!$AD$45:$AF$45</c:f>
              <c:numCache>
                <c:formatCode>General</c:formatCode>
                <c:ptCount val="3"/>
                <c:pt idx="0">
                  <c:v>2015</c:v>
                </c:pt>
                <c:pt idx="1">
                  <c:v>2030</c:v>
                </c:pt>
                <c:pt idx="2">
                  <c:v>2050</c:v>
                </c:pt>
              </c:numCache>
            </c:numRef>
          </c:cat>
          <c:val>
            <c:numRef>
              <c:f>'Sorties graphiques'!$AD$48:$AF$48</c:f>
              <c:numCache>
                <c:formatCode>0</c:formatCode>
                <c:ptCount val="3"/>
                <c:pt idx="0">
                  <c:v>82.761362009061529</c:v>
                </c:pt>
                <c:pt idx="1">
                  <c:v>110.50277389309076</c:v>
                </c:pt>
                <c:pt idx="2">
                  <c:v>142.26858146139719</c:v>
                </c:pt>
              </c:numCache>
            </c:numRef>
          </c:val>
          <c:extLst>
            <c:ext xmlns:c16="http://schemas.microsoft.com/office/drawing/2014/chart" uri="{C3380CC4-5D6E-409C-BE32-E72D297353CC}">
              <c16:uniqueId val="{00000002-0D6C-48A8-B4CF-EF44F247B0E8}"/>
            </c:ext>
          </c:extLst>
        </c:ser>
        <c:ser>
          <c:idx val="3"/>
          <c:order val="3"/>
          <c:tx>
            <c:strRef>
              <c:f>'Sorties graphiques'!$AC$49</c:f>
              <c:strCache>
                <c:ptCount val="1"/>
                <c:pt idx="0">
                  <c:v>Car</c:v>
                </c:pt>
              </c:strCache>
            </c:strRef>
          </c:tx>
          <c:spPr>
            <a:solidFill>
              <a:schemeClr val="accent4"/>
            </a:solidFill>
            <a:ln w="25400">
              <a:noFill/>
            </a:ln>
            <a:effectLst/>
          </c:spPr>
          <c:cat>
            <c:numRef>
              <c:f>'Sorties graphiques'!$AD$45:$AF$45</c:f>
              <c:numCache>
                <c:formatCode>General</c:formatCode>
                <c:ptCount val="3"/>
                <c:pt idx="0">
                  <c:v>2015</c:v>
                </c:pt>
                <c:pt idx="1">
                  <c:v>2030</c:v>
                </c:pt>
                <c:pt idx="2">
                  <c:v>2050</c:v>
                </c:pt>
              </c:numCache>
            </c:numRef>
          </c:cat>
          <c:val>
            <c:numRef>
              <c:f>'Sorties graphiques'!$AD$49:$AF$49</c:f>
              <c:numCache>
                <c:formatCode>0</c:formatCode>
                <c:ptCount val="3"/>
                <c:pt idx="0">
                  <c:v>7.6226627952896369</c:v>
                </c:pt>
                <c:pt idx="1">
                  <c:v>8.1050969731408813</c:v>
                </c:pt>
                <c:pt idx="2">
                  <c:v>8.0737217852328715</c:v>
                </c:pt>
              </c:numCache>
            </c:numRef>
          </c:val>
          <c:extLst>
            <c:ext xmlns:c16="http://schemas.microsoft.com/office/drawing/2014/chart" uri="{C3380CC4-5D6E-409C-BE32-E72D297353CC}">
              <c16:uniqueId val="{00000003-0D6C-48A8-B4CF-EF44F247B0E8}"/>
            </c:ext>
          </c:extLst>
        </c:ser>
        <c:ser>
          <c:idx val="4"/>
          <c:order val="4"/>
          <c:tx>
            <c:strRef>
              <c:f>'Sorties graphiques'!$AC$50</c:f>
              <c:strCache>
                <c:ptCount val="1"/>
                <c:pt idx="0">
                  <c:v>Bus</c:v>
                </c:pt>
              </c:strCache>
            </c:strRef>
          </c:tx>
          <c:spPr>
            <a:solidFill>
              <a:schemeClr val="accent5"/>
            </a:solidFill>
            <a:ln w="25400">
              <a:noFill/>
            </a:ln>
            <a:effectLst/>
          </c:spPr>
          <c:cat>
            <c:numRef>
              <c:f>'Sorties graphiques'!$AD$45:$AF$45</c:f>
              <c:numCache>
                <c:formatCode>General</c:formatCode>
                <c:ptCount val="3"/>
                <c:pt idx="0">
                  <c:v>2015</c:v>
                </c:pt>
                <c:pt idx="1">
                  <c:v>2030</c:v>
                </c:pt>
                <c:pt idx="2">
                  <c:v>2050</c:v>
                </c:pt>
              </c:numCache>
            </c:numRef>
          </c:cat>
          <c:val>
            <c:numRef>
              <c:f>'Sorties graphiques'!$AD$50:$AF$50</c:f>
              <c:numCache>
                <c:formatCode>0</c:formatCode>
                <c:ptCount val="3"/>
                <c:pt idx="0">
                  <c:v>4.5115212379791032</c:v>
                </c:pt>
                <c:pt idx="1">
                  <c:v>4.7367203655639791</c:v>
                </c:pt>
                <c:pt idx="2">
                  <c:v>3.9239830872499546</c:v>
                </c:pt>
              </c:numCache>
            </c:numRef>
          </c:val>
          <c:extLst>
            <c:ext xmlns:c16="http://schemas.microsoft.com/office/drawing/2014/chart" uri="{C3380CC4-5D6E-409C-BE32-E72D297353CC}">
              <c16:uniqueId val="{00000004-0D6C-48A8-B4CF-EF44F247B0E8}"/>
            </c:ext>
          </c:extLst>
        </c:ser>
        <c:ser>
          <c:idx val="5"/>
          <c:order val="5"/>
          <c:tx>
            <c:strRef>
              <c:f>'Sorties graphiques'!$AC$51</c:f>
              <c:strCache>
                <c:ptCount val="1"/>
                <c:pt idx="0">
                  <c:v>Train Voyageur</c:v>
                </c:pt>
              </c:strCache>
            </c:strRef>
          </c:tx>
          <c:spPr>
            <a:solidFill>
              <a:schemeClr val="accent6"/>
            </a:solidFill>
            <a:ln w="25400">
              <a:noFill/>
            </a:ln>
            <a:effectLst/>
          </c:spPr>
          <c:cat>
            <c:numRef>
              <c:f>'Sorties graphiques'!$AD$45:$AF$45</c:f>
              <c:numCache>
                <c:formatCode>General</c:formatCode>
                <c:ptCount val="3"/>
                <c:pt idx="0">
                  <c:v>2015</c:v>
                </c:pt>
                <c:pt idx="1">
                  <c:v>2030</c:v>
                </c:pt>
                <c:pt idx="2">
                  <c:v>2050</c:v>
                </c:pt>
              </c:numCache>
            </c:numRef>
          </c:cat>
          <c:val>
            <c:numRef>
              <c:f>'Sorties graphiques'!$AD$51:$AF$51</c:f>
              <c:numCache>
                <c:formatCode>0</c:formatCode>
                <c:ptCount val="3"/>
                <c:pt idx="0">
                  <c:v>14.613640017974875</c:v>
                </c:pt>
                <c:pt idx="1">
                  <c:v>14.724361147931974</c:v>
                </c:pt>
                <c:pt idx="2">
                  <c:v>16.032219978901136</c:v>
                </c:pt>
              </c:numCache>
            </c:numRef>
          </c:val>
          <c:extLst>
            <c:ext xmlns:c16="http://schemas.microsoft.com/office/drawing/2014/chart" uri="{C3380CC4-5D6E-409C-BE32-E72D297353CC}">
              <c16:uniqueId val="{00000005-0D6C-48A8-B4CF-EF44F247B0E8}"/>
            </c:ext>
          </c:extLst>
        </c:ser>
        <c:ser>
          <c:idx val="6"/>
          <c:order val="6"/>
          <c:tx>
            <c:strRef>
              <c:f>'Sorties graphiques'!$AC$52</c:f>
              <c:strCache>
                <c:ptCount val="1"/>
                <c:pt idx="0">
                  <c:v>Train Marchandises</c:v>
                </c:pt>
              </c:strCache>
            </c:strRef>
          </c:tx>
          <c:spPr>
            <a:solidFill>
              <a:schemeClr val="accent1">
                <a:lumMod val="60000"/>
              </a:schemeClr>
            </a:solidFill>
            <a:ln w="25400">
              <a:noFill/>
            </a:ln>
            <a:effectLst/>
          </c:spPr>
          <c:cat>
            <c:numRef>
              <c:f>'Sorties graphiques'!$AD$45:$AF$45</c:f>
              <c:numCache>
                <c:formatCode>General</c:formatCode>
                <c:ptCount val="3"/>
                <c:pt idx="0">
                  <c:v>2015</c:v>
                </c:pt>
                <c:pt idx="1">
                  <c:v>2030</c:v>
                </c:pt>
                <c:pt idx="2">
                  <c:v>2050</c:v>
                </c:pt>
              </c:numCache>
            </c:numRef>
          </c:cat>
          <c:val>
            <c:numRef>
              <c:f>'Sorties graphiques'!$AD$52:$AF$52</c:f>
              <c:numCache>
                <c:formatCode>0</c:formatCode>
                <c:ptCount val="3"/>
                <c:pt idx="0">
                  <c:v>1.0272759529020483</c:v>
                </c:pt>
                <c:pt idx="1">
                  <c:v>1.2976451376689369</c:v>
                </c:pt>
                <c:pt idx="2">
                  <c:v>1.7999325925864262</c:v>
                </c:pt>
              </c:numCache>
            </c:numRef>
          </c:val>
          <c:extLst>
            <c:ext xmlns:c16="http://schemas.microsoft.com/office/drawing/2014/chart" uri="{C3380CC4-5D6E-409C-BE32-E72D297353CC}">
              <c16:uniqueId val="{00000006-0D6C-48A8-B4CF-EF44F247B0E8}"/>
            </c:ext>
          </c:extLst>
        </c:ser>
        <c:ser>
          <c:idx val="7"/>
          <c:order val="7"/>
          <c:tx>
            <c:strRef>
              <c:f>'Sorties graphiques'!$AC$53</c:f>
              <c:strCache>
                <c:ptCount val="1"/>
                <c:pt idx="0">
                  <c:v>Deux-roues motorisés</c:v>
                </c:pt>
              </c:strCache>
            </c:strRef>
          </c:tx>
          <c:spPr>
            <a:solidFill>
              <a:schemeClr val="accent2">
                <a:lumMod val="60000"/>
              </a:schemeClr>
            </a:solidFill>
            <a:ln w="25400">
              <a:noFill/>
            </a:ln>
            <a:effectLst/>
          </c:spPr>
          <c:cat>
            <c:numRef>
              <c:f>'Sorties graphiques'!$AD$45:$AF$45</c:f>
              <c:numCache>
                <c:formatCode>General</c:formatCode>
                <c:ptCount val="3"/>
                <c:pt idx="0">
                  <c:v>2015</c:v>
                </c:pt>
                <c:pt idx="1">
                  <c:v>2030</c:v>
                </c:pt>
                <c:pt idx="2">
                  <c:v>2050</c:v>
                </c:pt>
              </c:numCache>
            </c:numRef>
          </c:cat>
          <c:val>
            <c:numRef>
              <c:f>'Sorties graphiques'!$AD$53:$AF$53</c:f>
              <c:numCache>
                <c:formatCode>0</c:formatCode>
                <c:ptCount val="3"/>
                <c:pt idx="0">
                  <c:v>13.009509471456456</c:v>
                </c:pt>
                <c:pt idx="1">
                  <c:v>11.023485935300039</c:v>
                </c:pt>
                <c:pt idx="2">
                  <c:v>8.5988094297316913</c:v>
                </c:pt>
              </c:numCache>
            </c:numRef>
          </c:val>
          <c:extLst>
            <c:ext xmlns:c16="http://schemas.microsoft.com/office/drawing/2014/chart" uri="{C3380CC4-5D6E-409C-BE32-E72D297353CC}">
              <c16:uniqueId val="{00000007-0D6C-48A8-B4CF-EF44F247B0E8}"/>
            </c:ext>
          </c:extLst>
        </c:ser>
        <c:ser>
          <c:idx val="8"/>
          <c:order val="8"/>
          <c:tx>
            <c:strRef>
              <c:f>'Sorties graphiques'!$AC$54</c:f>
              <c:strCache>
                <c:ptCount val="1"/>
                <c:pt idx="0">
                  <c:v>Avion</c:v>
                </c:pt>
              </c:strCache>
            </c:strRef>
          </c:tx>
          <c:spPr>
            <a:solidFill>
              <a:schemeClr val="accent3">
                <a:lumMod val="60000"/>
              </a:schemeClr>
            </a:solidFill>
            <a:ln w="25400">
              <a:noFill/>
            </a:ln>
            <a:effectLst/>
          </c:spPr>
          <c:cat>
            <c:numRef>
              <c:f>'Sorties graphiques'!$AD$45:$AF$45</c:f>
              <c:numCache>
                <c:formatCode>General</c:formatCode>
                <c:ptCount val="3"/>
                <c:pt idx="0">
                  <c:v>2015</c:v>
                </c:pt>
                <c:pt idx="1">
                  <c:v>2030</c:v>
                </c:pt>
                <c:pt idx="2">
                  <c:v>2050</c:v>
                </c:pt>
              </c:numCache>
            </c:numRef>
          </c:cat>
          <c:val>
            <c:numRef>
              <c:f>'Sorties graphiques'!$AD$54:$AF$54</c:f>
              <c:numCache>
                <c:formatCode>0</c:formatCode>
                <c:ptCount val="3"/>
                <c:pt idx="0">
                  <c:v>11.802068923325468</c:v>
                </c:pt>
                <c:pt idx="1">
                  <c:v>12.378662235119469</c:v>
                </c:pt>
                <c:pt idx="2">
                  <c:v>15.611516999171663</c:v>
                </c:pt>
              </c:numCache>
            </c:numRef>
          </c:val>
          <c:extLst>
            <c:ext xmlns:c16="http://schemas.microsoft.com/office/drawing/2014/chart" uri="{C3380CC4-5D6E-409C-BE32-E72D297353CC}">
              <c16:uniqueId val="{00000008-0D6C-48A8-B4CF-EF44F247B0E8}"/>
            </c:ext>
          </c:extLst>
        </c:ser>
        <c:ser>
          <c:idx val="9"/>
          <c:order val="9"/>
          <c:tx>
            <c:strRef>
              <c:f>'Sorties graphiques'!$AC$55</c:f>
              <c:strCache>
                <c:ptCount val="1"/>
                <c:pt idx="0">
                  <c:v>Fluvial</c:v>
                </c:pt>
              </c:strCache>
            </c:strRef>
          </c:tx>
          <c:spPr>
            <a:solidFill>
              <a:schemeClr val="accent4">
                <a:lumMod val="60000"/>
              </a:schemeClr>
            </a:solidFill>
            <a:ln w="25400">
              <a:noFill/>
            </a:ln>
            <a:effectLst/>
          </c:spPr>
          <c:cat>
            <c:numRef>
              <c:f>'Sorties graphiques'!$AD$45:$AF$45</c:f>
              <c:numCache>
                <c:formatCode>General</c:formatCode>
                <c:ptCount val="3"/>
                <c:pt idx="0">
                  <c:v>2015</c:v>
                </c:pt>
                <c:pt idx="1">
                  <c:v>2030</c:v>
                </c:pt>
                <c:pt idx="2">
                  <c:v>2050</c:v>
                </c:pt>
              </c:numCache>
            </c:numRef>
          </c:cat>
          <c:val>
            <c:numRef>
              <c:f>'Sorties graphiques'!$AD$55:$AF$55</c:f>
              <c:numCache>
                <c:formatCode>0</c:formatCode>
                <c:ptCount val="3"/>
                <c:pt idx="0">
                  <c:v>6.0471860572757219</c:v>
                </c:pt>
                <c:pt idx="1">
                  <c:v>7.5868640311123121</c:v>
                </c:pt>
                <c:pt idx="2">
                  <c:v>9.953742336521243</c:v>
                </c:pt>
              </c:numCache>
            </c:numRef>
          </c:val>
          <c:extLst>
            <c:ext xmlns:c16="http://schemas.microsoft.com/office/drawing/2014/chart" uri="{C3380CC4-5D6E-409C-BE32-E72D297353CC}">
              <c16:uniqueId val="{00000000-9781-4C9B-9E5B-467C9ADDE97F}"/>
            </c:ext>
          </c:extLst>
        </c:ser>
        <c:dLbls>
          <c:showLegendKey val="0"/>
          <c:showVal val="0"/>
          <c:showCatName val="0"/>
          <c:showSerName val="0"/>
          <c:showPercent val="0"/>
          <c:showBubbleSize val="0"/>
        </c:dLbls>
        <c:axId val="679329544"/>
        <c:axId val="679331840"/>
      </c:areaChart>
      <c:catAx>
        <c:axId val="679329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331840"/>
        <c:crosses val="autoZero"/>
        <c:auto val="1"/>
        <c:lblAlgn val="ctr"/>
        <c:lblOffset val="100"/>
        <c:noMultiLvlLbl val="0"/>
      </c:catAx>
      <c:valAx>
        <c:axId val="67933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Demande</a:t>
                </a:r>
                <a:r>
                  <a:rPr lang="fr-FR" baseline="0"/>
                  <a:t> énergétique (</a:t>
                </a:r>
                <a:r>
                  <a:rPr lang="fr-FR"/>
                  <a:t>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329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'Sorties tableaux'!$A$3</c:f>
              <c:strCache>
                <c:ptCount val="1"/>
                <c:pt idx="0">
                  <c:v>Charbon</c:v>
                </c:pt>
              </c:strCache>
            </c:strRef>
          </c:tx>
          <c:spPr>
            <a:solidFill>
              <a:schemeClr val="accent1"/>
            </a:solidFill>
            <a:ln w="25400">
              <a:noFill/>
            </a:ln>
            <a:effectLst/>
          </c:spPr>
          <c:cat>
            <c:numRef>
              <c:f>'Sorties tableaux'!$B$2:$C$2</c:f>
              <c:numCache>
                <c:formatCode>General</c:formatCode>
                <c:ptCount val="2"/>
                <c:pt idx="0">
                  <c:v>2015</c:v>
                </c:pt>
                <c:pt idx="1">
                  <c:v>2050</c:v>
                </c:pt>
              </c:numCache>
            </c:numRef>
          </c:cat>
          <c:val>
            <c:numRef>
              <c:f>'Sorties tableaux'!$B$3:$C$3</c:f>
              <c:numCache>
                <c:formatCode>0.0</c:formatCode>
                <c:ptCount val="2"/>
                <c:pt idx="0">
                  <c:v>12.203466751285113</c:v>
                </c:pt>
                <c:pt idx="1">
                  <c:v>0</c:v>
                </c:pt>
              </c:numCache>
            </c:numRef>
          </c:val>
          <c:extLst>
            <c:ext xmlns:c16="http://schemas.microsoft.com/office/drawing/2014/chart" uri="{C3380CC4-5D6E-409C-BE32-E72D297353CC}">
              <c16:uniqueId val="{00000000-AD02-424B-B882-7F82946905D1}"/>
            </c:ext>
          </c:extLst>
        </c:ser>
        <c:ser>
          <c:idx val="1"/>
          <c:order val="1"/>
          <c:tx>
            <c:strRef>
              <c:f>'Sorties tableaux'!$A$4</c:f>
              <c:strCache>
                <c:ptCount val="1"/>
                <c:pt idx="0">
                  <c:v>Produits pétroliers raffinés</c:v>
                </c:pt>
              </c:strCache>
            </c:strRef>
          </c:tx>
          <c:spPr>
            <a:solidFill>
              <a:schemeClr val="accent2"/>
            </a:solidFill>
            <a:ln w="25400">
              <a:noFill/>
            </a:ln>
            <a:effectLst/>
          </c:spPr>
          <c:cat>
            <c:numRef>
              <c:f>'Sorties tableaux'!$B$2:$C$2</c:f>
              <c:numCache>
                <c:formatCode>General</c:formatCode>
                <c:ptCount val="2"/>
                <c:pt idx="0">
                  <c:v>2015</c:v>
                </c:pt>
                <c:pt idx="1">
                  <c:v>2050</c:v>
                </c:pt>
              </c:numCache>
            </c:numRef>
          </c:cat>
          <c:val>
            <c:numRef>
              <c:f>'Sorties tableaux'!$B$4:$C$4</c:f>
              <c:numCache>
                <c:formatCode>0.0</c:formatCode>
                <c:ptCount val="2"/>
                <c:pt idx="0">
                  <c:v>27.407368025357055</c:v>
                </c:pt>
                <c:pt idx="1">
                  <c:v>12.480008220168315</c:v>
                </c:pt>
              </c:numCache>
            </c:numRef>
          </c:val>
          <c:extLst>
            <c:ext xmlns:c16="http://schemas.microsoft.com/office/drawing/2014/chart" uri="{C3380CC4-5D6E-409C-BE32-E72D297353CC}">
              <c16:uniqueId val="{00000001-AD02-424B-B882-7F82946905D1}"/>
            </c:ext>
          </c:extLst>
        </c:ser>
        <c:ser>
          <c:idx val="2"/>
          <c:order val="2"/>
          <c:tx>
            <c:strRef>
              <c:f>'Sorties tableaux'!$A$5</c:f>
              <c:strCache>
                <c:ptCount val="1"/>
                <c:pt idx="0">
                  <c:v>Gaz</c:v>
                </c:pt>
              </c:strCache>
            </c:strRef>
          </c:tx>
          <c:spPr>
            <a:solidFill>
              <a:schemeClr val="accent3"/>
            </a:solidFill>
            <a:ln w="25400">
              <a:noFill/>
            </a:ln>
            <a:effectLst/>
          </c:spPr>
          <c:cat>
            <c:numRef>
              <c:f>'Sorties tableaux'!$B$2:$C$2</c:f>
              <c:numCache>
                <c:formatCode>General</c:formatCode>
                <c:ptCount val="2"/>
                <c:pt idx="0">
                  <c:v>2015</c:v>
                </c:pt>
                <c:pt idx="1">
                  <c:v>2050</c:v>
                </c:pt>
              </c:numCache>
            </c:numRef>
          </c:cat>
          <c:val>
            <c:numRef>
              <c:f>'Sorties tableaux'!$B$5:$C$5</c:f>
              <c:numCache>
                <c:formatCode>0.0</c:formatCode>
                <c:ptCount val="2"/>
                <c:pt idx="0">
                  <c:v>118.67061841643745</c:v>
                </c:pt>
                <c:pt idx="1">
                  <c:v>154.61099040006243</c:v>
                </c:pt>
              </c:numCache>
            </c:numRef>
          </c:val>
          <c:extLst>
            <c:ext xmlns:c16="http://schemas.microsoft.com/office/drawing/2014/chart" uri="{C3380CC4-5D6E-409C-BE32-E72D297353CC}">
              <c16:uniqueId val="{00000002-AD02-424B-B882-7F82946905D1}"/>
            </c:ext>
          </c:extLst>
        </c:ser>
        <c:ser>
          <c:idx val="3"/>
          <c:order val="3"/>
          <c:tx>
            <c:strRef>
              <c:f>'Sorties tableaux'!$A$6</c:f>
              <c:strCache>
                <c:ptCount val="1"/>
                <c:pt idx="0">
                  <c:v>EnR thermiques et déchets</c:v>
                </c:pt>
              </c:strCache>
            </c:strRef>
          </c:tx>
          <c:spPr>
            <a:solidFill>
              <a:schemeClr val="accent4"/>
            </a:solidFill>
            <a:ln w="25400">
              <a:noFill/>
            </a:ln>
            <a:effectLst/>
          </c:spPr>
          <c:cat>
            <c:numRef>
              <c:f>'Sorties tableaux'!$B$2:$C$2</c:f>
              <c:numCache>
                <c:formatCode>General</c:formatCode>
                <c:ptCount val="2"/>
                <c:pt idx="0">
                  <c:v>2015</c:v>
                </c:pt>
                <c:pt idx="1">
                  <c:v>2050</c:v>
                </c:pt>
              </c:numCache>
            </c:numRef>
          </c:cat>
          <c:val>
            <c:numRef>
              <c:f>'Sorties tableaux'!$B$6:$C$6</c:f>
              <c:numCache>
                <c:formatCode>0.0</c:formatCode>
                <c:ptCount val="2"/>
                <c:pt idx="0">
                  <c:v>15.881388888888889</c:v>
                </c:pt>
                <c:pt idx="1">
                  <c:v>42.43986294755819</c:v>
                </c:pt>
              </c:numCache>
            </c:numRef>
          </c:val>
          <c:extLst>
            <c:ext xmlns:c16="http://schemas.microsoft.com/office/drawing/2014/chart" uri="{C3380CC4-5D6E-409C-BE32-E72D297353CC}">
              <c16:uniqueId val="{00000003-AD02-424B-B882-7F82946905D1}"/>
            </c:ext>
          </c:extLst>
        </c:ser>
        <c:ser>
          <c:idx val="4"/>
          <c:order val="4"/>
          <c:tx>
            <c:strRef>
              <c:f>'Sorties tableaux'!$A$7</c:f>
              <c:strCache>
                <c:ptCount val="1"/>
                <c:pt idx="0">
                  <c:v>Électricité</c:v>
                </c:pt>
              </c:strCache>
            </c:strRef>
          </c:tx>
          <c:spPr>
            <a:solidFill>
              <a:schemeClr val="accent5"/>
            </a:solidFill>
            <a:ln w="25400">
              <a:noFill/>
            </a:ln>
            <a:effectLst/>
          </c:spPr>
          <c:cat>
            <c:numRef>
              <c:f>'Sorties tableaux'!$B$2:$C$2</c:f>
              <c:numCache>
                <c:formatCode>General</c:formatCode>
                <c:ptCount val="2"/>
                <c:pt idx="0">
                  <c:v>2015</c:v>
                </c:pt>
                <c:pt idx="1">
                  <c:v>2050</c:v>
                </c:pt>
              </c:numCache>
            </c:numRef>
          </c:cat>
          <c:val>
            <c:numRef>
              <c:f>'Sorties tableaux'!$B$7:$C$7</c:f>
              <c:numCache>
                <c:formatCode>0.0</c:formatCode>
                <c:ptCount val="2"/>
                <c:pt idx="0">
                  <c:v>117.10889162345136</c:v>
                </c:pt>
                <c:pt idx="1">
                  <c:v>150.16208688348468</c:v>
                </c:pt>
              </c:numCache>
            </c:numRef>
          </c:val>
          <c:extLst>
            <c:ext xmlns:c16="http://schemas.microsoft.com/office/drawing/2014/chart" uri="{C3380CC4-5D6E-409C-BE32-E72D297353CC}">
              <c16:uniqueId val="{00000004-AD02-424B-B882-7F82946905D1}"/>
            </c:ext>
          </c:extLst>
        </c:ser>
        <c:ser>
          <c:idx val="5"/>
          <c:order val="5"/>
          <c:tx>
            <c:strRef>
              <c:f>'Sorties tableaux'!$A$8</c:f>
              <c:strCache>
                <c:ptCount val="1"/>
                <c:pt idx="0">
                  <c:v>Chaleur vendue</c:v>
                </c:pt>
              </c:strCache>
            </c:strRef>
          </c:tx>
          <c:spPr>
            <a:solidFill>
              <a:schemeClr val="accent6"/>
            </a:solidFill>
            <a:ln w="25400">
              <a:noFill/>
            </a:ln>
            <a:effectLst/>
          </c:spPr>
          <c:cat>
            <c:numRef>
              <c:f>'Sorties tableaux'!$B$2:$C$2</c:f>
              <c:numCache>
                <c:formatCode>General</c:formatCode>
                <c:ptCount val="2"/>
                <c:pt idx="0">
                  <c:v>2015</c:v>
                </c:pt>
                <c:pt idx="1">
                  <c:v>2050</c:v>
                </c:pt>
              </c:numCache>
            </c:numRef>
          </c:cat>
          <c:val>
            <c:numRef>
              <c:f>'Sorties tableaux'!$B$8:$C$8</c:f>
              <c:numCache>
                <c:formatCode>0.0</c:formatCode>
                <c:ptCount val="2"/>
                <c:pt idx="0">
                  <c:v>13.27604883605958</c:v>
                </c:pt>
                <c:pt idx="1">
                  <c:v>15.077199382354873</c:v>
                </c:pt>
              </c:numCache>
            </c:numRef>
          </c:val>
          <c:extLst>
            <c:ext xmlns:c16="http://schemas.microsoft.com/office/drawing/2014/chart" uri="{C3380CC4-5D6E-409C-BE32-E72D297353CC}">
              <c16:uniqueId val="{00000005-AD02-424B-B882-7F82946905D1}"/>
            </c:ext>
          </c:extLst>
        </c:ser>
        <c:ser>
          <c:idx val="6"/>
          <c:order val="6"/>
          <c:tx>
            <c:strRef>
              <c:f>'Sorties tableaux'!$A$9</c:f>
              <c:strCache>
                <c:ptCount val="1"/>
                <c:pt idx="0">
                  <c:v>Hydrogène</c:v>
                </c:pt>
              </c:strCache>
            </c:strRef>
          </c:tx>
          <c:spPr>
            <a:solidFill>
              <a:schemeClr val="accent1">
                <a:lumMod val="60000"/>
              </a:schemeClr>
            </a:solidFill>
            <a:ln w="25400">
              <a:noFill/>
            </a:ln>
            <a:effectLst/>
          </c:spPr>
          <c:cat>
            <c:numRef>
              <c:f>'Sorties tableaux'!$B$2:$C$2</c:f>
              <c:numCache>
                <c:formatCode>General</c:formatCode>
                <c:ptCount val="2"/>
                <c:pt idx="0">
                  <c:v>2015</c:v>
                </c:pt>
                <c:pt idx="1">
                  <c:v>2050</c:v>
                </c:pt>
              </c:numCache>
            </c:numRef>
          </c:cat>
          <c:val>
            <c:numRef>
              <c:f>'Sorties tableaux'!$B$9:$C$9</c:f>
              <c:numCache>
                <c:formatCode>0.0</c:formatCode>
                <c:ptCount val="2"/>
                <c:pt idx="0">
                  <c:v>0</c:v>
                </c:pt>
                <c:pt idx="1">
                  <c:v>8.6044727999999999</c:v>
                </c:pt>
              </c:numCache>
            </c:numRef>
          </c:val>
          <c:extLst>
            <c:ext xmlns:c16="http://schemas.microsoft.com/office/drawing/2014/chart" uri="{C3380CC4-5D6E-409C-BE32-E72D297353CC}">
              <c16:uniqueId val="{00000006-AD02-424B-B882-7F82946905D1}"/>
            </c:ext>
          </c:extLst>
        </c:ser>
        <c:dLbls>
          <c:showLegendKey val="0"/>
          <c:showVal val="0"/>
          <c:showCatName val="0"/>
          <c:showSerName val="0"/>
          <c:showPercent val="0"/>
          <c:showBubbleSize val="0"/>
        </c:dLbls>
        <c:axId val="516718712"/>
        <c:axId val="516717400"/>
      </c:areaChart>
      <c:catAx>
        <c:axId val="516718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6717400"/>
        <c:crosses val="autoZero"/>
        <c:auto val="1"/>
        <c:lblAlgn val="ctr"/>
        <c:lblOffset val="100"/>
        <c:noMultiLvlLbl val="0"/>
      </c:catAx>
      <c:valAx>
        <c:axId val="516717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Energie finale (TWh)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67187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'Sorties tableaux'!$A$17</c:f>
              <c:strCache>
                <c:ptCount val="1"/>
                <c:pt idx="0">
                  <c:v>Charbon</c:v>
                </c:pt>
              </c:strCache>
            </c:strRef>
          </c:tx>
          <c:spPr>
            <a:solidFill>
              <a:schemeClr val="accent1"/>
            </a:solidFill>
            <a:ln w="25400">
              <a:noFill/>
            </a:ln>
            <a:effectLst/>
          </c:spPr>
          <c:cat>
            <c:numRef>
              <c:f>'Sorties tableaux'!$B$16:$C$16</c:f>
              <c:numCache>
                <c:formatCode>General</c:formatCode>
                <c:ptCount val="2"/>
                <c:pt idx="0">
                  <c:v>2015</c:v>
                </c:pt>
                <c:pt idx="1">
                  <c:v>2050</c:v>
                </c:pt>
              </c:numCache>
            </c:numRef>
          </c:cat>
          <c:val>
            <c:numRef>
              <c:f>'Sorties tableaux'!$B$17:$C$17</c:f>
              <c:numCache>
                <c:formatCode>0.0</c:formatCode>
                <c:ptCount val="2"/>
                <c:pt idx="0">
                  <c:v>0.42756760655584669</c:v>
                </c:pt>
                <c:pt idx="1">
                  <c:v>0</c:v>
                </c:pt>
              </c:numCache>
            </c:numRef>
          </c:val>
          <c:extLst>
            <c:ext xmlns:c16="http://schemas.microsoft.com/office/drawing/2014/chart" uri="{C3380CC4-5D6E-409C-BE32-E72D297353CC}">
              <c16:uniqueId val="{00000000-4F8B-40B5-97D3-C956A4AD9C40}"/>
            </c:ext>
          </c:extLst>
        </c:ser>
        <c:ser>
          <c:idx val="1"/>
          <c:order val="1"/>
          <c:tx>
            <c:strRef>
              <c:f>'Sorties tableaux'!$A$18</c:f>
              <c:strCache>
                <c:ptCount val="1"/>
                <c:pt idx="0">
                  <c:v>Produits pétroliers raffinés</c:v>
                </c:pt>
              </c:strCache>
            </c:strRef>
          </c:tx>
          <c:spPr>
            <a:solidFill>
              <a:schemeClr val="accent2"/>
            </a:solidFill>
            <a:ln w="25400">
              <a:noFill/>
            </a:ln>
            <a:effectLst/>
          </c:spPr>
          <c:cat>
            <c:numRef>
              <c:f>'Sorties tableaux'!$B$16:$C$16</c:f>
              <c:numCache>
                <c:formatCode>General</c:formatCode>
                <c:ptCount val="2"/>
                <c:pt idx="0">
                  <c:v>2015</c:v>
                </c:pt>
                <c:pt idx="1">
                  <c:v>2050</c:v>
                </c:pt>
              </c:numCache>
            </c:numRef>
          </c:cat>
          <c:val>
            <c:numRef>
              <c:f>'Sorties tableaux'!$B$18:$C$18</c:f>
              <c:numCache>
                <c:formatCode>0.0</c:formatCode>
                <c:ptCount val="2"/>
                <c:pt idx="0">
                  <c:v>77.633685630565125</c:v>
                </c:pt>
                <c:pt idx="1">
                  <c:v>23.458665233101932</c:v>
                </c:pt>
              </c:numCache>
            </c:numRef>
          </c:val>
          <c:extLst>
            <c:ext xmlns:c16="http://schemas.microsoft.com/office/drawing/2014/chart" uri="{C3380CC4-5D6E-409C-BE32-E72D297353CC}">
              <c16:uniqueId val="{00000001-4F8B-40B5-97D3-C956A4AD9C40}"/>
            </c:ext>
          </c:extLst>
        </c:ser>
        <c:ser>
          <c:idx val="2"/>
          <c:order val="2"/>
          <c:tx>
            <c:strRef>
              <c:f>'Sorties tableaux'!$A$19</c:f>
              <c:strCache>
                <c:ptCount val="1"/>
                <c:pt idx="0">
                  <c:v>Gaz</c:v>
                </c:pt>
              </c:strCache>
            </c:strRef>
          </c:tx>
          <c:spPr>
            <a:solidFill>
              <a:schemeClr val="accent3"/>
            </a:solidFill>
            <a:ln w="25400">
              <a:noFill/>
            </a:ln>
            <a:effectLst/>
          </c:spPr>
          <c:cat>
            <c:numRef>
              <c:f>'Sorties tableaux'!$B$16:$C$16</c:f>
              <c:numCache>
                <c:formatCode>General</c:formatCode>
                <c:ptCount val="2"/>
                <c:pt idx="0">
                  <c:v>2015</c:v>
                </c:pt>
                <c:pt idx="1">
                  <c:v>2050</c:v>
                </c:pt>
              </c:numCache>
            </c:numRef>
          </c:cat>
          <c:val>
            <c:numRef>
              <c:f>'Sorties tableaux'!$B$19:$C$19</c:f>
              <c:numCache>
                <c:formatCode>0.0</c:formatCode>
                <c:ptCount val="2"/>
                <c:pt idx="0">
                  <c:v>137.03098174643137</c:v>
                </c:pt>
                <c:pt idx="1">
                  <c:v>83.41944380149387</c:v>
                </c:pt>
              </c:numCache>
            </c:numRef>
          </c:val>
          <c:extLst>
            <c:ext xmlns:c16="http://schemas.microsoft.com/office/drawing/2014/chart" uri="{C3380CC4-5D6E-409C-BE32-E72D297353CC}">
              <c16:uniqueId val="{00000002-4F8B-40B5-97D3-C956A4AD9C40}"/>
            </c:ext>
          </c:extLst>
        </c:ser>
        <c:ser>
          <c:idx val="3"/>
          <c:order val="3"/>
          <c:tx>
            <c:strRef>
              <c:f>'Sorties tableaux'!$A$20</c:f>
              <c:strCache>
                <c:ptCount val="1"/>
                <c:pt idx="0">
                  <c:v>EnR thermiques et déchets</c:v>
                </c:pt>
              </c:strCache>
            </c:strRef>
          </c:tx>
          <c:spPr>
            <a:solidFill>
              <a:schemeClr val="accent4"/>
            </a:solidFill>
            <a:ln w="25400">
              <a:noFill/>
            </a:ln>
            <a:effectLst/>
          </c:spPr>
          <c:cat>
            <c:numRef>
              <c:f>'Sorties tableaux'!$B$16:$C$16</c:f>
              <c:numCache>
                <c:formatCode>General</c:formatCode>
                <c:ptCount val="2"/>
                <c:pt idx="0">
                  <c:v>2015</c:v>
                </c:pt>
                <c:pt idx="1">
                  <c:v>2050</c:v>
                </c:pt>
              </c:numCache>
            </c:numRef>
          </c:cat>
          <c:val>
            <c:numRef>
              <c:f>'Sorties tableaux'!$B$20:$C$20</c:f>
              <c:numCache>
                <c:formatCode>0.0</c:formatCode>
                <c:ptCount val="2"/>
                <c:pt idx="0">
                  <c:v>102.79147321640156</c:v>
                </c:pt>
                <c:pt idx="1">
                  <c:v>113.11848024425065</c:v>
                </c:pt>
              </c:numCache>
            </c:numRef>
          </c:val>
          <c:extLst>
            <c:ext xmlns:c16="http://schemas.microsoft.com/office/drawing/2014/chart" uri="{C3380CC4-5D6E-409C-BE32-E72D297353CC}">
              <c16:uniqueId val="{00000003-4F8B-40B5-97D3-C956A4AD9C40}"/>
            </c:ext>
          </c:extLst>
        </c:ser>
        <c:ser>
          <c:idx val="4"/>
          <c:order val="4"/>
          <c:tx>
            <c:strRef>
              <c:f>'Sorties tableaux'!$A$21</c:f>
              <c:strCache>
                <c:ptCount val="1"/>
                <c:pt idx="0">
                  <c:v>Électricité</c:v>
                </c:pt>
              </c:strCache>
            </c:strRef>
          </c:tx>
          <c:spPr>
            <a:solidFill>
              <a:schemeClr val="accent5"/>
            </a:solidFill>
            <a:ln w="25400">
              <a:noFill/>
            </a:ln>
            <a:effectLst/>
          </c:spPr>
          <c:cat>
            <c:numRef>
              <c:f>'Sorties tableaux'!$B$16:$C$16</c:f>
              <c:numCache>
                <c:formatCode>General</c:formatCode>
                <c:ptCount val="2"/>
                <c:pt idx="0">
                  <c:v>2015</c:v>
                </c:pt>
                <c:pt idx="1">
                  <c:v>2050</c:v>
                </c:pt>
              </c:numCache>
            </c:numRef>
          </c:cat>
          <c:val>
            <c:numRef>
              <c:f>'Sorties tableaux'!$B$21:$C$21</c:f>
              <c:numCache>
                <c:formatCode>0.0</c:formatCode>
                <c:ptCount val="2"/>
                <c:pt idx="0">
                  <c:v>158.4048688861989</c:v>
                </c:pt>
                <c:pt idx="1">
                  <c:v>177.78732524931328</c:v>
                </c:pt>
              </c:numCache>
            </c:numRef>
          </c:val>
          <c:extLst>
            <c:ext xmlns:c16="http://schemas.microsoft.com/office/drawing/2014/chart" uri="{C3380CC4-5D6E-409C-BE32-E72D297353CC}">
              <c16:uniqueId val="{00000004-4F8B-40B5-97D3-C956A4AD9C40}"/>
            </c:ext>
          </c:extLst>
        </c:ser>
        <c:ser>
          <c:idx val="5"/>
          <c:order val="5"/>
          <c:tx>
            <c:strRef>
              <c:f>'Sorties tableaux'!$A$22</c:f>
              <c:strCache>
                <c:ptCount val="1"/>
                <c:pt idx="0">
                  <c:v>Chaleur vendue</c:v>
                </c:pt>
              </c:strCache>
            </c:strRef>
          </c:tx>
          <c:spPr>
            <a:solidFill>
              <a:schemeClr val="accent6"/>
            </a:solidFill>
            <a:ln w="25400">
              <a:noFill/>
            </a:ln>
            <a:effectLst/>
          </c:spPr>
          <c:cat>
            <c:numRef>
              <c:f>'Sorties tableaux'!$B$16:$C$16</c:f>
              <c:numCache>
                <c:formatCode>General</c:formatCode>
                <c:ptCount val="2"/>
                <c:pt idx="0">
                  <c:v>2015</c:v>
                </c:pt>
                <c:pt idx="1">
                  <c:v>2050</c:v>
                </c:pt>
              </c:numCache>
            </c:numRef>
          </c:cat>
          <c:val>
            <c:numRef>
              <c:f>'Sorties tableaux'!$B$22:$C$22</c:f>
              <c:numCache>
                <c:formatCode>0.0</c:formatCode>
                <c:ptCount val="2"/>
                <c:pt idx="0">
                  <c:v>14.09374994171168</c:v>
                </c:pt>
                <c:pt idx="1">
                  <c:v>12.055217383225726</c:v>
                </c:pt>
              </c:numCache>
            </c:numRef>
          </c:val>
          <c:extLst>
            <c:ext xmlns:c16="http://schemas.microsoft.com/office/drawing/2014/chart" uri="{C3380CC4-5D6E-409C-BE32-E72D297353CC}">
              <c16:uniqueId val="{00000005-4F8B-40B5-97D3-C956A4AD9C40}"/>
            </c:ext>
          </c:extLst>
        </c:ser>
        <c:dLbls>
          <c:showLegendKey val="0"/>
          <c:showVal val="0"/>
          <c:showCatName val="0"/>
          <c:showSerName val="0"/>
          <c:showPercent val="0"/>
          <c:showBubbleSize val="0"/>
        </c:dLbls>
        <c:axId val="516718712"/>
        <c:axId val="516717400"/>
      </c:areaChart>
      <c:catAx>
        <c:axId val="516718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6717400"/>
        <c:crosses val="autoZero"/>
        <c:auto val="1"/>
        <c:lblAlgn val="ctr"/>
        <c:lblOffset val="100"/>
        <c:noMultiLvlLbl val="0"/>
      </c:catAx>
      <c:valAx>
        <c:axId val="516717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Energie finale (TWh)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67187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'Sorties tableaux'!$A$31</c:f>
              <c:strCache>
                <c:ptCount val="1"/>
                <c:pt idx="0">
                  <c:v>Charbon</c:v>
                </c:pt>
              </c:strCache>
            </c:strRef>
          </c:tx>
          <c:spPr>
            <a:solidFill>
              <a:schemeClr val="accent1"/>
            </a:solidFill>
            <a:ln w="25400">
              <a:noFill/>
            </a:ln>
            <a:effectLst/>
          </c:spPr>
          <c:cat>
            <c:numRef>
              <c:f>'Sorties tableaux'!$B$30:$C$30</c:f>
              <c:numCache>
                <c:formatCode>General</c:formatCode>
                <c:ptCount val="2"/>
                <c:pt idx="0">
                  <c:v>2015</c:v>
                </c:pt>
                <c:pt idx="1">
                  <c:v>2050</c:v>
                </c:pt>
              </c:numCache>
            </c:numRef>
          </c:cat>
          <c:val>
            <c:numRef>
              <c:f>'Sorties tableaux'!$B$31:$C$31</c:f>
              <c:numCache>
                <c:formatCode>0.0</c:formatCode>
                <c:ptCount val="2"/>
                <c:pt idx="0">
                  <c:v>0.50094355240087396</c:v>
                </c:pt>
                <c:pt idx="1">
                  <c:v>0</c:v>
                </c:pt>
              </c:numCache>
            </c:numRef>
          </c:val>
          <c:extLst>
            <c:ext xmlns:c16="http://schemas.microsoft.com/office/drawing/2014/chart" uri="{C3380CC4-5D6E-409C-BE32-E72D297353CC}">
              <c16:uniqueId val="{00000000-13CD-477D-A76F-213C360DFBFA}"/>
            </c:ext>
          </c:extLst>
        </c:ser>
        <c:ser>
          <c:idx val="1"/>
          <c:order val="1"/>
          <c:tx>
            <c:strRef>
              <c:f>'Sorties tableaux'!$A$32</c:f>
              <c:strCache>
                <c:ptCount val="1"/>
                <c:pt idx="0">
                  <c:v>Produits pétroliers raffinés</c:v>
                </c:pt>
              </c:strCache>
            </c:strRef>
          </c:tx>
          <c:spPr>
            <a:solidFill>
              <a:schemeClr val="accent2"/>
            </a:solidFill>
            <a:ln w="25400">
              <a:noFill/>
            </a:ln>
            <a:effectLst/>
          </c:spPr>
          <c:cat>
            <c:numRef>
              <c:f>'Sorties tableaux'!$B$30:$C$30</c:f>
              <c:numCache>
                <c:formatCode>General</c:formatCode>
                <c:ptCount val="2"/>
                <c:pt idx="0">
                  <c:v>2015</c:v>
                </c:pt>
                <c:pt idx="1">
                  <c:v>2050</c:v>
                </c:pt>
              </c:numCache>
            </c:numRef>
          </c:cat>
          <c:val>
            <c:numRef>
              <c:f>'Sorties tableaux'!$B$32:$C$32</c:f>
              <c:numCache>
                <c:formatCode>0.0</c:formatCode>
                <c:ptCount val="2"/>
                <c:pt idx="0">
                  <c:v>35.069865447165206</c:v>
                </c:pt>
                <c:pt idx="1">
                  <c:v>1.4523830853815558</c:v>
                </c:pt>
              </c:numCache>
            </c:numRef>
          </c:val>
          <c:extLst>
            <c:ext xmlns:c16="http://schemas.microsoft.com/office/drawing/2014/chart" uri="{C3380CC4-5D6E-409C-BE32-E72D297353CC}">
              <c16:uniqueId val="{00000001-13CD-477D-A76F-213C360DFBFA}"/>
            </c:ext>
          </c:extLst>
        </c:ser>
        <c:ser>
          <c:idx val="2"/>
          <c:order val="2"/>
          <c:tx>
            <c:strRef>
              <c:f>'Sorties tableaux'!$A$33</c:f>
              <c:strCache>
                <c:ptCount val="1"/>
                <c:pt idx="0">
                  <c:v>Gaz</c:v>
                </c:pt>
              </c:strCache>
            </c:strRef>
          </c:tx>
          <c:spPr>
            <a:solidFill>
              <a:schemeClr val="accent3"/>
            </a:solidFill>
            <a:ln w="25400">
              <a:noFill/>
            </a:ln>
            <a:effectLst/>
          </c:spPr>
          <c:cat>
            <c:numRef>
              <c:f>'Sorties tableaux'!$B$30:$C$30</c:f>
              <c:numCache>
                <c:formatCode>General</c:formatCode>
                <c:ptCount val="2"/>
                <c:pt idx="0">
                  <c:v>2015</c:v>
                </c:pt>
                <c:pt idx="1">
                  <c:v>2050</c:v>
                </c:pt>
              </c:numCache>
            </c:numRef>
          </c:cat>
          <c:val>
            <c:numRef>
              <c:f>'Sorties tableaux'!$B$33:$C$33</c:f>
              <c:numCache>
                <c:formatCode>0.0</c:formatCode>
                <c:ptCount val="2"/>
                <c:pt idx="0">
                  <c:v>83.023968708937147</c:v>
                </c:pt>
                <c:pt idx="1">
                  <c:v>44.600362574813907</c:v>
                </c:pt>
              </c:numCache>
            </c:numRef>
          </c:val>
          <c:extLst>
            <c:ext xmlns:c16="http://schemas.microsoft.com/office/drawing/2014/chart" uri="{C3380CC4-5D6E-409C-BE32-E72D297353CC}">
              <c16:uniqueId val="{00000002-13CD-477D-A76F-213C360DFBFA}"/>
            </c:ext>
          </c:extLst>
        </c:ser>
        <c:ser>
          <c:idx val="3"/>
          <c:order val="3"/>
          <c:tx>
            <c:strRef>
              <c:f>'Sorties tableaux'!$A$34</c:f>
              <c:strCache>
                <c:ptCount val="1"/>
                <c:pt idx="0">
                  <c:v>EnR thermiques et déchets</c:v>
                </c:pt>
              </c:strCache>
            </c:strRef>
          </c:tx>
          <c:spPr>
            <a:solidFill>
              <a:schemeClr val="accent4"/>
            </a:solidFill>
            <a:ln w="25400">
              <a:noFill/>
            </a:ln>
            <a:effectLst/>
          </c:spPr>
          <c:cat>
            <c:numRef>
              <c:f>'Sorties tableaux'!$B$30:$C$30</c:f>
              <c:numCache>
                <c:formatCode>General</c:formatCode>
                <c:ptCount val="2"/>
                <c:pt idx="0">
                  <c:v>2015</c:v>
                </c:pt>
                <c:pt idx="1">
                  <c:v>2050</c:v>
                </c:pt>
              </c:numCache>
            </c:numRef>
          </c:cat>
          <c:val>
            <c:numRef>
              <c:f>'Sorties tableaux'!$B$34:$C$34</c:f>
              <c:numCache>
                <c:formatCode>0.0</c:formatCode>
                <c:ptCount val="2"/>
                <c:pt idx="0">
                  <c:v>10.427253780934677</c:v>
                </c:pt>
                <c:pt idx="1">
                  <c:v>24.798626150742429</c:v>
                </c:pt>
              </c:numCache>
            </c:numRef>
          </c:val>
          <c:extLst>
            <c:ext xmlns:c16="http://schemas.microsoft.com/office/drawing/2014/chart" uri="{C3380CC4-5D6E-409C-BE32-E72D297353CC}">
              <c16:uniqueId val="{00000003-13CD-477D-A76F-213C360DFBFA}"/>
            </c:ext>
          </c:extLst>
        </c:ser>
        <c:ser>
          <c:idx val="4"/>
          <c:order val="4"/>
          <c:tx>
            <c:strRef>
              <c:f>'Sorties tableaux'!$A$35</c:f>
              <c:strCache>
                <c:ptCount val="1"/>
                <c:pt idx="0">
                  <c:v>Électricité</c:v>
                </c:pt>
              </c:strCache>
            </c:strRef>
          </c:tx>
          <c:spPr>
            <a:solidFill>
              <a:schemeClr val="accent5"/>
            </a:solidFill>
            <a:ln w="25400">
              <a:noFill/>
            </a:ln>
            <a:effectLst/>
          </c:spPr>
          <c:cat>
            <c:numRef>
              <c:f>'Sorties tableaux'!$B$30:$C$30</c:f>
              <c:numCache>
                <c:formatCode>General</c:formatCode>
                <c:ptCount val="2"/>
                <c:pt idx="0">
                  <c:v>2015</c:v>
                </c:pt>
                <c:pt idx="1">
                  <c:v>2050</c:v>
                </c:pt>
              </c:numCache>
            </c:numRef>
          </c:cat>
          <c:val>
            <c:numRef>
              <c:f>'Sorties tableaux'!$B$35:$C$35</c:f>
              <c:numCache>
                <c:formatCode>0.0</c:formatCode>
                <c:ptCount val="2"/>
                <c:pt idx="0">
                  <c:v>147.71688049169239</c:v>
                </c:pt>
                <c:pt idx="1">
                  <c:v>164.44981577246435</c:v>
                </c:pt>
              </c:numCache>
            </c:numRef>
          </c:val>
          <c:extLst>
            <c:ext xmlns:c16="http://schemas.microsoft.com/office/drawing/2014/chart" uri="{C3380CC4-5D6E-409C-BE32-E72D297353CC}">
              <c16:uniqueId val="{00000004-13CD-477D-A76F-213C360DFBFA}"/>
            </c:ext>
          </c:extLst>
        </c:ser>
        <c:ser>
          <c:idx val="5"/>
          <c:order val="5"/>
          <c:tx>
            <c:strRef>
              <c:f>'Sorties tableaux'!$A$36</c:f>
              <c:strCache>
                <c:ptCount val="1"/>
                <c:pt idx="0">
                  <c:v>Chaleur vendue</c:v>
                </c:pt>
              </c:strCache>
            </c:strRef>
          </c:tx>
          <c:spPr>
            <a:solidFill>
              <a:schemeClr val="accent6"/>
            </a:solidFill>
            <a:ln w="25400">
              <a:noFill/>
            </a:ln>
            <a:effectLst/>
          </c:spPr>
          <c:cat>
            <c:numRef>
              <c:f>'Sorties tableaux'!$B$30:$C$30</c:f>
              <c:numCache>
                <c:formatCode>General</c:formatCode>
                <c:ptCount val="2"/>
                <c:pt idx="0">
                  <c:v>2015</c:v>
                </c:pt>
                <c:pt idx="1">
                  <c:v>2050</c:v>
                </c:pt>
              </c:numCache>
            </c:numRef>
          </c:cat>
          <c:val>
            <c:numRef>
              <c:f>'Sorties tableaux'!$B$36:$C$36</c:f>
              <c:numCache>
                <c:formatCode>0.0</c:formatCode>
                <c:ptCount val="2"/>
                <c:pt idx="0">
                  <c:v>8.2660629147114904</c:v>
                </c:pt>
                <c:pt idx="1">
                  <c:v>3.6024125412526571</c:v>
                </c:pt>
              </c:numCache>
            </c:numRef>
          </c:val>
          <c:extLst>
            <c:ext xmlns:c16="http://schemas.microsoft.com/office/drawing/2014/chart" uri="{C3380CC4-5D6E-409C-BE32-E72D297353CC}">
              <c16:uniqueId val="{00000005-13CD-477D-A76F-213C360DFBFA}"/>
            </c:ext>
          </c:extLst>
        </c:ser>
        <c:ser>
          <c:idx val="6"/>
          <c:order val="6"/>
          <c:tx>
            <c:strRef>
              <c:f>'Sorties tableaux'!$A$37</c:f>
              <c:strCache>
                <c:ptCount val="1"/>
                <c:pt idx="0">
                  <c:v>Hydrogène</c:v>
                </c:pt>
              </c:strCache>
            </c:strRef>
          </c:tx>
          <c:spPr>
            <a:solidFill>
              <a:schemeClr val="accent1">
                <a:lumMod val="60000"/>
              </a:schemeClr>
            </a:solidFill>
            <a:ln w="25400">
              <a:noFill/>
            </a:ln>
            <a:effectLst/>
          </c:spPr>
          <c:cat>
            <c:numRef>
              <c:f>'Sorties tableaux'!$B$30:$C$30</c:f>
              <c:numCache>
                <c:formatCode>General</c:formatCode>
                <c:ptCount val="2"/>
                <c:pt idx="0">
                  <c:v>2015</c:v>
                </c:pt>
                <c:pt idx="1">
                  <c:v>2050</c:v>
                </c:pt>
              </c:numCache>
            </c:numRef>
          </c:cat>
          <c:val>
            <c:numRef>
              <c:f>'Sorties tableaux'!$B$37:$C$37</c:f>
              <c:numCache>
                <c:formatCode>0.0</c:formatCode>
                <c:ptCount val="2"/>
                <c:pt idx="0">
                  <c:v>0</c:v>
                </c:pt>
                <c:pt idx="1">
                  <c:v>0</c:v>
                </c:pt>
              </c:numCache>
            </c:numRef>
          </c:val>
          <c:extLst>
            <c:ext xmlns:c16="http://schemas.microsoft.com/office/drawing/2014/chart" uri="{C3380CC4-5D6E-409C-BE32-E72D297353CC}">
              <c16:uniqueId val="{00000006-13CD-477D-A76F-213C360DFBFA}"/>
            </c:ext>
          </c:extLst>
        </c:ser>
        <c:dLbls>
          <c:showLegendKey val="0"/>
          <c:showVal val="0"/>
          <c:showCatName val="0"/>
          <c:showSerName val="0"/>
          <c:showPercent val="0"/>
          <c:showBubbleSize val="0"/>
        </c:dLbls>
        <c:axId val="516718712"/>
        <c:axId val="516717400"/>
      </c:areaChart>
      <c:catAx>
        <c:axId val="516718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6717400"/>
        <c:crosses val="autoZero"/>
        <c:auto val="1"/>
        <c:lblAlgn val="ctr"/>
        <c:lblOffset val="100"/>
        <c:noMultiLvlLbl val="0"/>
      </c:catAx>
      <c:valAx>
        <c:axId val="516717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Energie finale (TWh)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67187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Bilan net GES</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1"/>
          <c:order val="1"/>
          <c:tx>
            <c:strRef>
              <c:f>'Comparaison AME'!$A$20</c:f>
              <c:strCache>
                <c:ptCount val="1"/>
                <c:pt idx="0">
                  <c:v>1. Energy</c:v>
                </c:pt>
              </c:strCache>
            </c:strRef>
          </c:tx>
          <c:spPr>
            <a:solidFill>
              <a:schemeClr val="accent2"/>
            </a:solidFill>
            <a:ln>
              <a:noFill/>
            </a:ln>
            <a:effectLst/>
          </c:spPr>
          <c:invertIfNegative val="0"/>
          <c:cat>
            <c:strRef>
              <c:f>'Comparaison AME'!$C$18:$F$18</c:f>
              <c:strCache>
                <c:ptCount val="4"/>
                <c:pt idx="0">
                  <c:v>1990</c:v>
                </c:pt>
                <c:pt idx="1">
                  <c:v>2015</c:v>
                </c:pt>
                <c:pt idx="2">
                  <c:v>AME 2050</c:v>
                </c:pt>
                <c:pt idx="3">
                  <c:v>BAU 2050</c:v>
                </c:pt>
              </c:strCache>
            </c:strRef>
          </c:cat>
          <c:val>
            <c:numRef>
              <c:f>'Comparaison AME'!$C$20:$F$20</c:f>
              <c:numCache>
                <c:formatCode>_-* #\ ##0.00\ _€_-;\-* #\ ##0.00\ _€_-;_-* "-"??\ _€_-;_-@_-</c:formatCode>
                <c:ptCount val="4"/>
                <c:pt idx="0">
                  <c:v>373910.50112322799</c:v>
                </c:pt>
                <c:pt idx="1">
                  <c:v>309210.74438325135</c:v>
                </c:pt>
                <c:pt idx="2">
                  <c:v>258367.22401271446</c:v>
                </c:pt>
                <c:pt idx="3">
                  <c:v>199718.94873307689</c:v>
                </c:pt>
              </c:numCache>
            </c:numRef>
          </c:val>
          <c:extLst>
            <c:ext xmlns:c16="http://schemas.microsoft.com/office/drawing/2014/chart" uri="{C3380CC4-5D6E-409C-BE32-E72D297353CC}">
              <c16:uniqueId val="{00000001-5398-4CF2-A5F1-2F9AD5A307A7}"/>
            </c:ext>
          </c:extLst>
        </c:ser>
        <c:ser>
          <c:idx val="11"/>
          <c:order val="11"/>
          <c:tx>
            <c:strRef>
              <c:f>'Comparaison AME'!$A$30</c:f>
              <c:strCache>
                <c:ptCount val="1"/>
                <c:pt idx="0">
                  <c:v>2.  Industrial Processes</c:v>
                </c:pt>
              </c:strCache>
            </c:strRef>
          </c:tx>
          <c:spPr>
            <a:solidFill>
              <a:schemeClr val="accent6">
                <a:lumMod val="60000"/>
              </a:schemeClr>
            </a:solidFill>
            <a:ln>
              <a:noFill/>
            </a:ln>
            <a:effectLst/>
          </c:spPr>
          <c:invertIfNegative val="0"/>
          <c:cat>
            <c:strRef>
              <c:f>'Comparaison AME'!$C$18:$F$18</c:f>
              <c:strCache>
                <c:ptCount val="4"/>
                <c:pt idx="0">
                  <c:v>1990</c:v>
                </c:pt>
                <c:pt idx="1">
                  <c:v>2015</c:v>
                </c:pt>
                <c:pt idx="2">
                  <c:v>AME 2050</c:v>
                </c:pt>
                <c:pt idx="3">
                  <c:v>BAU 2050</c:v>
                </c:pt>
              </c:strCache>
            </c:strRef>
          </c:cat>
          <c:val>
            <c:numRef>
              <c:f>'Comparaison AME'!$C$30:$F$30</c:f>
              <c:numCache>
                <c:formatCode>_-* #\ ##0.00\ _€_-;\-* #\ ##0.00\ _€_-;_-* "-"??\ _€_-;_-@_-</c:formatCode>
                <c:ptCount val="4"/>
                <c:pt idx="0">
                  <c:v>66991.708049569075</c:v>
                </c:pt>
                <c:pt idx="1">
                  <c:v>43089.003330372558</c:v>
                </c:pt>
                <c:pt idx="2">
                  <c:v>26603.832233141198</c:v>
                </c:pt>
                <c:pt idx="3">
                  <c:v>26603.832233141202</c:v>
                </c:pt>
              </c:numCache>
            </c:numRef>
          </c:val>
          <c:extLst>
            <c:ext xmlns:c16="http://schemas.microsoft.com/office/drawing/2014/chart" uri="{C3380CC4-5D6E-409C-BE32-E72D297353CC}">
              <c16:uniqueId val="{0000000B-5398-4CF2-A5F1-2F9AD5A307A7}"/>
            </c:ext>
          </c:extLst>
        </c:ser>
        <c:ser>
          <c:idx val="12"/>
          <c:order val="12"/>
          <c:tx>
            <c:strRef>
              <c:f>'Comparaison AME'!$A$31</c:f>
              <c:strCache>
                <c:ptCount val="1"/>
                <c:pt idx="0">
                  <c:v>3.  Agriculture</c:v>
                </c:pt>
              </c:strCache>
            </c:strRef>
          </c:tx>
          <c:spPr>
            <a:solidFill>
              <a:schemeClr val="accent1">
                <a:lumMod val="80000"/>
                <a:lumOff val="20000"/>
              </a:schemeClr>
            </a:solidFill>
            <a:ln>
              <a:noFill/>
            </a:ln>
            <a:effectLst/>
          </c:spPr>
          <c:invertIfNegative val="0"/>
          <c:cat>
            <c:strRef>
              <c:f>'Comparaison AME'!$C$18:$F$18</c:f>
              <c:strCache>
                <c:ptCount val="4"/>
                <c:pt idx="0">
                  <c:v>1990</c:v>
                </c:pt>
                <c:pt idx="1">
                  <c:v>2015</c:v>
                </c:pt>
                <c:pt idx="2">
                  <c:v>AME 2050</c:v>
                </c:pt>
                <c:pt idx="3">
                  <c:v>BAU 2050</c:v>
                </c:pt>
              </c:strCache>
            </c:strRef>
          </c:cat>
          <c:val>
            <c:numRef>
              <c:f>'Comparaison AME'!$C$31:$F$31</c:f>
              <c:numCache>
                <c:formatCode>_-* #\ ##0.00\ _€_-;\-* #\ ##0.00\ _€_-;_-* "-"??\ _€_-;_-@_-</c:formatCode>
                <c:ptCount val="4"/>
                <c:pt idx="0">
                  <c:v>82299.682349533105</c:v>
                </c:pt>
                <c:pt idx="1">
                  <c:v>77302.834172241128</c:v>
                </c:pt>
                <c:pt idx="2">
                  <c:v>69519.186693885975</c:v>
                </c:pt>
                <c:pt idx="3">
                  <c:v>86900</c:v>
                </c:pt>
              </c:numCache>
            </c:numRef>
          </c:val>
          <c:extLst>
            <c:ext xmlns:c16="http://schemas.microsoft.com/office/drawing/2014/chart" uri="{C3380CC4-5D6E-409C-BE32-E72D297353CC}">
              <c16:uniqueId val="{0000000C-5398-4CF2-A5F1-2F9AD5A307A7}"/>
            </c:ext>
          </c:extLst>
        </c:ser>
        <c:ser>
          <c:idx val="13"/>
          <c:order val="13"/>
          <c:tx>
            <c:strRef>
              <c:f>'Comparaison AME'!$A$32</c:f>
              <c:strCache>
                <c:ptCount val="1"/>
                <c:pt idx="0">
                  <c:v>4.  Land use, land-use change and forestry</c:v>
                </c:pt>
              </c:strCache>
            </c:strRef>
          </c:tx>
          <c:spPr>
            <a:solidFill>
              <a:schemeClr val="accent4"/>
            </a:solidFill>
            <a:ln>
              <a:noFill/>
            </a:ln>
            <a:effectLst/>
          </c:spPr>
          <c:invertIfNegative val="0"/>
          <c:cat>
            <c:strRef>
              <c:f>'Comparaison AME'!$C$18:$F$18</c:f>
              <c:strCache>
                <c:ptCount val="4"/>
                <c:pt idx="0">
                  <c:v>1990</c:v>
                </c:pt>
                <c:pt idx="1">
                  <c:v>2015</c:v>
                </c:pt>
                <c:pt idx="2">
                  <c:v>AME 2050</c:v>
                </c:pt>
                <c:pt idx="3">
                  <c:v>BAU 2050</c:v>
                </c:pt>
              </c:strCache>
            </c:strRef>
          </c:cat>
          <c:val>
            <c:numRef>
              <c:f>'Comparaison AME'!$C$32:$F$32</c:f>
              <c:numCache>
                <c:formatCode>_-* #\ ##0.00\ _€_-;\-* #\ ##0.00\ _€_-;_-* "-"??\ _€_-;_-@_-</c:formatCode>
                <c:ptCount val="4"/>
                <c:pt idx="0">
                  <c:v>-28838.282978536707</c:v>
                </c:pt>
                <c:pt idx="1">
                  <c:v>-44830.895244924439</c:v>
                </c:pt>
                <c:pt idx="2">
                  <c:v>-17689.442466286866</c:v>
                </c:pt>
                <c:pt idx="3">
                  <c:v>-45626.305111740192</c:v>
                </c:pt>
              </c:numCache>
            </c:numRef>
          </c:val>
          <c:extLst>
            <c:ext xmlns:c16="http://schemas.microsoft.com/office/drawing/2014/chart" uri="{C3380CC4-5D6E-409C-BE32-E72D297353CC}">
              <c16:uniqueId val="{0000000D-5398-4CF2-A5F1-2F9AD5A307A7}"/>
            </c:ext>
          </c:extLst>
        </c:ser>
        <c:ser>
          <c:idx val="14"/>
          <c:order val="14"/>
          <c:tx>
            <c:strRef>
              <c:f>'Comparaison AME'!$A$33</c:f>
              <c:strCache>
                <c:ptCount val="1"/>
                <c:pt idx="0">
                  <c:v>5. Waste </c:v>
                </c:pt>
              </c:strCache>
            </c:strRef>
          </c:tx>
          <c:spPr>
            <a:solidFill>
              <a:schemeClr val="accent3">
                <a:lumMod val="80000"/>
                <a:lumOff val="20000"/>
              </a:schemeClr>
            </a:solidFill>
            <a:ln>
              <a:noFill/>
            </a:ln>
            <a:effectLst/>
          </c:spPr>
          <c:invertIfNegative val="0"/>
          <c:cat>
            <c:strRef>
              <c:f>'Comparaison AME'!$C$18:$F$18</c:f>
              <c:strCache>
                <c:ptCount val="4"/>
                <c:pt idx="0">
                  <c:v>1990</c:v>
                </c:pt>
                <c:pt idx="1">
                  <c:v>2015</c:v>
                </c:pt>
                <c:pt idx="2">
                  <c:v>AME 2050</c:v>
                </c:pt>
                <c:pt idx="3">
                  <c:v>BAU 2050</c:v>
                </c:pt>
              </c:strCache>
            </c:strRef>
          </c:cat>
          <c:val>
            <c:numRef>
              <c:f>'Comparaison AME'!$C$33:$F$33</c:f>
              <c:numCache>
                <c:formatCode>_-* #\ ##0.00\ _€_-;\-* #\ ##0.00\ _€_-;_-* "-"??\ _€_-;_-@_-</c:formatCode>
                <c:ptCount val="4"/>
                <c:pt idx="0">
                  <c:v>16841.955786740367</c:v>
                </c:pt>
                <c:pt idx="1">
                  <c:v>16120.131666205913</c:v>
                </c:pt>
                <c:pt idx="2">
                  <c:v>9000.0132113813579</c:v>
                </c:pt>
                <c:pt idx="3">
                  <c:v>9000.0132113813579</c:v>
                </c:pt>
              </c:numCache>
            </c:numRef>
          </c:val>
          <c:extLst>
            <c:ext xmlns:c16="http://schemas.microsoft.com/office/drawing/2014/chart" uri="{C3380CC4-5D6E-409C-BE32-E72D297353CC}">
              <c16:uniqueId val="{0000000E-5398-4CF2-A5F1-2F9AD5A307A7}"/>
            </c:ext>
          </c:extLst>
        </c:ser>
        <c:dLbls>
          <c:showLegendKey val="0"/>
          <c:showVal val="0"/>
          <c:showCatName val="0"/>
          <c:showSerName val="0"/>
          <c:showPercent val="0"/>
          <c:showBubbleSize val="0"/>
        </c:dLbls>
        <c:gapWidth val="150"/>
        <c:overlap val="100"/>
        <c:axId val="772440032"/>
        <c:axId val="772439704"/>
        <c:extLst>
          <c:ext xmlns:c15="http://schemas.microsoft.com/office/drawing/2012/chart" uri="{02D57815-91ED-43cb-92C2-25804820EDAC}">
            <c15:filteredBarSeries>
              <c15:ser>
                <c:idx val="0"/>
                <c:order val="0"/>
                <c:tx>
                  <c:strRef>
                    <c:extLst>
                      <c:ext uri="{02D57815-91ED-43cb-92C2-25804820EDAC}">
                        <c15:formulaRef>
                          <c15:sqref>'Comparaison AME'!$A$19</c15:sqref>
                        </c15:formulaRef>
                      </c:ext>
                    </c:extLst>
                    <c:strCache>
                      <c:ptCount val="1"/>
                      <c:pt idx="0">
                        <c:v>Total (Net Emissions) (1)</c:v>
                      </c:pt>
                    </c:strCache>
                  </c:strRef>
                </c:tx>
                <c:spPr>
                  <a:solidFill>
                    <a:schemeClr val="accent1"/>
                  </a:solidFill>
                  <a:ln>
                    <a:noFill/>
                  </a:ln>
                  <a:effectLst/>
                </c:spPr>
                <c:invertIfNegative val="0"/>
                <c:cat>
                  <c:strRef>
                    <c:extLst>
                      <c:ex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c:ext uri="{02D57815-91ED-43cb-92C2-25804820EDAC}">
                        <c15:formulaRef>
                          <c15:sqref>'Comparaison AME'!$C$19:$F$19</c15:sqref>
                        </c15:formulaRef>
                      </c:ext>
                    </c:extLst>
                    <c:numCache>
                      <c:formatCode>_-* #\ ##0.00\ _€_-;\-* #\ ##0.00\ _€_-;_-* "-"??\ _€_-;_-@_-</c:formatCode>
                      <c:ptCount val="4"/>
                      <c:pt idx="0">
                        <c:v>511205.56433053385</c:v>
                      </c:pt>
                      <c:pt idx="1">
                        <c:v>400891.81830714655</c:v>
                      </c:pt>
                      <c:pt idx="2">
                        <c:v>345800.81368483615</c:v>
                      </c:pt>
                      <c:pt idx="3">
                        <c:v>276596.48906585923</c:v>
                      </c:pt>
                    </c:numCache>
                  </c:numRef>
                </c:val>
                <c:extLst>
                  <c:ext xmlns:c16="http://schemas.microsoft.com/office/drawing/2014/chart" uri="{C3380CC4-5D6E-409C-BE32-E72D297353CC}">
                    <c16:uniqueId val="{00000000-5398-4CF2-A5F1-2F9AD5A307A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'Comparaison AME'!$A$21</c15:sqref>
                        </c15:formulaRef>
                      </c:ext>
                    </c:extLst>
                    <c:strCache>
                      <c:ptCount val="1"/>
                      <c:pt idx="0">
                        <c:v>A. Fuel Combustion (Sectoral Approach)</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xmlns:c15="http://schemas.microsoft.com/office/drawing/2012/chart">
                      <c:ext xmlns:c15="http://schemas.microsoft.com/office/drawing/2012/chart" uri="{02D57815-91ED-43cb-92C2-25804820EDAC}">
                        <c15:formulaRef>
                          <c15:sqref>'Comparaison AME'!$C$21:$F$21</c15:sqref>
                        </c15:formulaRef>
                      </c:ext>
                    </c:extLst>
                    <c:numCache>
                      <c:formatCode>_-* #\ ##0.00\ _€_-;\-* #\ ##0.00\ _€_-;_-* "-"??\ _€_-;_-@_-</c:formatCode>
                      <c:ptCount val="4"/>
                      <c:pt idx="0">
                        <c:v>362926.45346920926</c:v>
                      </c:pt>
                      <c:pt idx="1">
                        <c:v>305055.16396309767</c:v>
                      </c:pt>
                      <c:pt idx="2">
                        <c:v>255045.88747361861</c:v>
                      </c:pt>
                      <c:pt idx="3">
                        <c:v>196397.61219398101</c:v>
                      </c:pt>
                    </c:numCache>
                  </c:numRef>
                </c:val>
                <c:extLst xmlns:c15="http://schemas.microsoft.com/office/drawing/2012/chart">
                  <c:ext xmlns:c16="http://schemas.microsoft.com/office/drawing/2014/chart" uri="{C3380CC4-5D6E-409C-BE32-E72D297353CC}">
                    <c16:uniqueId val="{00000002-5398-4CF2-A5F1-2F9AD5A307A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'Comparaison AME'!$A$22</c15:sqref>
                        </c15:formulaRef>
                      </c:ext>
                    </c:extLst>
                    <c:strCache>
                      <c:ptCount val="1"/>
                      <c:pt idx="0">
                        <c:v>1.  Energy Industries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xmlns:c15="http://schemas.microsoft.com/office/drawing/2012/chart">
                      <c:ext xmlns:c15="http://schemas.microsoft.com/office/drawing/2012/chart" uri="{02D57815-91ED-43cb-92C2-25804820EDAC}">
                        <c15:formulaRef>
                          <c15:sqref>'Comparaison AME'!$C$22:$F$22</c15:sqref>
                        </c15:formulaRef>
                      </c:ext>
                    </c:extLst>
                    <c:numCache>
                      <c:formatCode>_-* #\ ##0.00\ _€_-;\-* #\ ##0.00\ _€_-;_-* "-"??\ _€_-;_-@_-</c:formatCode>
                      <c:ptCount val="4"/>
                      <c:pt idx="0">
                        <c:v>64740.287540047248</c:v>
                      </c:pt>
                      <c:pt idx="1">
                        <c:v>36823.8525908437</c:v>
                      </c:pt>
                      <c:pt idx="2">
                        <c:v>47278.266130991789</c:v>
                      </c:pt>
                      <c:pt idx="3">
                        <c:v>39234.269018053055</c:v>
                      </c:pt>
                    </c:numCache>
                  </c:numRef>
                </c:val>
                <c:extLst xmlns:c15="http://schemas.microsoft.com/office/drawing/2012/chart">
                  <c:ext xmlns:c16="http://schemas.microsoft.com/office/drawing/2014/chart" uri="{C3380CC4-5D6E-409C-BE32-E72D297353CC}">
                    <c16:uniqueId val="{00000003-5398-4CF2-A5F1-2F9AD5A307A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'Comparaison AME'!$A$23</c15:sqref>
                        </c15:formulaRef>
                      </c:ext>
                    </c:extLst>
                    <c:strCache>
                      <c:ptCount val="1"/>
                      <c:pt idx="0">
                        <c:v>2.  Manufacturing Industries and Construction</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xmlns:c15="http://schemas.microsoft.com/office/drawing/2012/chart">
                      <c:ext xmlns:c15="http://schemas.microsoft.com/office/drawing/2012/chart" uri="{02D57815-91ED-43cb-92C2-25804820EDAC}">
                        <c15:formulaRef>
                          <c15:sqref>'Comparaison AME'!$C$23:$F$23</c15:sqref>
                        </c15:formulaRef>
                      </c:ext>
                    </c:extLst>
                    <c:numCache>
                      <c:formatCode>_-* #\ ##0.00\ _€_-;\-* #\ ##0.00\ _€_-;_-* "-"??\ _€_-;_-@_-</c:formatCode>
                      <c:ptCount val="4"/>
                      <c:pt idx="0">
                        <c:v>77862.585646933192</c:v>
                      </c:pt>
                      <c:pt idx="1">
                        <c:v>52100.062311656562</c:v>
                      </c:pt>
                      <c:pt idx="2">
                        <c:v>46125.65286400482</c:v>
                      </c:pt>
                      <c:pt idx="3">
                        <c:v>28636.94874676393</c:v>
                      </c:pt>
                    </c:numCache>
                  </c:numRef>
                </c:val>
                <c:extLst xmlns:c15="http://schemas.microsoft.com/office/drawing/2012/chart">
                  <c:ext xmlns:c16="http://schemas.microsoft.com/office/drawing/2014/chart" uri="{C3380CC4-5D6E-409C-BE32-E72D297353CC}">
                    <c16:uniqueId val="{00000004-5398-4CF2-A5F1-2F9AD5A307A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'Comparaison AME'!$A$24</c15:sqref>
                        </c15:formulaRef>
                      </c:ext>
                    </c:extLst>
                    <c:strCache>
                      <c:ptCount val="1"/>
                      <c:pt idx="0">
                        <c:v>3.  Transport</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xmlns:c15="http://schemas.microsoft.com/office/drawing/2012/chart">
                      <c:ext xmlns:c15="http://schemas.microsoft.com/office/drawing/2012/chart" uri="{02D57815-91ED-43cb-92C2-25804820EDAC}">
                        <c15:formulaRef>
                          <c15:sqref>'Comparaison AME'!$C$24:$F$24</c15:sqref>
                        </c15:formulaRef>
                      </c:ext>
                    </c:extLst>
                    <c:numCache>
                      <c:formatCode>_-* #\ ##0.00\ _€_-;\-* #\ ##0.00\ _€_-;_-* "-"??\ _€_-;_-@_-</c:formatCode>
                      <c:ptCount val="4"/>
                      <c:pt idx="0">
                        <c:v>117672.4353510807</c:v>
                      </c:pt>
                      <c:pt idx="1">
                        <c:v>127829.74831110329</c:v>
                      </c:pt>
                      <c:pt idx="2">
                        <c:v>119398.57415464144</c:v>
                      </c:pt>
                      <c:pt idx="3">
                        <c:v>91200.809667069523</c:v>
                      </c:pt>
                    </c:numCache>
                  </c:numRef>
                </c:val>
                <c:extLst xmlns:c15="http://schemas.microsoft.com/office/drawing/2012/chart">
                  <c:ext xmlns:c16="http://schemas.microsoft.com/office/drawing/2014/chart" uri="{C3380CC4-5D6E-409C-BE32-E72D297353CC}">
                    <c16:uniqueId val="{00000005-5398-4CF2-A5F1-2F9AD5A307A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'Comparaison AME'!$A$25</c15:sqref>
                        </c15:formulaRef>
                      </c:ext>
                    </c:extLst>
                    <c:strCache>
                      <c:ptCount val="1"/>
                      <c:pt idx="0">
                        <c:v>4.  Other Sectors</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xmlns:c15="http://schemas.microsoft.com/office/drawing/2012/chart">
                      <c:ext xmlns:c15="http://schemas.microsoft.com/office/drawing/2012/chart" uri="{02D57815-91ED-43cb-92C2-25804820EDAC}">
                        <c15:formulaRef>
                          <c15:sqref>'Comparaison AME'!$C$25:$F$25</c15:sqref>
                        </c15:formulaRef>
                      </c:ext>
                    </c:extLst>
                    <c:numCache>
                      <c:formatCode>_-* #\ ##0.00\ _€_-;\-* #\ ##0.00\ _€_-;_-* "-"??\ _€_-;_-@_-</c:formatCode>
                      <c:ptCount val="4"/>
                      <c:pt idx="0">
                        <c:v>102651.14493114811</c:v>
                      </c:pt>
                      <c:pt idx="1">
                        <c:v>88301.500749494109</c:v>
                      </c:pt>
                      <c:pt idx="2">
                        <c:v>42243.394323980508</c:v>
                      </c:pt>
                      <c:pt idx="3">
                        <c:v>37325.584762094477</c:v>
                      </c:pt>
                    </c:numCache>
                  </c:numRef>
                </c:val>
                <c:extLst xmlns:c15="http://schemas.microsoft.com/office/drawing/2012/chart">
                  <c:ext xmlns:c16="http://schemas.microsoft.com/office/drawing/2014/chart" uri="{C3380CC4-5D6E-409C-BE32-E72D297353CC}">
                    <c16:uniqueId val="{00000006-5398-4CF2-A5F1-2F9AD5A307A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'Comparaison AME'!$A$26</c15:sqref>
                        </c15:formulaRef>
                      </c:ext>
                    </c:extLst>
                    <c:strCache>
                      <c:ptCount val="1"/>
                      <c:pt idx="0">
                        <c:v>       a. Commercial/institutionnal</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xmlns:c15="http://schemas.microsoft.com/office/drawing/2012/chart">
                      <c:ext xmlns:c15="http://schemas.microsoft.com/office/drawing/2012/chart" uri="{02D57815-91ED-43cb-92C2-25804820EDAC}">
                        <c15:formulaRef>
                          <c15:sqref>'Comparaison AME'!$C$26:$F$26</c15:sqref>
                        </c15:formulaRef>
                      </c:ext>
                    </c:extLst>
                    <c:numCache>
                      <c:formatCode>_-* #\ ##0.00\ _€_-;\-* #\ ##0.00\ _€_-;_-* "-"??\ _€_-;_-@_-</c:formatCode>
                      <c:ptCount val="4"/>
                      <c:pt idx="0">
                        <c:v>30708.859593814708</c:v>
                      </c:pt>
                      <c:pt idx="1">
                        <c:v>26038.638947774598</c:v>
                      </c:pt>
                      <c:pt idx="2">
                        <c:v>9017.7908850890617</c:v>
                      </c:pt>
                      <c:pt idx="3">
                        <c:v>7677.1049238223177</c:v>
                      </c:pt>
                    </c:numCache>
                  </c:numRef>
                </c:val>
                <c:extLst xmlns:c15="http://schemas.microsoft.com/office/drawing/2012/chart">
                  <c:ext xmlns:c16="http://schemas.microsoft.com/office/drawing/2014/chart" uri="{C3380CC4-5D6E-409C-BE32-E72D297353CC}">
                    <c16:uniqueId val="{00000007-5398-4CF2-A5F1-2F9AD5A307A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'Comparaison AME'!$A$27</c15:sqref>
                        </c15:formulaRef>
                      </c:ext>
                    </c:extLst>
                    <c:strCache>
                      <c:ptCount val="1"/>
                      <c:pt idx="0">
                        <c:v>       b. Residential</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xmlns:c15="http://schemas.microsoft.com/office/drawing/2012/chart">
                      <c:ext xmlns:c15="http://schemas.microsoft.com/office/drawing/2012/chart" uri="{02D57815-91ED-43cb-92C2-25804820EDAC}">
                        <c15:formulaRef>
                          <c15:sqref>'Comparaison AME'!$C$27:$F$27</c15:sqref>
                        </c15:formulaRef>
                      </c:ext>
                    </c:extLst>
                    <c:numCache>
                      <c:formatCode>_-* #\ ##0.00\ _€_-;\-* #\ ##0.00\ _€_-;_-* "-"??\ _€_-;_-@_-</c:formatCode>
                      <c:ptCount val="4"/>
                      <c:pt idx="0">
                        <c:v>59719.983477465612</c:v>
                      </c:pt>
                      <c:pt idx="1">
                        <c:v>50239.38185211263</c:v>
                      </c:pt>
                      <c:pt idx="2">
                        <c:v>24117.163620708176</c:v>
                      </c:pt>
                      <c:pt idx="3">
                        <c:v>19996.791994265022</c:v>
                      </c:pt>
                    </c:numCache>
                  </c:numRef>
                </c:val>
                <c:extLst xmlns:c15="http://schemas.microsoft.com/office/drawing/2012/chart">
                  <c:ext xmlns:c16="http://schemas.microsoft.com/office/drawing/2014/chart" uri="{C3380CC4-5D6E-409C-BE32-E72D297353CC}">
                    <c16:uniqueId val="{00000008-5398-4CF2-A5F1-2F9AD5A307A7}"/>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'Comparaison AME'!$A$28</c15:sqref>
                        </c15:formulaRef>
                      </c:ext>
                    </c:extLst>
                    <c:strCache>
                      <c:ptCount val="1"/>
                      <c:pt idx="0">
                        <c:v>       c. Agriculture/forestry/fishing</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xmlns:c15="http://schemas.microsoft.com/office/drawing/2012/chart">
                      <c:ext xmlns:c15="http://schemas.microsoft.com/office/drawing/2012/chart" uri="{02D57815-91ED-43cb-92C2-25804820EDAC}">
                        <c15:formulaRef>
                          <c15:sqref>'Comparaison AME'!$C$28:$F$28</c15:sqref>
                        </c15:formulaRef>
                      </c:ext>
                    </c:extLst>
                    <c:numCache>
                      <c:formatCode>_-* #\ ##0.00\ _€_-;\-* #\ ##0.00\ _€_-;_-* "-"??\ _€_-;_-@_-</c:formatCode>
                      <c:ptCount val="4"/>
                      <c:pt idx="0">
                        <c:v>12222.301859867795</c:v>
                      </c:pt>
                      <c:pt idx="1">
                        <c:v>12023.479949606894</c:v>
                      </c:pt>
                      <c:pt idx="2">
                        <c:v>9108.4398181832712</c:v>
                      </c:pt>
                      <c:pt idx="3">
                        <c:v>9651.6878440071359</c:v>
                      </c:pt>
                    </c:numCache>
                  </c:numRef>
                </c:val>
                <c:extLst xmlns:c15="http://schemas.microsoft.com/office/drawing/2012/chart">
                  <c:ext xmlns:c16="http://schemas.microsoft.com/office/drawing/2014/chart" uri="{C3380CC4-5D6E-409C-BE32-E72D297353CC}">
                    <c16:uniqueId val="{00000009-5398-4CF2-A5F1-2F9AD5A307A7}"/>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'Comparaison AME'!$A$29</c15:sqref>
                        </c15:formulaRef>
                      </c:ext>
                    </c:extLst>
                    <c:strCache>
                      <c:ptCount val="1"/>
                      <c:pt idx="0">
                        <c:v>B. Fugitive Emissions from Fuels</c:v>
                      </c:pt>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'Comparaison AME'!$C$18:$F$18</c15:sqref>
                        </c15:formulaRef>
                      </c:ext>
                    </c:extLst>
                    <c:strCache>
                      <c:ptCount val="4"/>
                      <c:pt idx="0">
                        <c:v>1990</c:v>
                      </c:pt>
                      <c:pt idx="1">
                        <c:v>2015</c:v>
                      </c:pt>
                      <c:pt idx="2">
                        <c:v>AME 2050</c:v>
                      </c:pt>
                      <c:pt idx="3">
                        <c:v>BAU 2050</c:v>
                      </c:pt>
                    </c:strCache>
                  </c:strRef>
                </c:cat>
                <c:val>
                  <c:numRef>
                    <c:extLst xmlns:c15="http://schemas.microsoft.com/office/drawing/2012/chart">
                      <c:ext xmlns:c15="http://schemas.microsoft.com/office/drawing/2012/chart" uri="{02D57815-91ED-43cb-92C2-25804820EDAC}">
                        <c15:formulaRef>
                          <c15:sqref>'Comparaison AME'!$C$29:$F$29</c15:sqref>
                        </c15:formulaRef>
                      </c:ext>
                    </c:extLst>
                    <c:numCache>
                      <c:formatCode>_-* #\ ##0.00\ _€_-;\-* #\ ##0.00\ _€_-;_-* "-"??\ _€_-;_-@_-</c:formatCode>
                      <c:ptCount val="4"/>
                      <c:pt idx="0">
                        <c:v>10984.047654018706</c:v>
                      </c:pt>
                      <c:pt idx="1">
                        <c:v>4155.5804201536621</c:v>
                      </c:pt>
                      <c:pt idx="2">
                        <c:v>3321.3365390958693</c:v>
                      </c:pt>
                      <c:pt idx="3">
                        <c:v>3321.3365390958693</c:v>
                      </c:pt>
                    </c:numCache>
                  </c:numRef>
                </c:val>
                <c:extLst xmlns:c15="http://schemas.microsoft.com/office/drawing/2012/chart">
                  <c:ext xmlns:c16="http://schemas.microsoft.com/office/drawing/2014/chart" uri="{C3380CC4-5D6E-409C-BE32-E72D297353CC}">
                    <c16:uniqueId val="{0000000A-5398-4CF2-A5F1-2F9AD5A307A7}"/>
                  </c:ext>
                </c:extLst>
              </c15:ser>
            </c15:filteredBarSeries>
          </c:ext>
        </c:extLst>
      </c:barChart>
      <c:catAx>
        <c:axId val="7724400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72439704"/>
        <c:crosses val="autoZero"/>
        <c:auto val="1"/>
        <c:lblAlgn val="ctr"/>
        <c:lblOffset val="100"/>
        <c:noMultiLvlLbl val="0"/>
      </c:catAx>
      <c:valAx>
        <c:axId val="772439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000" b="1" i="0" u="none" strike="noStrike" baseline="0">
                    <a:effectLst/>
                  </a:rPr>
                  <a:t>PRG - kt CO2e</a:t>
                </a:r>
                <a:r>
                  <a:rPr lang="fr-FR" sz="1000" b="0" i="0" u="none" strike="noStrike" baseline="0"/>
                  <a:t> </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00\ _€_-;\-* #\ ##0.0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72440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1" i="0" u="none" strike="noStrike" baseline="0">
                <a:effectLst/>
              </a:rPr>
              <a:t>Emissions directes de GES </a:t>
            </a:r>
            <a:r>
              <a:rPr lang="fr-FR" sz="1400" b="0" i="0" u="none" strike="noStrike" baseline="0"/>
              <a:t> </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areaChart>
        <c:grouping val="stacked"/>
        <c:varyColors val="0"/>
        <c:ser>
          <c:idx val="0"/>
          <c:order val="0"/>
          <c:tx>
            <c:strRef>
              <c:f>ClimAgri!$A$5</c:f>
              <c:strCache>
                <c:ptCount val="1"/>
                <c:pt idx="0">
                  <c:v>dont consommation d'énergie </c:v>
                </c:pt>
              </c:strCache>
            </c:strRef>
          </c:tx>
          <c:spPr>
            <a:solidFill>
              <a:schemeClr val="accent1"/>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ClimAgri!$B$5:$E$5</c15:sqref>
                  </c15:fullRef>
                </c:ext>
              </c:extLst>
              <c:f>ClimAgri!$C$5:$E$5</c:f>
              <c:numCache>
                <c:formatCode>0.0</c:formatCode>
                <c:ptCount val="2"/>
                <c:pt idx="0">
                  <c:v>12.282552611822611</c:v>
                </c:pt>
                <c:pt idx="1" formatCode="General">
                  <c:v>6.8059662663624643</c:v>
                </c:pt>
              </c:numCache>
            </c:numRef>
          </c:val>
          <c:extLst>
            <c:ext xmlns:c16="http://schemas.microsoft.com/office/drawing/2014/chart" uri="{C3380CC4-5D6E-409C-BE32-E72D297353CC}">
              <c16:uniqueId val="{00000000-D237-435B-8DE4-378FD385BF0C}"/>
            </c:ext>
          </c:extLst>
        </c:ser>
        <c:ser>
          <c:idx val="1"/>
          <c:order val="1"/>
          <c:tx>
            <c:strRef>
              <c:f>ClimAgri!$A$6</c:f>
              <c:strCache>
                <c:ptCount val="1"/>
                <c:pt idx="0">
                  <c:v>dont sols agricoles (y.c. N20 lessivage et NH3) </c:v>
                </c:pt>
              </c:strCache>
            </c:strRef>
          </c:tx>
          <c:spPr>
            <a:solidFill>
              <a:schemeClr val="accent2"/>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ClimAgri!$B$6:$E$6</c15:sqref>
                  </c15:fullRef>
                </c:ext>
              </c:extLst>
              <c:f>ClimAgri!$C$6:$E$6</c:f>
              <c:numCache>
                <c:formatCode>0.0</c:formatCode>
                <c:ptCount val="2"/>
                <c:pt idx="0">
                  <c:v>32.844388491013014</c:v>
                </c:pt>
                <c:pt idx="1" formatCode="General">
                  <c:v>28.614717011573457</c:v>
                </c:pt>
              </c:numCache>
            </c:numRef>
          </c:val>
          <c:extLst>
            <c:ext xmlns:c16="http://schemas.microsoft.com/office/drawing/2014/chart" uri="{C3380CC4-5D6E-409C-BE32-E72D297353CC}">
              <c16:uniqueId val="{00000001-D237-435B-8DE4-378FD385BF0C}"/>
            </c:ext>
          </c:extLst>
        </c:ser>
        <c:ser>
          <c:idx val="2"/>
          <c:order val="2"/>
          <c:tx>
            <c:strRef>
              <c:f>ClimAgri!$A$7</c:f>
              <c:strCache>
                <c:ptCount val="1"/>
                <c:pt idx="0">
                  <c:v>dont fermentation entérique </c:v>
                </c:pt>
              </c:strCache>
            </c:strRef>
          </c:tx>
          <c:spPr>
            <a:solidFill>
              <a:schemeClr val="accent3"/>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ClimAgri!$B$7:$E$7</c15:sqref>
                  </c15:fullRef>
                </c:ext>
              </c:extLst>
              <c:f>ClimAgri!$C$7:$E$7</c:f>
              <c:numCache>
                <c:formatCode>0.0</c:formatCode>
                <c:ptCount val="2"/>
                <c:pt idx="0">
                  <c:v>43.357404815082951</c:v>
                </c:pt>
                <c:pt idx="1" formatCode="General">
                  <c:v>37.798972471713029</c:v>
                </c:pt>
              </c:numCache>
            </c:numRef>
          </c:val>
          <c:extLst>
            <c:ext xmlns:c16="http://schemas.microsoft.com/office/drawing/2014/chart" uri="{C3380CC4-5D6E-409C-BE32-E72D297353CC}">
              <c16:uniqueId val="{00000002-D237-435B-8DE4-378FD385BF0C}"/>
            </c:ext>
          </c:extLst>
        </c:ser>
        <c:ser>
          <c:idx val="3"/>
          <c:order val="3"/>
          <c:tx>
            <c:strRef>
              <c:f>ClimAgri!$A$8</c:f>
              <c:strCache>
                <c:ptCount val="1"/>
                <c:pt idx="0">
                  <c:v>dont stockage des effluents </c:v>
                </c:pt>
              </c:strCache>
            </c:strRef>
          </c:tx>
          <c:spPr>
            <a:solidFill>
              <a:schemeClr val="accent4"/>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ClimAgri!$B$8:$E$8</c15:sqref>
                  </c15:fullRef>
                </c:ext>
              </c:extLst>
              <c:f>ClimAgri!$C$8:$E$8</c:f>
              <c:numCache>
                <c:formatCode>0.0</c:formatCode>
                <c:ptCount val="2"/>
                <c:pt idx="0">
                  <c:v>16.980192390658658</c:v>
                </c:pt>
                <c:pt idx="1" formatCode="General">
                  <c:v>13.682050521122385</c:v>
                </c:pt>
              </c:numCache>
            </c:numRef>
          </c:val>
          <c:extLst>
            <c:ext xmlns:c16="http://schemas.microsoft.com/office/drawing/2014/chart" uri="{C3380CC4-5D6E-409C-BE32-E72D297353CC}">
              <c16:uniqueId val="{00000003-D237-435B-8DE4-378FD385BF0C}"/>
            </c:ext>
          </c:extLst>
        </c:ser>
        <c:dLbls>
          <c:showLegendKey val="0"/>
          <c:showVal val="0"/>
          <c:showCatName val="0"/>
          <c:showSerName val="0"/>
          <c:showPercent val="0"/>
          <c:showBubbleSize val="0"/>
        </c:dLbls>
        <c:axId val="855083088"/>
        <c:axId val="855087680"/>
      </c:areaChart>
      <c:catAx>
        <c:axId val="85508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087680"/>
        <c:crosses val="autoZero"/>
        <c:auto val="1"/>
        <c:lblAlgn val="ctr"/>
        <c:lblOffset val="100"/>
        <c:noMultiLvlLbl val="0"/>
      </c:catAx>
      <c:valAx>
        <c:axId val="8550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Emissions (MteqCO2)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083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1" i="0" u="none" strike="noStrike" baseline="0">
                <a:effectLst/>
              </a:rPr>
              <a:t>Demande énergétique directe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areaChart>
        <c:grouping val="stacked"/>
        <c:varyColors val="0"/>
        <c:ser>
          <c:idx val="0"/>
          <c:order val="0"/>
          <c:tx>
            <c:strRef>
              <c:f>ClimAgri!$A$22</c:f>
              <c:strCache>
                <c:ptCount val="1"/>
                <c:pt idx="0">
                  <c:v>dont Fioul </c:v>
                </c:pt>
              </c:strCache>
            </c:strRef>
          </c:tx>
          <c:spPr>
            <a:solidFill>
              <a:schemeClr val="accent6"/>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ClimAgri!$B$22:$E$22</c15:sqref>
                  </c15:fullRef>
                </c:ext>
              </c:extLst>
              <c:f>ClimAgri!$C$22:$E$22</c:f>
              <c:numCache>
                <c:formatCode>#\ ##0.0</c:formatCode>
                <c:ptCount val="2"/>
                <c:pt idx="0">
                  <c:v>37.310880124541136</c:v>
                </c:pt>
                <c:pt idx="1" formatCode="General">
                  <c:v>25.494110974024796</c:v>
                </c:pt>
              </c:numCache>
            </c:numRef>
          </c:val>
          <c:extLst>
            <c:ext xmlns:c16="http://schemas.microsoft.com/office/drawing/2014/chart" uri="{C3380CC4-5D6E-409C-BE32-E72D297353CC}">
              <c16:uniqueId val="{00000000-3EA3-4982-828F-42201EEEF7C5}"/>
            </c:ext>
          </c:extLst>
        </c:ser>
        <c:ser>
          <c:idx val="1"/>
          <c:order val="1"/>
          <c:tx>
            <c:strRef>
              <c:f>ClimAgri!$A$23</c:f>
              <c:strCache>
                <c:ptCount val="1"/>
                <c:pt idx="0">
                  <c:v>dont biocarburants</c:v>
                </c:pt>
              </c:strCache>
            </c:strRef>
          </c:tx>
          <c:spPr>
            <a:solidFill>
              <a:schemeClr val="accent5"/>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ClimAgri!$B$23:$E$23</c15:sqref>
                  </c15:fullRef>
                </c:ext>
              </c:extLst>
              <c:f>ClimAgri!$C$23:$E$23</c:f>
              <c:numCache>
                <c:formatCode>#\ ##0.0</c:formatCode>
                <c:ptCount val="2"/>
                <c:pt idx="0">
                  <c:v>0</c:v>
                </c:pt>
                <c:pt idx="1" formatCode="General">
                  <c:v>6.373527743506199</c:v>
                </c:pt>
              </c:numCache>
            </c:numRef>
          </c:val>
          <c:extLst>
            <c:ext xmlns:c16="http://schemas.microsoft.com/office/drawing/2014/chart" uri="{C3380CC4-5D6E-409C-BE32-E72D297353CC}">
              <c16:uniqueId val="{00000001-3EA3-4982-828F-42201EEEF7C5}"/>
            </c:ext>
          </c:extLst>
        </c:ser>
        <c:ser>
          <c:idx val="2"/>
          <c:order val="2"/>
          <c:tx>
            <c:strRef>
              <c:f>ClimAgri!$A$24</c:f>
              <c:strCache>
                <c:ptCount val="1"/>
                <c:pt idx="0">
                  <c:v>dont Electricité </c:v>
                </c:pt>
              </c:strCache>
            </c:strRef>
          </c:tx>
          <c:spPr>
            <a:solidFill>
              <a:schemeClr val="accent4"/>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ClimAgri!$B$24:$E$24</c15:sqref>
                  </c15:fullRef>
                </c:ext>
              </c:extLst>
              <c:f>ClimAgri!$C$24:$E$24</c:f>
              <c:numCache>
                <c:formatCode>#\ ##0.0</c:formatCode>
                <c:ptCount val="2"/>
                <c:pt idx="0">
                  <c:v>14.223327666452859</c:v>
                </c:pt>
                <c:pt idx="1" formatCode="General">
                  <c:v>12.849272906913098</c:v>
                </c:pt>
              </c:numCache>
            </c:numRef>
          </c:val>
          <c:extLst>
            <c:ext xmlns:c16="http://schemas.microsoft.com/office/drawing/2014/chart" uri="{C3380CC4-5D6E-409C-BE32-E72D297353CC}">
              <c16:uniqueId val="{00000002-3EA3-4982-828F-42201EEEF7C5}"/>
            </c:ext>
          </c:extLst>
        </c:ser>
        <c:ser>
          <c:idx val="3"/>
          <c:order val="3"/>
          <c:tx>
            <c:strRef>
              <c:f>ClimAgri!$A$25</c:f>
              <c:strCache>
                <c:ptCount val="1"/>
                <c:pt idx="0">
                  <c:v>dont Gaz</c:v>
                </c:pt>
              </c:strCache>
            </c:strRef>
          </c:tx>
          <c:spPr>
            <a:solidFill>
              <a:schemeClr val="accent6">
                <a:lumMod val="60000"/>
              </a:schemeClr>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ClimAgri!$B$25:$E$25</c15:sqref>
                  </c15:fullRef>
                </c:ext>
              </c:extLst>
              <c:f>ClimAgri!$C$25:$E$25</c:f>
              <c:numCache>
                <c:formatCode>#\ ##0.0</c:formatCode>
                <c:ptCount val="2"/>
                <c:pt idx="0">
                  <c:v>16.526467529949116</c:v>
                </c:pt>
                <c:pt idx="1" formatCode="General">
                  <c:v>13.031452611550277</c:v>
                </c:pt>
              </c:numCache>
            </c:numRef>
          </c:val>
          <c:extLst>
            <c:ext xmlns:c16="http://schemas.microsoft.com/office/drawing/2014/chart" uri="{C3380CC4-5D6E-409C-BE32-E72D297353CC}">
              <c16:uniqueId val="{00000003-3EA3-4982-828F-42201EEEF7C5}"/>
            </c:ext>
          </c:extLst>
        </c:ser>
        <c:ser>
          <c:idx val="4"/>
          <c:order val="4"/>
          <c:tx>
            <c:strRef>
              <c:f>ClimAgri!$A$26</c:f>
              <c:strCache>
                <c:ptCount val="1"/>
                <c:pt idx="0">
                  <c:v>dont Bois </c:v>
                </c:pt>
              </c:strCache>
            </c:strRef>
          </c:tx>
          <c:spPr>
            <a:solidFill>
              <a:schemeClr val="accent5">
                <a:lumMod val="60000"/>
              </a:schemeClr>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ClimAgri!$B$26:$E$26</c15:sqref>
                  </c15:fullRef>
                </c:ext>
              </c:extLst>
              <c:f>ClimAgri!$C$26:$E$26</c:f>
              <c:numCache>
                <c:formatCode>#\ ##0.0</c:formatCode>
                <c:ptCount val="2"/>
                <c:pt idx="0">
                  <c:v>0.20633476317922297</c:v>
                </c:pt>
                <c:pt idx="1" formatCode="General">
                  <c:v>0.33407405489879066</c:v>
                </c:pt>
              </c:numCache>
            </c:numRef>
          </c:val>
          <c:extLst>
            <c:ext xmlns:c16="http://schemas.microsoft.com/office/drawing/2014/chart" uri="{C3380CC4-5D6E-409C-BE32-E72D297353CC}">
              <c16:uniqueId val="{00000004-3EA3-4982-828F-42201EEEF7C5}"/>
            </c:ext>
          </c:extLst>
        </c:ser>
        <c:ser>
          <c:idx val="5"/>
          <c:order val="5"/>
          <c:tx>
            <c:strRef>
              <c:f>ClimAgri!$A$27</c:f>
              <c:strCache>
                <c:ptCount val="1"/>
                <c:pt idx="0">
                  <c:v>dont Charbon </c:v>
                </c:pt>
              </c:strCache>
            </c:strRef>
          </c:tx>
          <c:spPr>
            <a:solidFill>
              <a:schemeClr val="accent4">
                <a:lumMod val="60000"/>
              </a:schemeClr>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ClimAgri!$B$27:$E$27</c15:sqref>
                  </c15:fullRef>
                </c:ext>
              </c:extLst>
              <c:f>ClimAgri!$C$27:$E$27</c:f>
              <c:numCache>
                <c:formatCode>#\ ##0.0</c:formatCode>
                <c:ptCount val="2"/>
                <c:pt idx="0">
                  <c:v>0.23728497765610645</c:v>
                </c:pt>
                <c:pt idx="1" formatCode="General">
                  <c:v>0.1815230079069215</c:v>
                </c:pt>
              </c:numCache>
            </c:numRef>
          </c:val>
          <c:extLst>
            <c:ext xmlns:c16="http://schemas.microsoft.com/office/drawing/2014/chart" uri="{C3380CC4-5D6E-409C-BE32-E72D297353CC}">
              <c16:uniqueId val="{00000005-3EA3-4982-828F-42201EEEF7C5}"/>
            </c:ext>
          </c:extLst>
        </c:ser>
        <c:ser>
          <c:idx val="6"/>
          <c:order val="6"/>
          <c:tx>
            <c:strRef>
              <c:f>ClimAgri!$A$28</c:f>
              <c:strCache>
                <c:ptCount val="1"/>
                <c:pt idx="0">
                  <c:v>dont biogaz</c:v>
                </c:pt>
              </c:strCache>
            </c:strRef>
          </c:tx>
          <c:spPr>
            <a:solidFill>
              <a:schemeClr val="accent6">
                <a:lumMod val="80000"/>
                <a:lumOff val="20000"/>
              </a:schemeClr>
            </a:solidFill>
            <a:ln>
              <a:noFill/>
            </a:ln>
            <a:effectLst/>
          </c:spPr>
          <c:cat>
            <c:numRef>
              <c:extLst>
                <c:ext xmlns:c15="http://schemas.microsoft.com/office/drawing/2012/chart" uri="{02D57815-91ED-43cb-92C2-25804820EDAC}">
                  <c15:fullRef>
                    <c15:sqref>ClimAgri!$B$1:$E$1</c15:sqref>
                  </c15:fullRef>
                </c:ext>
              </c:extLst>
              <c:f>ClimAgri!$C$1:$E$1</c:f>
              <c:numCache>
                <c:formatCode>General</c:formatCode>
                <c:ptCount val="2"/>
                <c:pt idx="0">
                  <c:v>2015</c:v>
                </c:pt>
                <c:pt idx="1">
                  <c:v>2050</c:v>
                </c:pt>
              </c:numCache>
            </c:numRef>
          </c:cat>
          <c:val>
            <c:numRef>
              <c:extLst>
                <c:ext xmlns:c15="http://schemas.microsoft.com/office/drawing/2012/chart" uri="{02D57815-91ED-43cb-92C2-25804820EDAC}">
                  <c15:fullRef>
                    <c15:sqref>ClimAgri!$B$28:$E$28</c15:sqref>
                  </c15:fullRef>
                </c:ext>
              </c:extLst>
              <c:f>ClimAgri!$C$28:$E$28</c:f>
              <c:numCache>
                <c:formatCode>#\ ##0.0</c:formatCode>
                <c:ptCount val="2"/>
                <c:pt idx="0">
                  <c:v>0</c:v>
                </c:pt>
                <c:pt idx="1" formatCode="General">
                  <c:v>2.2996681079206382</c:v>
                </c:pt>
              </c:numCache>
            </c:numRef>
          </c:val>
          <c:extLst>
            <c:ext xmlns:c16="http://schemas.microsoft.com/office/drawing/2014/chart" uri="{C3380CC4-5D6E-409C-BE32-E72D297353CC}">
              <c16:uniqueId val="{00000006-3EA3-4982-828F-42201EEEF7C5}"/>
            </c:ext>
          </c:extLst>
        </c:ser>
        <c:dLbls>
          <c:showLegendKey val="0"/>
          <c:showVal val="0"/>
          <c:showCatName val="0"/>
          <c:showSerName val="0"/>
          <c:showPercent val="0"/>
          <c:showBubbleSize val="0"/>
        </c:dLbls>
        <c:axId val="855083088"/>
        <c:axId val="855087680"/>
      </c:areaChart>
      <c:catAx>
        <c:axId val="85508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087680"/>
        <c:crosses val="autoZero"/>
        <c:auto val="1"/>
        <c:lblAlgn val="ctr"/>
        <c:lblOffset val="100"/>
        <c:noMultiLvlLbl val="0"/>
      </c:catAx>
      <c:valAx>
        <c:axId val="8550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Energie mobilisée (TWh)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083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Production électrique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areaChart>
        <c:grouping val="stacked"/>
        <c:varyColors val="0"/>
        <c:ser>
          <c:idx val="0"/>
          <c:order val="0"/>
          <c:tx>
            <c:strRef>
              <c:f>'Energie BAU'!$A$28</c:f>
              <c:strCache>
                <c:ptCount val="1"/>
                <c:pt idx="0">
                  <c:v>Nucléaire</c:v>
                </c:pt>
              </c:strCache>
            </c:strRef>
          </c:tx>
          <c:spPr>
            <a:solidFill>
              <a:schemeClr val="accent1"/>
            </a:solidFill>
            <a:ln w="25400">
              <a:noFill/>
            </a:ln>
            <a:effectLst/>
          </c:spPr>
          <c:cat>
            <c:numRef>
              <c:extLst>
                <c:ext xmlns:c15="http://schemas.microsoft.com/office/drawing/2012/chart" uri="{02D57815-91ED-43cb-92C2-25804820EDAC}">
                  <c15:fullRef>
                    <c15:sqref>'Energie BAU'!$B$41:$F$41</c15:sqref>
                  </c15:fullRef>
                </c:ext>
              </c:extLst>
              <c:f>('Energie BAU'!$B$41,'Energie BAU'!$D$41,'Energie BAU'!$F$41)</c:f>
              <c:numCache>
                <c:formatCode>General</c:formatCode>
                <c:ptCount val="3"/>
                <c:pt idx="0">
                  <c:v>2018</c:v>
                </c:pt>
                <c:pt idx="1">
                  <c:v>2028</c:v>
                </c:pt>
                <c:pt idx="2">
                  <c:v>2050</c:v>
                </c:pt>
              </c:numCache>
            </c:numRef>
          </c:cat>
          <c:val>
            <c:numRef>
              <c:extLst>
                <c:ext xmlns:c15="http://schemas.microsoft.com/office/drawing/2012/chart" uri="{02D57815-91ED-43cb-92C2-25804820EDAC}">
                  <c15:fullRef>
                    <c15:sqref>'Energie BAU'!$B$28:$F$28</c15:sqref>
                  </c15:fullRef>
                </c:ext>
              </c:extLst>
              <c:f>('Energie BAU'!$B$28,'Energie BAU'!$D$28,'Energie BAU'!$F$28)</c:f>
              <c:numCache>
                <c:formatCode>General</c:formatCode>
                <c:ptCount val="3"/>
                <c:pt idx="0">
                  <c:v>393</c:v>
                </c:pt>
                <c:pt idx="1">
                  <c:v>307</c:v>
                </c:pt>
                <c:pt idx="2" formatCode="0">
                  <c:v>275.06273412350816</c:v>
                </c:pt>
              </c:numCache>
            </c:numRef>
          </c:val>
          <c:extLst>
            <c:ext xmlns:c16="http://schemas.microsoft.com/office/drawing/2014/chart" uri="{C3380CC4-5D6E-409C-BE32-E72D297353CC}">
              <c16:uniqueId val="{00000000-781C-4DD6-BAAB-F007E89C05F9}"/>
            </c:ext>
          </c:extLst>
        </c:ser>
        <c:ser>
          <c:idx val="1"/>
          <c:order val="1"/>
          <c:tx>
            <c:strRef>
              <c:f>'Energie BAU'!$A$29</c:f>
              <c:strCache>
                <c:ptCount val="1"/>
                <c:pt idx="0">
                  <c:v>Eolien</c:v>
                </c:pt>
              </c:strCache>
            </c:strRef>
          </c:tx>
          <c:spPr>
            <a:solidFill>
              <a:schemeClr val="accent2"/>
            </a:solidFill>
            <a:ln w="25400">
              <a:noFill/>
            </a:ln>
            <a:effectLst/>
          </c:spPr>
          <c:cat>
            <c:numRef>
              <c:extLst>
                <c:ext xmlns:c15="http://schemas.microsoft.com/office/drawing/2012/chart" uri="{02D57815-91ED-43cb-92C2-25804820EDAC}">
                  <c15:fullRef>
                    <c15:sqref>'Energie BAU'!$B$41:$F$41</c15:sqref>
                  </c15:fullRef>
                </c:ext>
              </c:extLst>
              <c:f>('Energie BAU'!$B$41,'Energie BAU'!$D$41,'Energie BAU'!$F$41)</c:f>
              <c:numCache>
                <c:formatCode>General</c:formatCode>
                <c:ptCount val="3"/>
                <c:pt idx="0">
                  <c:v>2018</c:v>
                </c:pt>
                <c:pt idx="1">
                  <c:v>2028</c:v>
                </c:pt>
                <c:pt idx="2">
                  <c:v>2050</c:v>
                </c:pt>
              </c:numCache>
            </c:numRef>
          </c:cat>
          <c:val>
            <c:numRef>
              <c:extLst>
                <c:ext xmlns:c15="http://schemas.microsoft.com/office/drawing/2012/chart" uri="{02D57815-91ED-43cb-92C2-25804820EDAC}">
                  <c15:fullRef>
                    <c15:sqref>'Energie BAU'!$B$29:$F$29</c15:sqref>
                  </c15:fullRef>
                </c:ext>
              </c:extLst>
              <c:f>('Energie BAU'!$B$29,'Energie BAU'!$D$29,'Energie BAU'!$F$29)</c:f>
              <c:numCache>
                <c:formatCode>General</c:formatCode>
                <c:ptCount val="3"/>
                <c:pt idx="0">
                  <c:v>28</c:v>
                </c:pt>
                <c:pt idx="1">
                  <c:v>91</c:v>
                </c:pt>
                <c:pt idx="2" formatCode="0">
                  <c:v>109.5</c:v>
                </c:pt>
              </c:numCache>
            </c:numRef>
          </c:val>
          <c:extLst>
            <c:ext xmlns:c16="http://schemas.microsoft.com/office/drawing/2014/chart" uri="{C3380CC4-5D6E-409C-BE32-E72D297353CC}">
              <c16:uniqueId val="{00000001-781C-4DD6-BAAB-F007E89C05F9}"/>
            </c:ext>
          </c:extLst>
        </c:ser>
        <c:ser>
          <c:idx val="2"/>
          <c:order val="2"/>
          <c:tx>
            <c:strRef>
              <c:f>'Energie BAU'!$A$30</c:f>
              <c:strCache>
                <c:ptCount val="1"/>
                <c:pt idx="0">
                  <c:v>PV</c:v>
                </c:pt>
              </c:strCache>
            </c:strRef>
          </c:tx>
          <c:spPr>
            <a:solidFill>
              <a:schemeClr val="accent3"/>
            </a:solidFill>
            <a:ln w="25400">
              <a:noFill/>
            </a:ln>
            <a:effectLst/>
          </c:spPr>
          <c:cat>
            <c:numRef>
              <c:extLst>
                <c:ext xmlns:c15="http://schemas.microsoft.com/office/drawing/2012/chart" uri="{02D57815-91ED-43cb-92C2-25804820EDAC}">
                  <c15:fullRef>
                    <c15:sqref>'Energie BAU'!$B$41:$F$41</c15:sqref>
                  </c15:fullRef>
                </c:ext>
              </c:extLst>
              <c:f>('Energie BAU'!$B$41,'Energie BAU'!$D$41,'Energie BAU'!$F$41)</c:f>
              <c:numCache>
                <c:formatCode>General</c:formatCode>
                <c:ptCount val="3"/>
                <c:pt idx="0">
                  <c:v>2018</c:v>
                </c:pt>
                <c:pt idx="1">
                  <c:v>2028</c:v>
                </c:pt>
                <c:pt idx="2">
                  <c:v>2050</c:v>
                </c:pt>
              </c:numCache>
            </c:numRef>
          </c:cat>
          <c:val>
            <c:numRef>
              <c:extLst>
                <c:ext xmlns:c15="http://schemas.microsoft.com/office/drawing/2012/chart" uri="{02D57815-91ED-43cb-92C2-25804820EDAC}">
                  <c15:fullRef>
                    <c15:sqref>'Energie BAU'!$B$30:$F$30</c15:sqref>
                  </c15:fullRef>
                </c:ext>
              </c:extLst>
              <c:f>('Energie BAU'!$B$30,'Energie BAU'!$D$30,'Energie BAU'!$F$30)</c:f>
              <c:numCache>
                <c:formatCode>General</c:formatCode>
                <c:ptCount val="3"/>
                <c:pt idx="0">
                  <c:v>10</c:v>
                </c:pt>
                <c:pt idx="1">
                  <c:v>48</c:v>
                </c:pt>
                <c:pt idx="2" formatCode="0">
                  <c:v>84.096000000000004</c:v>
                </c:pt>
              </c:numCache>
            </c:numRef>
          </c:val>
          <c:extLst>
            <c:ext xmlns:c16="http://schemas.microsoft.com/office/drawing/2014/chart" uri="{C3380CC4-5D6E-409C-BE32-E72D297353CC}">
              <c16:uniqueId val="{00000002-781C-4DD6-BAAB-F007E89C05F9}"/>
            </c:ext>
          </c:extLst>
        </c:ser>
        <c:ser>
          <c:idx val="3"/>
          <c:order val="3"/>
          <c:tx>
            <c:strRef>
              <c:f>'Energie BAU'!$A$31</c:f>
              <c:strCache>
                <c:ptCount val="1"/>
                <c:pt idx="0">
                  <c:v>Biomasse et déchets</c:v>
                </c:pt>
              </c:strCache>
            </c:strRef>
          </c:tx>
          <c:spPr>
            <a:solidFill>
              <a:schemeClr val="accent4"/>
            </a:solidFill>
            <a:ln w="25400">
              <a:noFill/>
            </a:ln>
            <a:effectLst/>
          </c:spPr>
          <c:cat>
            <c:numRef>
              <c:extLst>
                <c:ext xmlns:c15="http://schemas.microsoft.com/office/drawing/2012/chart" uri="{02D57815-91ED-43cb-92C2-25804820EDAC}">
                  <c15:fullRef>
                    <c15:sqref>'Energie BAU'!$B$41:$F$41</c15:sqref>
                  </c15:fullRef>
                </c:ext>
              </c:extLst>
              <c:f>('Energie BAU'!$B$41,'Energie BAU'!$D$41,'Energie BAU'!$F$41)</c:f>
              <c:numCache>
                <c:formatCode>General</c:formatCode>
                <c:ptCount val="3"/>
                <c:pt idx="0">
                  <c:v>2018</c:v>
                </c:pt>
                <c:pt idx="1">
                  <c:v>2028</c:v>
                </c:pt>
                <c:pt idx="2">
                  <c:v>2050</c:v>
                </c:pt>
              </c:numCache>
            </c:numRef>
          </c:cat>
          <c:val>
            <c:numRef>
              <c:extLst>
                <c:ext xmlns:c15="http://schemas.microsoft.com/office/drawing/2012/chart" uri="{02D57815-91ED-43cb-92C2-25804820EDAC}">
                  <c15:fullRef>
                    <c15:sqref>'Energie BAU'!$B$31:$F$31</c15:sqref>
                  </c15:fullRef>
                </c:ext>
              </c:extLst>
              <c:f>('Energie BAU'!$B$31,'Energie BAU'!$D$31,'Energie BAU'!$F$31)</c:f>
              <c:numCache>
                <c:formatCode>General</c:formatCode>
                <c:ptCount val="3"/>
                <c:pt idx="0">
                  <c:v>10</c:v>
                </c:pt>
                <c:pt idx="1">
                  <c:v>15</c:v>
                </c:pt>
                <c:pt idx="2" formatCode="0">
                  <c:v>28.294526617444401</c:v>
                </c:pt>
              </c:numCache>
            </c:numRef>
          </c:val>
          <c:extLst>
            <c:ext xmlns:c16="http://schemas.microsoft.com/office/drawing/2014/chart" uri="{C3380CC4-5D6E-409C-BE32-E72D297353CC}">
              <c16:uniqueId val="{00000003-781C-4DD6-BAAB-F007E89C05F9}"/>
            </c:ext>
          </c:extLst>
        </c:ser>
        <c:ser>
          <c:idx val="4"/>
          <c:order val="4"/>
          <c:tx>
            <c:strRef>
              <c:f>'Energie BAU'!$A$32</c:f>
              <c:strCache>
                <c:ptCount val="1"/>
                <c:pt idx="0">
                  <c:v>Hydro</c:v>
                </c:pt>
              </c:strCache>
            </c:strRef>
          </c:tx>
          <c:spPr>
            <a:solidFill>
              <a:schemeClr val="accent5"/>
            </a:solidFill>
            <a:ln w="25400">
              <a:noFill/>
            </a:ln>
            <a:effectLst/>
          </c:spPr>
          <c:cat>
            <c:numRef>
              <c:extLst>
                <c:ext xmlns:c15="http://schemas.microsoft.com/office/drawing/2012/chart" uri="{02D57815-91ED-43cb-92C2-25804820EDAC}">
                  <c15:fullRef>
                    <c15:sqref>'Energie BAU'!$B$41:$F$41</c15:sqref>
                  </c15:fullRef>
                </c:ext>
              </c:extLst>
              <c:f>('Energie BAU'!$B$41,'Energie BAU'!$D$41,'Energie BAU'!$F$41)</c:f>
              <c:numCache>
                <c:formatCode>General</c:formatCode>
                <c:ptCount val="3"/>
                <c:pt idx="0">
                  <c:v>2018</c:v>
                </c:pt>
                <c:pt idx="1">
                  <c:v>2028</c:v>
                </c:pt>
                <c:pt idx="2">
                  <c:v>2050</c:v>
                </c:pt>
              </c:numCache>
            </c:numRef>
          </c:cat>
          <c:val>
            <c:numRef>
              <c:extLst>
                <c:ext xmlns:c15="http://schemas.microsoft.com/office/drawing/2012/chart" uri="{02D57815-91ED-43cb-92C2-25804820EDAC}">
                  <c15:fullRef>
                    <c15:sqref>'Energie BAU'!$B$32:$F$32</c15:sqref>
                  </c15:fullRef>
                </c:ext>
              </c:extLst>
              <c:f>('Energie BAU'!$B$32,'Energie BAU'!$D$32,'Energie BAU'!$F$32)</c:f>
              <c:numCache>
                <c:formatCode>General</c:formatCode>
                <c:ptCount val="3"/>
                <c:pt idx="0">
                  <c:v>68</c:v>
                </c:pt>
                <c:pt idx="1">
                  <c:v>69</c:v>
                </c:pt>
                <c:pt idx="2" formatCode="0">
                  <c:v>69</c:v>
                </c:pt>
              </c:numCache>
            </c:numRef>
          </c:val>
          <c:extLst>
            <c:ext xmlns:c16="http://schemas.microsoft.com/office/drawing/2014/chart" uri="{C3380CC4-5D6E-409C-BE32-E72D297353CC}">
              <c16:uniqueId val="{00000004-781C-4DD6-BAAB-F007E89C05F9}"/>
            </c:ext>
          </c:extLst>
        </c:ser>
        <c:ser>
          <c:idx val="5"/>
          <c:order val="5"/>
          <c:tx>
            <c:strRef>
              <c:f>'Energie BAU'!$A$33</c:f>
              <c:strCache>
                <c:ptCount val="1"/>
                <c:pt idx="0">
                  <c:v>Gaz</c:v>
                </c:pt>
              </c:strCache>
            </c:strRef>
          </c:tx>
          <c:spPr>
            <a:solidFill>
              <a:schemeClr val="accent6"/>
            </a:solidFill>
            <a:ln w="25400">
              <a:noFill/>
            </a:ln>
            <a:effectLst/>
          </c:spPr>
          <c:cat>
            <c:numRef>
              <c:extLst>
                <c:ext xmlns:c15="http://schemas.microsoft.com/office/drawing/2012/chart" uri="{02D57815-91ED-43cb-92C2-25804820EDAC}">
                  <c15:fullRef>
                    <c15:sqref>'Energie BAU'!$B$41:$F$41</c15:sqref>
                  </c15:fullRef>
                </c:ext>
              </c:extLst>
              <c:f>('Energie BAU'!$B$41,'Energie BAU'!$D$41,'Energie BAU'!$F$41)</c:f>
              <c:numCache>
                <c:formatCode>General</c:formatCode>
                <c:ptCount val="3"/>
                <c:pt idx="0">
                  <c:v>2018</c:v>
                </c:pt>
                <c:pt idx="1">
                  <c:v>2028</c:v>
                </c:pt>
                <c:pt idx="2">
                  <c:v>2050</c:v>
                </c:pt>
              </c:numCache>
            </c:numRef>
          </c:cat>
          <c:val>
            <c:numRef>
              <c:extLst>
                <c:ext xmlns:c15="http://schemas.microsoft.com/office/drawing/2012/chart" uri="{02D57815-91ED-43cb-92C2-25804820EDAC}">
                  <c15:fullRef>
                    <c15:sqref>'Energie BAU'!$B$33:$F$33</c15:sqref>
                  </c15:fullRef>
                </c:ext>
              </c:extLst>
              <c:f>('Energie BAU'!$B$33,'Energie BAU'!$D$33,'Energie BAU'!$F$33)</c:f>
              <c:numCache>
                <c:formatCode>General</c:formatCode>
                <c:ptCount val="3"/>
                <c:pt idx="0">
                  <c:v>31</c:v>
                </c:pt>
                <c:pt idx="1">
                  <c:v>26</c:v>
                </c:pt>
                <c:pt idx="2" formatCode="0">
                  <c:v>24.431344405477429</c:v>
                </c:pt>
              </c:numCache>
            </c:numRef>
          </c:val>
          <c:extLst>
            <c:ext xmlns:c16="http://schemas.microsoft.com/office/drawing/2014/chart" uri="{C3380CC4-5D6E-409C-BE32-E72D297353CC}">
              <c16:uniqueId val="{00000005-781C-4DD6-BAAB-F007E89C05F9}"/>
            </c:ext>
          </c:extLst>
        </c:ser>
        <c:ser>
          <c:idx val="6"/>
          <c:order val="6"/>
          <c:tx>
            <c:strRef>
              <c:f>'Energie BAU'!$A$34</c:f>
              <c:strCache>
                <c:ptCount val="1"/>
                <c:pt idx="0">
                  <c:v>Charbon</c:v>
                </c:pt>
              </c:strCache>
            </c:strRef>
          </c:tx>
          <c:spPr>
            <a:solidFill>
              <a:schemeClr val="accent1">
                <a:lumMod val="60000"/>
              </a:schemeClr>
            </a:solidFill>
            <a:ln w="25400">
              <a:noFill/>
            </a:ln>
            <a:effectLst/>
          </c:spPr>
          <c:cat>
            <c:numRef>
              <c:extLst>
                <c:ext xmlns:c15="http://schemas.microsoft.com/office/drawing/2012/chart" uri="{02D57815-91ED-43cb-92C2-25804820EDAC}">
                  <c15:fullRef>
                    <c15:sqref>'Energie BAU'!$B$41:$F$41</c15:sqref>
                  </c15:fullRef>
                </c:ext>
              </c:extLst>
              <c:f>('Energie BAU'!$B$41,'Energie BAU'!$D$41,'Energie BAU'!$F$41)</c:f>
              <c:numCache>
                <c:formatCode>General</c:formatCode>
                <c:ptCount val="3"/>
                <c:pt idx="0">
                  <c:v>2018</c:v>
                </c:pt>
                <c:pt idx="1">
                  <c:v>2028</c:v>
                </c:pt>
                <c:pt idx="2">
                  <c:v>2050</c:v>
                </c:pt>
              </c:numCache>
            </c:numRef>
          </c:cat>
          <c:val>
            <c:numRef>
              <c:extLst>
                <c:ext xmlns:c15="http://schemas.microsoft.com/office/drawing/2012/chart" uri="{02D57815-91ED-43cb-92C2-25804820EDAC}">
                  <c15:fullRef>
                    <c15:sqref>'Energie BAU'!$B$34:$F$34</c15:sqref>
                  </c15:fullRef>
                </c:ext>
              </c:extLst>
              <c:f>('Energie BAU'!$B$34,'Energie BAU'!$D$34,'Energie BAU'!$F$34)</c:f>
              <c:numCache>
                <c:formatCode>General</c:formatCode>
                <c:ptCount val="3"/>
                <c:pt idx="0">
                  <c:v>6</c:v>
                </c:pt>
                <c:pt idx="1">
                  <c:v>0</c:v>
                </c:pt>
                <c:pt idx="2" formatCode="0">
                  <c:v>0</c:v>
                </c:pt>
              </c:numCache>
            </c:numRef>
          </c:val>
          <c:extLst>
            <c:ext xmlns:c16="http://schemas.microsoft.com/office/drawing/2014/chart" uri="{C3380CC4-5D6E-409C-BE32-E72D297353CC}">
              <c16:uniqueId val="{00000006-781C-4DD6-BAAB-F007E89C05F9}"/>
            </c:ext>
          </c:extLst>
        </c:ser>
        <c:dLbls>
          <c:showLegendKey val="0"/>
          <c:showVal val="0"/>
          <c:showCatName val="0"/>
          <c:showSerName val="0"/>
          <c:showPercent val="0"/>
          <c:showBubbleSize val="0"/>
        </c:dLbls>
        <c:axId val="676790360"/>
        <c:axId val="676789704"/>
      </c:areaChart>
      <c:catAx>
        <c:axId val="676790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6789704"/>
        <c:crosses val="autoZero"/>
        <c:auto val="1"/>
        <c:lblAlgn val="ctr"/>
        <c:lblOffset val="100"/>
        <c:noMultiLvlLbl val="0"/>
      </c:catAx>
      <c:valAx>
        <c:axId val="676789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Energie produite (TWh)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6790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Consommation de ressources (Mt/an)</a:t>
            </a:r>
          </a:p>
        </c:rich>
      </c:tx>
      <c:overlay val="0"/>
      <c:spPr>
        <a:noFill/>
        <a:ln>
          <a:noFill/>
        </a:ln>
        <a:effectLst/>
      </c:spPr>
    </c:title>
    <c:autoTitleDeleted val="0"/>
    <c:plotArea>
      <c:layout>
        <c:manualLayout>
          <c:layoutTarget val="inner"/>
          <c:xMode val="edge"/>
          <c:yMode val="edge"/>
          <c:x val="0.14236586225245434"/>
          <c:y val="0.14170009551098378"/>
          <c:w val="0.62157006807747384"/>
          <c:h val="0.75104723657393824"/>
        </c:manualLayout>
      </c:layout>
      <c:barChart>
        <c:barDir val="col"/>
        <c:grouping val="stacked"/>
        <c:varyColors val="0"/>
        <c:ser>
          <c:idx val="12"/>
          <c:order val="0"/>
          <c:tx>
            <c:strRef>
              <c:f>'Rep Graph'!$B$34</c:f>
              <c:strCache>
                <c:ptCount val="1"/>
                <c:pt idx="0">
                  <c:v>Biomasse</c:v>
                </c:pt>
              </c:strCache>
            </c:strRef>
          </c:tx>
          <c:spPr>
            <a:solidFill>
              <a:srgbClr val="92D050"/>
            </a:solidFill>
          </c:spPr>
          <c:invertIfNegative val="0"/>
          <c:cat>
            <c:strRef>
              <c:f>'Rep Graph'!$C$33:$I$33</c:f>
              <c:strCache>
                <c:ptCount val="7"/>
                <c:pt idx="0">
                  <c:v>2015</c:v>
                </c:pt>
                <c:pt idx="1">
                  <c:v>SNBC</c:v>
                </c:pt>
                <c:pt idx="2">
                  <c:v>S TEND</c:v>
                </c:pt>
                <c:pt idx="3">
                  <c:v>S1</c:v>
                </c:pt>
                <c:pt idx="4">
                  <c:v>S2</c:v>
                </c:pt>
                <c:pt idx="5">
                  <c:v>S3</c:v>
                </c:pt>
                <c:pt idx="6">
                  <c:v>S4</c:v>
                </c:pt>
              </c:strCache>
            </c:strRef>
          </c:cat>
          <c:val>
            <c:numRef>
              <c:f>'Rep Graph'!$C$34:$I$34</c:f>
              <c:numCache>
                <c:formatCode>General</c:formatCode>
                <c:ptCount val="7"/>
                <c:pt idx="0">
                  <c:v>511</c:v>
                </c:pt>
                <c:pt idx="3">
                  <c:v>511</c:v>
                </c:pt>
                <c:pt idx="4">
                  <c:v>100</c:v>
                </c:pt>
                <c:pt idx="5">
                  <c:v>700</c:v>
                </c:pt>
                <c:pt idx="6">
                  <c:v>800</c:v>
                </c:pt>
              </c:numCache>
            </c:numRef>
          </c:val>
          <c:extLst>
            <c:ext xmlns:c16="http://schemas.microsoft.com/office/drawing/2014/chart" uri="{C3380CC4-5D6E-409C-BE32-E72D297353CC}">
              <c16:uniqueId val="{00000000-EEB3-4D5D-80A7-23BC6B5E92E0}"/>
            </c:ext>
          </c:extLst>
        </c:ser>
        <c:ser>
          <c:idx val="15"/>
          <c:order val="3"/>
          <c:tx>
            <c:strRef>
              <c:f>'Rep Graph'!$B$37</c:f>
              <c:strCache>
                <c:ptCount val="1"/>
                <c:pt idx="0">
                  <c:v>Métaux</c:v>
                </c:pt>
              </c:strCache>
            </c:strRef>
          </c:tx>
          <c:invertIfNegative val="0"/>
          <c:cat>
            <c:strRef>
              <c:f>'Rep Graph'!$C$33:$I$33</c:f>
              <c:strCache>
                <c:ptCount val="7"/>
                <c:pt idx="0">
                  <c:v>2015</c:v>
                </c:pt>
                <c:pt idx="1">
                  <c:v>SNBC</c:v>
                </c:pt>
                <c:pt idx="2">
                  <c:v>S TEND</c:v>
                </c:pt>
                <c:pt idx="3">
                  <c:v>S1</c:v>
                </c:pt>
                <c:pt idx="4">
                  <c:v>S2</c:v>
                </c:pt>
                <c:pt idx="5">
                  <c:v>S3</c:v>
                </c:pt>
                <c:pt idx="6">
                  <c:v>S4</c:v>
                </c:pt>
              </c:strCache>
            </c:strRef>
          </c:cat>
          <c:val>
            <c:numRef>
              <c:f>'Rep Graph'!$C$37:$I$37</c:f>
              <c:numCache>
                <c:formatCode>General</c:formatCode>
                <c:ptCount val="7"/>
                <c:pt idx="0">
                  <c:v>98</c:v>
                </c:pt>
                <c:pt idx="3">
                  <c:v>70</c:v>
                </c:pt>
                <c:pt idx="4">
                  <c:v>130</c:v>
                </c:pt>
                <c:pt idx="5">
                  <c:v>150</c:v>
                </c:pt>
                <c:pt idx="6">
                  <c:v>200</c:v>
                </c:pt>
              </c:numCache>
            </c:numRef>
          </c:val>
          <c:extLst>
            <c:ext xmlns:c16="http://schemas.microsoft.com/office/drawing/2014/chart" uri="{C3380CC4-5D6E-409C-BE32-E72D297353CC}">
              <c16:uniqueId val="{00000001-EEB3-4D5D-80A7-23BC6B5E92E0}"/>
            </c:ext>
          </c:extLst>
        </c:ser>
        <c:ser>
          <c:idx val="18"/>
          <c:order val="6"/>
          <c:tx>
            <c:strRef>
              <c:f>'Rep Graph'!$B$40</c:f>
              <c:strCache>
                <c:ptCount val="1"/>
                <c:pt idx="0">
                  <c:v>Minéraux non metalliques</c:v>
                </c:pt>
              </c:strCache>
            </c:strRef>
          </c:tx>
          <c:invertIfNegative val="0"/>
          <c:cat>
            <c:strRef>
              <c:f>'Rep Graph'!$C$33:$I$33</c:f>
              <c:strCache>
                <c:ptCount val="7"/>
                <c:pt idx="0">
                  <c:v>2015</c:v>
                </c:pt>
                <c:pt idx="1">
                  <c:v>SNBC</c:v>
                </c:pt>
                <c:pt idx="2">
                  <c:v>S TEND</c:v>
                </c:pt>
                <c:pt idx="3">
                  <c:v>S1</c:v>
                </c:pt>
                <c:pt idx="4">
                  <c:v>S2</c:v>
                </c:pt>
                <c:pt idx="5">
                  <c:v>S3</c:v>
                </c:pt>
                <c:pt idx="6">
                  <c:v>S4</c:v>
                </c:pt>
              </c:strCache>
            </c:strRef>
          </c:cat>
          <c:val>
            <c:numRef>
              <c:f>'Rep Graph'!$C$40:$I$40</c:f>
              <c:numCache>
                <c:formatCode>General</c:formatCode>
                <c:ptCount val="7"/>
                <c:pt idx="0">
                  <c:v>547</c:v>
                </c:pt>
                <c:pt idx="3">
                  <c:v>400</c:v>
                </c:pt>
                <c:pt idx="4">
                  <c:v>500</c:v>
                </c:pt>
                <c:pt idx="5">
                  <c:v>700</c:v>
                </c:pt>
                <c:pt idx="6">
                  <c:v>700</c:v>
                </c:pt>
              </c:numCache>
            </c:numRef>
          </c:val>
          <c:extLst>
            <c:ext xmlns:c16="http://schemas.microsoft.com/office/drawing/2014/chart" uri="{C3380CC4-5D6E-409C-BE32-E72D297353CC}">
              <c16:uniqueId val="{00000002-EEB3-4D5D-80A7-23BC6B5E92E0}"/>
            </c:ext>
          </c:extLst>
        </c:ser>
        <c:ser>
          <c:idx val="21"/>
          <c:order val="9"/>
          <c:tx>
            <c:strRef>
              <c:f>'Rep Graph'!$B$43</c:f>
              <c:strCache>
                <c:ptCount val="1"/>
                <c:pt idx="0">
                  <c:v>Combustibles fossiles</c:v>
                </c:pt>
              </c:strCache>
            </c:strRef>
          </c:tx>
          <c:spPr>
            <a:solidFill>
              <a:schemeClr val="bg2">
                <a:lumMod val="25000"/>
              </a:schemeClr>
            </a:solidFill>
          </c:spPr>
          <c:invertIfNegative val="0"/>
          <c:cat>
            <c:strRef>
              <c:f>'Rep Graph'!$C$33:$I$33</c:f>
              <c:strCache>
                <c:ptCount val="7"/>
                <c:pt idx="0">
                  <c:v>2015</c:v>
                </c:pt>
                <c:pt idx="1">
                  <c:v>SNBC</c:v>
                </c:pt>
                <c:pt idx="2">
                  <c:v>S TEND</c:v>
                </c:pt>
                <c:pt idx="3">
                  <c:v>S1</c:v>
                </c:pt>
                <c:pt idx="4">
                  <c:v>S2</c:v>
                </c:pt>
                <c:pt idx="5">
                  <c:v>S3</c:v>
                </c:pt>
                <c:pt idx="6">
                  <c:v>S4</c:v>
                </c:pt>
              </c:strCache>
            </c:strRef>
          </c:cat>
          <c:val>
            <c:numRef>
              <c:f>'Rep Graph'!$C$43:$I$43</c:f>
              <c:numCache>
                <c:formatCode>General</c:formatCode>
                <c:ptCount val="7"/>
                <c:pt idx="0">
                  <c:v>411</c:v>
                </c:pt>
                <c:pt idx="3">
                  <c:v>30</c:v>
                </c:pt>
                <c:pt idx="4">
                  <c:v>80</c:v>
                </c:pt>
                <c:pt idx="5">
                  <c:v>200</c:v>
                </c:pt>
                <c:pt idx="6">
                  <c:v>250</c:v>
                </c:pt>
              </c:numCache>
            </c:numRef>
          </c:val>
          <c:extLst>
            <c:ext xmlns:c16="http://schemas.microsoft.com/office/drawing/2014/chart" uri="{C3380CC4-5D6E-409C-BE32-E72D297353CC}">
              <c16:uniqueId val="{00000003-EEB3-4D5D-80A7-23BC6B5E92E0}"/>
            </c:ext>
          </c:extLst>
        </c:ser>
        <c:dLbls>
          <c:showLegendKey val="0"/>
          <c:showVal val="0"/>
          <c:showCatName val="0"/>
          <c:showSerName val="0"/>
          <c:showPercent val="0"/>
          <c:showBubbleSize val="0"/>
        </c:dLbls>
        <c:gapWidth val="219"/>
        <c:overlap val="100"/>
        <c:axId val="429490560"/>
        <c:axId val="429492528"/>
        <c:extLst>
          <c:ext xmlns:c15="http://schemas.microsoft.com/office/drawing/2012/chart" uri="{02D57815-91ED-43cb-92C2-25804820EDAC}">
            <c15:filteredBarSeries>
              <c15:ser>
                <c:idx val="13"/>
                <c:order val="1"/>
                <c:tx>
                  <c:strRef>
                    <c:extLst>
                      <c:ext uri="{02D57815-91ED-43cb-92C2-25804820EDAC}">
                        <c15:formulaRef>
                          <c15:sqref>'Rep Graph'!$B$35</c15:sqref>
                        </c15:formulaRef>
                      </c:ext>
                    </c:extLst>
                    <c:strCache>
                      <c:ptCount val="1"/>
                      <c:pt idx="0">
                        <c:v>dont extraction</c:v>
                      </c:pt>
                    </c:strCache>
                  </c:strRef>
                </c:tx>
                <c:invertIfNegative val="0"/>
                <c:cat>
                  <c:strRef>
                    <c:extLst>
                      <c:ex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c:ext uri="{02D57815-91ED-43cb-92C2-25804820EDAC}">
                        <c15:formulaRef>
                          <c15:sqref>'Rep Graph'!$C$35:$I$35</c15:sqref>
                        </c15:formulaRef>
                      </c:ext>
                    </c:extLst>
                    <c:numCache>
                      <c:formatCode>General</c:formatCode>
                      <c:ptCount val="7"/>
                    </c:numCache>
                  </c:numRef>
                </c:val>
                <c:extLst>
                  <c:ext xmlns:c16="http://schemas.microsoft.com/office/drawing/2014/chart" uri="{C3380CC4-5D6E-409C-BE32-E72D297353CC}">
                    <c16:uniqueId val="{00000004-EEB3-4D5D-80A7-23BC6B5E92E0}"/>
                  </c:ext>
                </c:extLst>
              </c15:ser>
            </c15:filteredBarSeries>
            <c15:filteredBarSeries>
              <c15:ser>
                <c:idx val="14"/>
                <c:order val="2"/>
                <c:tx>
                  <c:strRef>
                    <c:extLst xmlns:c15="http://schemas.microsoft.com/office/drawing/2012/chart">
                      <c:ext xmlns:c15="http://schemas.microsoft.com/office/drawing/2012/chart" uri="{02D57815-91ED-43cb-92C2-25804820EDAC}">
                        <c15:formulaRef>
                          <c15:sqref>'Rep Graph'!$B$36</c15:sqref>
                        </c15:formulaRef>
                      </c:ext>
                    </c:extLst>
                    <c:strCache>
                      <c:ptCount val="1"/>
                      <c:pt idx="0">
                        <c:v>dont recyclage</c:v>
                      </c:pt>
                    </c:strCache>
                  </c:strRef>
                </c:tx>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Graph'!$C$36:$I$36</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5-EEB3-4D5D-80A7-23BC6B5E92E0}"/>
                  </c:ext>
                </c:extLst>
              </c15:ser>
            </c15:filteredBarSeries>
            <c15:filteredBarSeries>
              <c15:ser>
                <c:idx val="16"/>
                <c:order val="4"/>
                <c:tx>
                  <c:strRef>
                    <c:extLst xmlns:c15="http://schemas.microsoft.com/office/drawing/2012/chart">
                      <c:ext xmlns:c15="http://schemas.microsoft.com/office/drawing/2012/chart" uri="{02D57815-91ED-43cb-92C2-25804820EDAC}">
                        <c15:formulaRef>
                          <c15:sqref>'Rep Graph'!$B$38</c15:sqref>
                        </c15:formulaRef>
                      </c:ext>
                    </c:extLst>
                    <c:strCache>
                      <c:ptCount val="1"/>
                      <c:pt idx="0">
                        <c:v>dont extraction</c:v>
                      </c:pt>
                    </c:strCache>
                  </c:strRef>
                </c:tx>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Graph'!$C$38:$I$38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6-EEB3-4D5D-80A7-23BC6B5E92E0}"/>
                  </c:ext>
                </c:extLst>
              </c15:ser>
            </c15:filteredBarSeries>
            <c15:filteredBarSeries>
              <c15:ser>
                <c:idx val="17"/>
                <c:order val="5"/>
                <c:tx>
                  <c:strRef>
                    <c:extLst xmlns:c15="http://schemas.microsoft.com/office/drawing/2012/chart">
                      <c:ext xmlns:c15="http://schemas.microsoft.com/office/drawing/2012/chart" uri="{02D57815-91ED-43cb-92C2-25804820EDAC}">
                        <c15:formulaRef>
                          <c15:sqref>'Rep Graph'!$B$39</c15:sqref>
                        </c15:formulaRef>
                      </c:ext>
                    </c:extLst>
                    <c:strCache>
                      <c:ptCount val="1"/>
                      <c:pt idx="0">
                        <c:v>dont recyclage</c:v>
                      </c:pt>
                    </c:strCache>
                  </c:strRef>
                </c:tx>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Graph'!$C$39:$I$39</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7-EEB3-4D5D-80A7-23BC6B5E92E0}"/>
                  </c:ext>
                </c:extLst>
              </c15:ser>
            </c15:filteredBarSeries>
            <c15:filteredBarSeries>
              <c15:ser>
                <c:idx val="19"/>
                <c:order val="7"/>
                <c:tx>
                  <c:strRef>
                    <c:extLst xmlns:c15="http://schemas.microsoft.com/office/drawing/2012/chart">
                      <c:ext xmlns:c15="http://schemas.microsoft.com/office/drawing/2012/chart" uri="{02D57815-91ED-43cb-92C2-25804820EDAC}">
                        <c15:formulaRef>
                          <c15:sqref>'Rep Graph'!$B$41</c15:sqref>
                        </c15:formulaRef>
                      </c:ext>
                    </c:extLst>
                    <c:strCache>
                      <c:ptCount val="1"/>
                      <c:pt idx="0">
                        <c:v>dont extraction</c:v>
                      </c:pt>
                    </c:strCache>
                  </c:strRef>
                </c:tx>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Graph'!$C$41:$I$41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8-EEB3-4D5D-80A7-23BC6B5E92E0}"/>
                  </c:ext>
                </c:extLst>
              </c15:ser>
            </c15:filteredBarSeries>
            <c15:filteredBarSeries>
              <c15:ser>
                <c:idx val="20"/>
                <c:order val="8"/>
                <c:tx>
                  <c:strRef>
                    <c:extLst xmlns:c15="http://schemas.microsoft.com/office/drawing/2012/chart">
                      <c:ext xmlns:c15="http://schemas.microsoft.com/office/drawing/2012/chart" uri="{02D57815-91ED-43cb-92C2-25804820EDAC}">
                        <c15:formulaRef>
                          <c15:sqref>'Rep Graph'!$B$42</c15:sqref>
                        </c15:formulaRef>
                      </c:ext>
                    </c:extLst>
                    <c:strCache>
                      <c:ptCount val="1"/>
                      <c:pt idx="0">
                        <c:v>dont recyclage</c:v>
                      </c:pt>
                    </c:strCache>
                  </c:strRef>
                </c:tx>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Graph'!$C$42:$I$42</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9-EEB3-4D5D-80A7-23BC6B5E92E0}"/>
                  </c:ext>
                </c:extLst>
              </c15:ser>
            </c15:filteredBarSeries>
            <c15:filteredBarSeries>
              <c15:ser>
                <c:idx val="22"/>
                <c:order val="10"/>
                <c:tx>
                  <c:strRef>
                    <c:extLst xmlns:c15="http://schemas.microsoft.com/office/drawing/2012/chart">
                      <c:ext xmlns:c15="http://schemas.microsoft.com/office/drawing/2012/chart" uri="{02D57815-91ED-43cb-92C2-25804820EDAC}">
                        <c15:formulaRef>
                          <c15:sqref>'Rep Graph'!$B$44</c15:sqref>
                        </c15:formulaRef>
                      </c:ext>
                    </c:extLst>
                    <c:strCache>
                      <c:ptCount val="1"/>
                      <c:pt idx="0">
                        <c:v>dont extraction</c:v>
                      </c:pt>
                    </c:strCache>
                  </c:strRef>
                </c:tx>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Graph'!$C$44:$I$44</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A-EEB3-4D5D-80A7-23BC6B5E92E0}"/>
                  </c:ext>
                </c:extLst>
              </c15:ser>
            </c15:filteredBarSeries>
            <c15:filteredBarSeries>
              <c15:ser>
                <c:idx val="23"/>
                <c:order val="11"/>
                <c:tx>
                  <c:strRef>
                    <c:extLst xmlns:c15="http://schemas.microsoft.com/office/drawing/2012/chart">
                      <c:ext xmlns:c15="http://schemas.microsoft.com/office/drawing/2012/chart" uri="{02D57815-91ED-43cb-92C2-25804820EDAC}">
                        <c15:formulaRef>
                          <c15:sqref>'Rep Graph'!$B$45</c15:sqref>
                        </c15:formulaRef>
                      </c:ext>
                    </c:extLst>
                    <c:strCache>
                      <c:ptCount val="1"/>
                      <c:pt idx="0">
                        <c:v>dont recylage</c:v>
                      </c:pt>
                    </c:strCache>
                  </c:strRef>
                </c:tx>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Graph'!$C$45:$I$45</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B-EEB3-4D5D-80A7-23BC6B5E92E0}"/>
                  </c:ext>
                </c:extLst>
              </c15:ser>
            </c15:filteredBarSeries>
            <c15:filteredBarSeries>
              <c15:ser>
                <c:idx val="0"/>
                <c:order val="12"/>
                <c:tx>
                  <c:strRef>
                    <c:extLst xmlns:c15="http://schemas.microsoft.com/office/drawing/2012/chart">
                      <c:ext xmlns:c15="http://schemas.microsoft.com/office/drawing/2012/chart" uri="{02D57815-91ED-43cb-92C2-25804820EDAC}">
                        <c15:formulaRef>
                          <c15:sqref>'Rep Graph'!$B$34</c15:sqref>
                        </c15:formulaRef>
                      </c:ext>
                    </c:extLst>
                    <c:strCache>
                      <c:ptCount val="1"/>
                      <c:pt idx="0">
                        <c:v>Biomasse</c:v>
                      </c:pt>
                    </c:strCache>
                  </c:strRef>
                </c:tx>
                <c:spPr>
                  <a:solidFill>
                    <a:srgbClr val="92D050"/>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Graph'!$C$34:$I$34</c15:sqref>
                        </c15:formulaRef>
                      </c:ext>
                    </c:extLst>
                    <c:numCache>
                      <c:formatCode>General</c:formatCode>
                      <c:ptCount val="7"/>
                      <c:pt idx="0">
                        <c:v>511</c:v>
                      </c:pt>
                      <c:pt idx="3">
                        <c:v>511</c:v>
                      </c:pt>
                      <c:pt idx="4">
                        <c:v>100</c:v>
                      </c:pt>
                      <c:pt idx="5">
                        <c:v>700</c:v>
                      </c:pt>
                      <c:pt idx="6">
                        <c:v>800</c:v>
                      </c:pt>
                    </c:numCache>
                  </c:numRef>
                </c:val>
                <c:extLst xmlns:c15="http://schemas.microsoft.com/office/drawing/2012/chart">
                  <c:ext xmlns:c16="http://schemas.microsoft.com/office/drawing/2014/chart" uri="{C3380CC4-5D6E-409C-BE32-E72D297353CC}">
                    <c16:uniqueId val="{0000000C-EEB3-4D5D-80A7-23BC6B5E92E0}"/>
                  </c:ext>
                </c:extLst>
              </c15:ser>
            </c15:filteredBarSeries>
            <c15:filteredBarSeries>
              <c15:ser>
                <c:idx val="1"/>
                <c:order val="13"/>
                <c:tx>
                  <c:strRef>
                    <c:extLst xmlns:c15="http://schemas.microsoft.com/office/drawing/2012/chart">
                      <c:ext xmlns:c15="http://schemas.microsoft.com/office/drawing/2012/chart" uri="{02D57815-91ED-43cb-92C2-25804820EDAC}">
                        <c15:formulaRef>
                          <c15:sqref>'Rep Graph'!$B$35</c15:sqref>
                        </c15:formulaRef>
                      </c:ext>
                    </c:extLst>
                    <c:strCache>
                      <c:ptCount val="1"/>
                      <c:pt idx="0">
                        <c:v>dont extraction</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Graph'!$C$35:$I$35</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D-EEB3-4D5D-80A7-23BC6B5E92E0}"/>
                  </c:ext>
                </c:extLst>
              </c15:ser>
            </c15:filteredBarSeries>
            <c15:filteredBarSeries>
              <c15:ser>
                <c:idx val="2"/>
                <c:order val="14"/>
                <c:tx>
                  <c:strRef>
                    <c:extLst xmlns:c15="http://schemas.microsoft.com/office/drawing/2012/chart">
                      <c:ext xmlns:c15="http://schemas.microsoft.com/office/drawing/2012/chart" uri="{02D57815-91ED-43cb-92C2-25804820EDAC}">
                        <c15:formulaRef>
                          <c15:sqref>'Rep Graph'!$B$36</c15:sqref>
                        </c15:formulaRef>
                      </c:ext>
                    </c:extLst>
                    <c:strCache>
                      <c:ptCount val="1"/>
                      <c:pt idx="0">
                        <c:v>dont recyclage</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Graph'!$C$36:$I$36</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E-EEB3-4D5D-80A7-23BC6B5E92E0}"/>
                  </c:ext>
                </c:extLst>
              </c15:ser>
            </c15:filteredBarSeries>
            <c15:filteredBarSeries>
              <c15:ser>
                <c:idx val="3"/>
                <c:order val="15"/>
                <c:tx>
                  <c:strRef>
                    <c:extLst xmlns:c15="http://schemas.microsoft.com/office/drawing/2012/chart">
                      <c:ext xmlns:c15="http://schemas.microsoft.com/office/drawing/2012/chart" uri="{02D57815-91ED-43cb-92C2-25804820EDAC}">
                        <c15:formulaRef>
                          <c15:sqref>'Rep Graph'!$B$37</c15:sqref>
                        </c15:formulaRef>
                      </c:ext>
                    </c:extLst>
                    <c:strCache>
                      <c:ptCount val="1"/>
                      <c:pt idx="0">
                        <c:v>Métaux</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Graph'!$C$37:$I$37</c15:sqref>
                        </c15:formulaRef>
                      </c:ext>
                    </c:extLst>
                    <c:numCache>
                      <c:formatCode>General</c:formatCode>
                      <c:ptCount val="7"/>
                      <c:pt idx="0">
                        <c:v>98</c:v>
                      </c:pt>
                      <c:pt idx="3">
                        <c:v>70</c:v>
                      </c:pt>
                      <c:pt idx="4">
                        <c:v>130</c:v>
                      </c:pt>
                      <c:pt idx="5">
                        <c:v>150</c:v>
                      </c:pt>
                      <c:pt idx="6">
                        <c:v>200</c:v>
                      </c:pt>
                    </c:numCache>
                  </c:numRef>
                </c:val>
                <c:extLst xmlns:c15="http://schemas.microsoft.com/office/drawing/2012/chart">
                  <c:ext xmlns:c16="http://schemas.microsoft.com/office/drawing/2014/chart" uri="{C3380CC4-5D6E-409C-BE32-E72D297353CC}">
                    <c16:uniqueId val="{0000000F-EEB3-4D5D-80A7-23BC6B5E92E0}"/>
                  </c:ext>
                </c:extLst>
              </c15:ser>
            </c15:filteredBarSeries>
            <c15:filteredBarSeries>
              <c15:ser>
                <c:idx val="4"/>
                <c:order val="16"/>
                <c:tx>
                  <c:strRef>
                    <c:extLst xmlns:c15="http://schemas.microsoft.com/office/drawing/2012/chart">
                      <c:ext xmlns:c15="http://schemas.microsoft.com/office/drawing/2012/chart" uri="{02D57815-91ED-43cb-92C2-25804820EDAC}">
                        <c15:formulaRef>
                          <c15:sqref>'Rep Graph'!$B$38</c15:sqref>
                        </c15:formulaRef>
                      </c:ext>
                    </c:extLst>
                    <c:strCache>
                      <c:ptCount val="1"/>
                      <c:pt idx="0">
                        <c:v>dont extraction</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Graph'!$C$38:$I$38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10-EEB3-4D5D-80A7-23BC6B5E92E0}"/>
                  </c:ext>
                </c:extLst>
              </c15:ser>
            </c15:filteredBarSeries>
            <c15:filteredBarSeries>
              <c15:ser>
                <c:idx val="5"/>
                <c:order val="17"/>
                <c:tx>
                  <c:strRef>
                    <c:extLst xmlns:c15="http://schemas.microsoft.com/office/drawing/2012/chart">
                      <c:ext xmlns:c15="http://schemas.microsoft.com/office/drawing/2012/chart" uri="{02D57815-91ED-43cb-92C2-25804820EDAC}">
                        <c15:formulaRef>
                          <c15:sqref>'Rep Graph'!$B$39</c15:sqref>
                        </c15:formulaRef>
                      </c:ext>
                    </c:extLst>
                    <c:strCache>
                      <c:ptCount val="1"/>
                      <c:pt idx="0">
                        <c:v>dont recyclage</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Graph'!$C$39:$I$39</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11-EEB3-4D5D-80A7-23BC6B5E92E0}"/>
                  </c:ext>
                </c:extLst>
              </c15:ser>
            </c15:filteredBarSeries>
            <c15:filteredBarSeries>
              <c15:ser>
                <c:idx val="6"/>
                <c:order val="18"/>
                <c:tx>
                  <c:strRef>
                    <c:extLst xmlns:c15="http://schemas.microsoft.com/office/drawing/2012/chart">
                      <c:ext xmlns:c15="http://schemas.microsoft.com/office/drawing/2012/chart" uri="{02D57815-91ED-43cb-92C2-25804820EDAC}">
                        <c15:formulaRef>
                          <c15:sqref>'Rep Graph'!$B$40</c15:sqref>
                        </c15:formulaRef>
                      </c:ext>
                    </c:extLst>
                    <c:strCache>
                      <c:ptCount val="1"/>
                      <c:pt idx="0">
                        <c:v>Minéraux non metalliques</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Graph'!$C$40:$I$40</c15:sqref>
                        </c15:formulaRef>
                      </c:ext>
                    </c:extLst>
                    <c:numCache>
                      <c:formatCode>General</c:formatCode>
                      <c:ptCount val="7"/>
                      <c:pt idx="0">
                        <c:v>547</c:v>
                      </c:pt>
                      <c:pt idx="3">
                        <c:v>400</c:v>
                      </c:pt>
                      <c:pt idx="4">
                        <c:v>500</c:v>
                      </c:pt>
                      <c:pt idx="5">
                        <c:v>700</c:v>
                      </c:pt>
                      <c:pt idx="6">
                        <c:v>700</c:v>
                      </c:pt>
                    </c:numCache>
                  </c:numRef>
                </c:val>
                <c:extLst xmlns:c15="http://schemas.microsoft.com/office/drawing/2012/chart">
                  <c:ext xmlns:c16="http://schemas.microsoft.com/office/drawing/2014/chart" uri="{C3380CC4-5D6E-409C-BE32-E72D297353CC}">
                    <c16:uniqueId val="{00000012-EEB3-4D5D-80A7-23BC6B5E92E0}"/>
                  </c:ext>
                </c:extLst>
              </c15:ser>
            </c15:filteredBarSeries>
            <c15:filteredBarSeries>
              <c15:ser>
                <c:idx val="7"/>
                <c:order val="19"/>
                <c:tx>
                  <c:strRef>
                    <c:extLst xmlns:c15="http://schemas.microsoft.com/office/drawing/2012/chart">
                      <c:ext xmlns:c15="http://schemas.microsoft.com/office/drawing/2012/chart" uri="{02D57815-91ED-43cb-92C2-25804820EDAC}">
                        <c15:formulaRef>
                          <c15:sqref>'Rep Graph'!$B$41</c15:sqref>
                        </c15:formulaRef>
                      </c:ext>
                    </c:extLst>
                    <c:strCache>
                      <c:ptCount val="1"/>
                      <c:pt idx="0">
                        <c:v>dont extraction</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Graph'!$C$41:$I$41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13-EEB3-4D5D-80A7-23BC6B5E92E0}"/>
                  </c:ext>
                </c:extLst>
              </c15:ser>
            </c15:filteredBarSeries>
            <c15:filteredBarSeries>
              <c15:ser>
                <c:idx val="8"/>
                <c:order val="20"/>
                <c:tx>
                  <c:strRef>
                    <c:extLst xmlns:c15="http://schemas.microsoft.com/office/drawing/2012/chart">
                      <c:ext xmlns:c15="http://schemas.microsoft.com/office/drawing/2012/chart" uri="{02D57815-91ED-43cb-92C2-25804820EDAC}">
                        <c15:formulaRef>
                          <c15:sqref>'Rep Graph'!$B$42</c15:sqref>
                        </c15:formulaRef>
                      </c:ext>
                    </c:extLst>
                    <c:strCache>
                      <c:ptCount val="1"/>
                      <c:pt idx="0">
                        <c:v>dont recyclage</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Graph'!$C$42:$I$42</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14-EEB3-4D5D-80A7-23BC6B5E92E0}"/>
                  </c:ext>
                </c:extLst>
              </c15:ser>
            </c15:filteredBarSeries>
            <c15:filteredBarSeries>
              <c15:ser>
                <c:idx val="9"/>
                <c:order val="21"/>
                <c:tx>
                  <c:strRef>
                    <c:extLst xmlns:c15="http://schemas.microsoft.com/office/drawing/2012/chart">
                      <c:ext xmlns:c15="http://schemas.microsoft.com/office/drawing/2012/chart" uri="{02D57815-91ED-43cb-92C2-25804820EDAC}">
                        <c15:formulaRef>
                          <c15:sqref>'Rep Graph'!$B$43</c15:sqref>
                        </c15:formulaRef>
                      </c:ext>
                    </c:extLst>
                    <c:strCache>
                      <c:ptCount val="1"/>
                      <c:pt idx="0">
                        <c:v>Combustibles fossiles</c:v>
                      </c:pt>
                    </c:strCache>
                  </c:strRef>
                </c:tx>
                <c:spPr>
                  <a:solidFill>
                    <a:schemeClr val="bg2">
                      <a:lumMod val="25000"/>
                    </a:schemeClr>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Graph'!$C$43:$I$43</c15:sqref>
                        </c15:formulaRef>
                      </c:ext>
                    </c:extLst>
                    <c:numCache>
                      <c:formatCode>General</c:formatCode>
                      <c:ptCount val="7"/>
                      <c:pt idx="0">
                        <c:v>411</c:v>
                      </c:pt>
                      <c:pt idx="3">
                        <c:v>30</c:v>
                      </c:pt>
                      <c:pt idx="4">
                        <c:v>80</c:v>
                      </c:pt>
                      <c:pt idx="5">
                        <c:v>200</c:v>
                      </c:pt>
                      <c:pt idx="6">
                        <c:v>250</c:v>
                      </c:pt>
                    </c:numCache>
                  </c:numRef>
                </c:val>
                <c:extLst xmlns:c15="http://schemas.microsoft.com/office/drawing/2012/chart">
                  <c:ext xmlns:c16="http://schemas.microsoft.com/office/drawing/2014/chart" uri="{C3380CC4-5D6E-409C-BE32-E72D297353CC}">
                    <c16:uniqueId val="{00000015-EEB3-4D5D-80A7-23BC6B5E92E0}"/>
                  </c:ext>
                </c:extLst>
              </c15:ser>
            </c15:filteredBarSeries>
            <c15:filteredBarSeries>
              <c15:ser>
                <c:idx val="10"/>
                <c:order val="22"/>
                <c:tx>
                  <c:strRef>
                    <c:extLst xmlns:c15="http://schemas.microsoft.com/office/drawing/2012/chart">
                      <c:ext xmlns:c15="http://schemas.microsoft.com/office/drawing/2012/chart" uri="{02D57815-91ED-43cb-92C2-25804820EDAC}">
                        <c15:formulaRef>
                          <c15:sqref>'Rep Graph'!$B$44</c15:sqref>
                        </c15:formulaRef>
                      </c:ext>
                    </c:extLst>
                    <c:strCache>
                      <c:ptCount val="1"/>
                      <c:pt idx="0">
                        <c:v>dont extraction</c:v>
                      </c:pt>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Graph'!$C$44:$I$44</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16-EEB3-4D5D-80A7-23BC6B5E92E0}"/>
                  </c:ext>
                </c:extLst>
              </c15:ser>
            </c15:filteredBarSeries>
            <c15:filteredBarSeries>
              <c15:ser>
                <c:idx val="11"/>
                <c:order val="23"/>
                <c:tx>
                  <c:strRef>
                    <c:extLst xmlns:c15="http://schemas.microsoft.com/office/drawing/2012/chart">
                      <c:ext xmlns:c15="http://schemas.microsoft.com/office/drawing/2012/chart" uri="{02D57815-91ED-43cb-92C2-25804820EDAC}">
                        <c15:formulaRef>
                          <c15:sqref>'Rep Graph'!$B$45</c15:sqref>
                        </c15:formulaRef>
                      </c:ext>
                    </c:extLst>
                    <c:strCache>
                      <c:ptCount val="1"/>
                      <c:pt idx="0">
                        <c:v>dont recylage</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'Rep Graph'!$C$33:$I$33</c15:sqref>
                        </c15:formulaRef>
                      </c:ext>
                    </c:extLst>
                    <c:strCache>
                      <c:ptCount val="7"/>
                      <c:pt idx="0">
                        <c:v>2015</c:v>
                      </c:pt>
                      <c:pt idx="1">
                        <c:v>SNBC</c:v>
                      </c:pt>
                      <c:pt idx="2">
                        <c:v>S TEND</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Graph'!$C$45:$I$45</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17-EEB3-4D5D-80A7-23BC6B5E92E0}"/>
                  </c:ext>
                </c:extLst>
              </c15:ser>
            </c15:filteredBarSeries>
          </c:ext>
        </c:extLst>
      </c:barChart>
      <c:catAx>
        <c:axId val="4294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9492528"/>
        <c:crosses val="autoZero"/>
        <c:auto val="1"/>
        <c:lblAlgn val="ctr"/>
        <c:lblOffset val="100"/>
        <c:noMultiLvlLbl val="0"/>
      </c:catAx>
      <c:valAx>
        <c:axId val="42949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9490560"/>
        <c:crosses val="autoZero"/>
        <c:crossBetween val="between"/>
      </c:valAx>
    </c:plotArea>
    <c:legend>
      <c:legendPos val="b"/>
      <c:layout>
        <c:manualLayout>
          <c:xMode val="edge"/>
          <c:yMode val="edge"/>
          <c:x val="0.77708398451278082"/>
          <c:y val="0.316618459941791"/>
          <c:w val="0.22037772797757924"/>
          <c:h val="0.36628507396460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Occupation</a:t>
            </a:r>
            <a:r>
              <a:rPr lang="fr-FR" baseline="0"/>
              <a:t> des sols (M Ha)</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6.507928439370668E-2"/>
          <c:y val="0.15169729265984166"/>
          <c:w val="0.71821129680245377"/>
          <c:h val="0.73348317038366251"/>
        </c:manualLayout>
      </c:layout>
      <c:barChart>
        <c:barDir val="col"/>
        <c:grouping val="percentStacked"/>
        <c:varyColors val="0"/>
        <c:ser>
          <c:idx val="5"/>
          <c:order val="0"/>
          <c:tx>
            <c:strRef>
              <c:f>'Rep Graph'!$B$49</c:f>
              <c:strCache>
                <c:ptCount val="1"/>
                <c:pt idx="0">
                  <c:v>Sols artificialisés</c:v>
                </c:pt>
              </c:strCache>
            </c:strRef>
          </c:tx>
          <c:spPr>
            <a:solidFill>
              <a:srgbClr val="7030A0"/>
            </a:solidFill>
            <a:ln>
              <a:noFill/>
            </a:ln>
            <a:effectLst/>
          </c:spPr>
          <c:invertIfNegative val="0"/>
          <c:cat>
            <c:strRef>
              <c:f>'Rep Graph'!$C$48:$I$48</c:f>
              <c:strCache>
                <c:ptCount val="7"/>
                <c:pt idx="0">
                  <c:v>2015</c:v>
                </c:pt>
                <c:pt idx="1">
                  <c:v>SNBC</c:v>
                </c:pt>
                <c:pt idx="2">
                  <c:v>S TEND</c:v>
                </c:pt>
                <c:pt idx="3">
                  <c:v>S1</c:v>
                </c:pt>
                <c:pt idx="4">
                  <c:v>S2</c:v>
                </c:pt>
                <c:pt idx="5">
                  <c:v>S3</c:v>
                </c:pt>
                <c:pt idx="6">
                  <c:v>S4</c:v>
                </c:pt>
              </c:strCache>
            </c:strRef>
          </c:cat>
          <c:val>
            <c:numRef>
              <c:f>'Rep Graph'!$C$49:$I$49</c:f>
              <c:numCache>
                <c:formatCode>General</c:formatCode>
                <c:ptCount val="7"/>
                <c:pt idx="0">
                  <c:v>5.2</c:v>
                </c:pt>
                <c:pt idx="3">
                  <c:v>5</c:v>
                </c:pt>
                <c:pt idx="4">
                  <c:v>5.5</c:v>
                </c:pt>
                <c:pt idx="5">
                  <c:v>5.8</c:v>
                </c:pt>
                <c:pt idx="6">
                  <c:v>6</c:v>
                </c:pt>
              </c:numCache>
            </c:numRef>
          </c:val>
          <c:extLst>
            <c:ext xmlns:c16="http://schemas.microsoft.com/office/drawing/2014/chart" uri="{C3380CC4-5D6E-409C-BE32-E72D297353CC}">
              <c16:uniqueId val="{00000000-E34F-46D3-9E5A-DE3CEB7ACF4C}"/>
            </c:ext>
          </c:extLst>
        </c:ser>
        <c:ser>
          <c:idx val="0"/>
          <c:order val="1"/>
          <c:tx>
            <c:strRef>
              <c:f>'Rep Graph'!$B$50</c:f>
              <c:strCache>
                <c:ptCount val="1"/>
                <c:pt idx="0">
                  <c:v>Surfaces cultivées</c:v>
                </c:pt>
              </c:strCache>
            </c:strRef>
          </c:tx>
          <c:spPr>
            <a:solidFill>
              <a:schemeClr val="accent4"/>
            </a:solidFill>
            <a:ln>
              <a:noFill/>
            </a:ln>
            <a:effectLst/>
          </c:spPr>
          <c:invertIfNegative val="0"/>
          <c:cat>
            <c:strRef>
              <c:f>'Rep Graph'!$C$48:$I$48</c:f>
              <c:strCache>
                <c:ptCount val="7"/>
                <c:pt idx="0">
                  <c:v>2015</c:v>
                </c:pt>
                <c:pt idx="1">
                  <c:v>SNBC</c:v>
                </c:pt>
                <c:pt idx="2">
                  <c:v>S TEND</c:v>
                </c:pt>
                <c:pt idx="3">
                  <c:v>S1</c:v>
                </c:pt>
                <c:pt idx="4">
                  <c:v>S2</c:v>
                </c:pt>
                <c:pt idx="5">
                  <c:v>S3</c:v>
                </c:pt>
                <c:pt idx="6">
                  <c:v>S4</c:v>
                </c:pt>
              </c:strCache>
            </c:strRef>
          </c:cat>
          <c:val>
            <c:numRef>
              <c:f>'Rep Graph'!$C$50:$I$50</c:f>
              <c:numCache>
                <c:formatCode>General</c:formatCode>
                <c:ptCount val="7"/>
                <c:pt idx="0">
                  <c:v>19.7</c:v>
                </c:pt>
                <c:pt idx="3">
                  <c:v>19</c:v>
                </c:pt>
                <c:pt idx="4">
                  <c:v>19</c:v>
                </c:pt>
                <c:pt idx="5">
                  <c:v>21</c:v>
                </c:pt>
                <c:pt idx="6">
                  <c:v>23</c:v>
                </c:pt>
              </c:numCache>
            </c:numRef>
          </c:val>
          <c:extLst>
            <c:ext xmlns:c16="http://schemas.microsoft.com/office/drawing/2014/chart" uri="{C3380CC4-5D6E-409C-BE32-E72D297353CC}">
              <c16:uniqueId val="{00000001-E34F-46D3-9E5A-DE3CEB7ACF4C}"/>
            </c:ext>
          </c:extLst>
        </c:ser>
        <c:ser>
          <c:idx val="1"/>
          <c:order val="2"/>
          <c:tx>
            <c:strRef>
              <c:f>'Rep Graph'!$B$51</c:f>
              <c:strCache>
                <c:ptCount val="1"/>
                <c:pt idx="0">
                  <c:v>Surfaces tjs en herbe</c:v>
                </c:pt>
              </c:strCache>
            </c:strRef>
          </c:tx>
          <c:spPr>
            <a:solidFill>
              <a:schemeClr val="accent6">
                <a:lumMod val="60000"/>
                <a:lumOff val="40000"/>
              </a:schemeClr>
            </a:solidFill>
            <a:ln>
              <a:noFill/>
            </a:ln>
            <a:effectLst/>
          </c:spPr>
          <c:invertIfNegative val="0"/>
          <c:cat>
            <c:strRef>
              <c:f>'Rep Graph'!$C$48:$I$48</c:f>
              <c:strCache>
                <c:ptCount val="7"/>
                <c:pt idx="0">
                  <c:v>2015</c:v>
                </c:pt>
                <c:pt idx="1">
                  <c:v>SNBC</c:v>
                </c:pt>
                <c:pt idx="2">
                  <c:v>S TEND</c:v>
                </c:pt>
                <c:pt idx="3">
                  <c:v>S1</c:v>
                </c:pt>
                <c:pt idx="4">
                  <c:v>S2</c:v>
                </c:pt>
                <c:pt idx="5">
                  <c:v>S3</c:v>
                </c:pt>
                <c:pt idx="6">
                  <c:v>S4</c:v>
                </c:pt>
              </c:strCache>
            </c:strRef>
          </c:cat>
          <c:val>
            <c:numRef>
              <c:f>'Rep Graph'!$C$51:$I$51</c:f>
              <c:numCache>
                <c:formatCode>General</c:formatCode>
                <c:ptCount val="7"/>
                <c:pt idx="0">
                  <c:v>8.3000000000000007</c:v>
                </c:pt>
                <c:pt idx="3">
                  <c:v>8</c:v>
                </c:pt>
                <c:pt idx="4">
                  <c:v>8</c:v>
                </c:pt>
                <c:pt idx="5">
                  <c:v>6</c:v>
                </c:pt>
                <c:pt idx="6">
                  <c:v>6</c:v>
                </c:pt>
              </c:numCache>
            </c:numRef>
          </c:val>
          <c:extLst>
            <c:ext xmlns:c16="http://schemas.microsoft.com/office/drawing/2014/chart" uri="{C3380CC4-5D6E-409C-BE32-E72D297353CC}">
              <c16:uniqueId val="{00000002-E34F-46D3-9E5A-DE3CEB7ACF4C}"/>
            </c:ext>
          </c:extLst>
        </c:ser>
        <c:ser>
          <c:idx val="2"/>
          <c:order val="3"/>
          <c:tx>
            <c:strRef>
              <c:f>'Rep Graph'!$B$52</c:f>
              <c:strCache>
                <c:ptCount val="1"/>
                <c:pt idx="0">
                  <c:v>Forêts et haies</c:v>
                </c:pt>
              </c:strCache>
            </c:strRef>
          </c:tx>
          <c:spPr>
            <a:solidFill>
              <a:schemeClr val="accent6">
                <a:lumMod val="50000"/>
              </a:schemeClr>
            </a:solidFill>
            <a:ln>
              <a:noFill/>
            </a:ln>
            <a:effectLst/>
          </c:spPr>
          <c:invertIfNegative val="0"/>
          <c:cat>
            <c:strRef>
              <c:f>'Rep Graph'!$C$48:$I$48</c:f>
              <c:strCache>
                <c:ptCount val="7"/>
                <c:pt idx="0">
                  <c:v>2015</c:v>
                </c:pt>
                <c:pt idx="1">
                  <c:v>SNBC</c:v>
                </c:pt>
                <c:pt idx="2">
                  <c:v>S TEND</c:v>
                </c:pt>
                <c:pt idx="3">
                  <c:v>S1</c:v>
                </c:pt>
                <c:pt idx="4">
                  <c:v>S2</c:v>
                </c:pt>
                <c:pt idx="5">
                  <c:v>S3</c:v>
                </c:pt>
                <c:pt idx="6">
                  <c:v>S4</c:v>
                </c:pt>
              </c:strCache>
            </c:strRef>
          </c:cat>
          <c:val>
            <c:numRef>
              <c:f>'Rep Graph'!$C$52:$I$52</c:f>
              <c:numCache>
                <c:formatCode>General</c:formatCode>
                <c:ptCount val="7"/>
                <c:pt idx="0">
                  <c:v>17</c:v>
                </c:pt>
                <c:pt idx="3">
                  <c:v>17</c:v>
                </c:pt>
                <c:pt idx="4">
                  <c:v>18</c:v>
                </c:pt>
                <c:pt idx="5">
                  <c:v>19</c:v>
                </c:pt>
                <c:pt idx="6">
                  <c:v>16</c:v>
                </c:pt>
              </c:numCache>
            </c:numRef>
          </c:val>
          <c:extLst>
            <c:ext xmlns:c16="http://schemas.microsoft.com/office/drawing/2014/chart" uri="{C3380CC4-5D6E-409C-BE32-E72D297353CC}">
              <c16:uniqueId val="{00000003-E34F-46D3-9E5A-DE3CEB7ACF4C}"/>
            </c:ext>
          </c:extLst>
        </c:ser>
        <c:ser>
          <c:idx val="3"/>
          <c:order val="4"/>
          <c:tx>
            <c:strRef>
              <c:f>'Rep Graph'!$B$53</c:f>
              <c:strCache>
                <c:ptCount val="1"/>
                <c:pt idx="0">
                  <c:v>Autres espaces naturels</c:v>
                </c:pt>
              </c:strCache>
            </c:strRef>
          </c:tx>
          <c:spPr>
            <a:solidFill>
              <a:schemeClr val="accent4">
                <a:lumMod val="50000"/>
              </a:schemeClr>
            </a:solidFill>
            <a:ln>
              <a:noFill/>
            </a:ln>
            <a:effectLst/>
          </c:spPr>
          <c:invertIfNegative val="0"/>
          <c:cat>
            <c:strRef>
              <c:f>'Rep Graph'!$C$48:$I$48</c:f>
              <c:strCache>
                <c:ptCount val="7"/>
                <c:pt idx="0">
                  <c:v>2015</c:v>
                </c:pt>
                <c:pt idx="1">
                  <c:v>SNBC</c:v>
                </c:pt>
                <c:pt idx="2">
                  <c:v>S TEND</c:v>
                </c:pt>
                <c:pt idx="3">
                  <c:v>S1</c:v>
                </c:pt>
                <c:pt idx="4">
                  <c:v>S2</c:v>
                </c:pt>
                <c:pt idx="5">
                  <c:v>S3</c:v>
                </c:pt>
                <c:pt idx="6">
                  <c:v>S4</c:v>
                </c:pt>
              </c:strCache>
            </c:strRef>
          </c:cat>
          <c:val>
            <c:numRef>
              <c:f>'Rep Graph'!$C$53:$I$53</c:f>
              <c:numCache>
                <c:formatCode>General</c:formatCode>
                <c:ptCount val="7"/>
                <c:pt idx="0">
                  <c:v>4.7</c:v>
                </c:pt>
                <c:pt idx="3">
                  <c:v>6</c:v>
                </c:pt>
                <c:pt idx="4">
                  <c:v>4.5</c:v>
                </c:pt>
                <c:pt idx="5">
                  <c:v>3</c:v>
                </c:pt>
                <c:pt idx="6">
                  <c:v>3</c:v>
                </c:pt>
              </c:numCache>
            </c:numRef>
          </c:val>
          <c:extLst>
            <c:ext xmlns:c16="http://schemas.microsoft.com/office/drawing/2014/chart" uri="{C3380CC4-5D6E-409C-BE32-E72D297353CC}">
              <c16:uniqueId val="{00000004-E34F-46D3-9E5A-DE3CEB7ACF4C}"/>
            </c:ext>
          </c:extLst>
        </c:ser>
        <c:dLbls>
          <c:showLegendKey val="0"/>
          <c:showVal val="0"/>
          <c:showCatName val="0"/>
          <c:showSerName val="0"/>
          <c:showPercent val="0"/>
          <c:showBubbleSize val="0"/>
        </c:dLbls>
        <c:gapWidth val="150"/>
        <c:overlap val="100"/>
        <c:axId val="394094144"/>
        <c:axId val="394094472"/>
      </c:barChart>
      <c:catAx>
        <c:axId val="39409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4094472"/>
        <c:crosses val="autoZero"/>
        <c:auto val="0"/>
        <c:lblAlgn val="ctr"/>
        <c:lblOffset val="100"/>
        <c:noMultiLvlLbl val="0"/>
      </c:catAx>
      <c:valAx>
        <c:axId val="39409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4094144"/>
        <c:crosses val="autoZero"/>
        <c:crossBetween val="between"/>
      </c:valAx>
      <c:spPr>
        <a:noFill/>
        <a:ln>
          <a:noFill/>
        </a:ln>
        <a:effectLst/>
      </c:spPr>
    </c:plotArea>
    <c:legend>
      <c:legendPos val="b"/>
      <c:layout>
        <c:manualLayout>
          <c:xMode val="edge"/>
          <c:yMode val="edge"/>
          <c:x val="0.79389165031990927"/>
          <c:y val="0.13638595997424924"/>
          <c:w val="0.1964705732318873"/>
          <c:h val="0.81267158988403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Bilan</a:t>
            </a:r>
            <a:r>
              <a:rPr lang="fr-FR" baseline="0"/>
              <a:t> net gaz à effet de serre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529796740871409"/>
          <c:y val="0.13601111625752663"/>
          <c:w val="0.71821129680245377"/>
          <c:h val="0.70987210957539038"/>
        </c:manualLayout>
      </c:layout>
      <c:barChart>
        <c:barDir val="col"/>
        <c:grouping val="stacked"/>
        <c:varyColors val="0"/>
        <c:ser>
          <c:idx val="0"/>
          <c:order val="0"/>
          <c:tx>
            <c:strRef>
              <c:f>'Rep Graph'!$B$63</c:f>
              <c:strCache>
                <c:ptCount val="1"/>
                <c:pt idx="0">
                  <c:v>CO2</c:v>
                </c:pt>
              </c:strCache>
            </c:strRef>
          </c:tx>
          <c:spPr>
            <a:solidFill>
              <a:schemeClr val="accent1"/>
            </a:solidFill>
            <a:ln>
              <a:noFill/>
            </a:ln>
            <a:effectLst/>
          </c:spPr>
          <c:invertIfNegative val="0"/>
          <c:cat>
            <c:strRef>
              <c:f>'Rep Graph'!$C$62:$I$62</c:f>
              <c:strCache>
                <c:ptCount val="7"/>
                <c:pt idx="0">
                  <c:v>2015</c:v>
                </c:pt>
                <c:pt idx="1">
                  <c:v>SNBC (AMS) 2050</c:v>
                </c:pt>
                <c:pt idx="2">
                  <c:v>S TEND 2050</c:v>
                </c:pt>
                <c:pt idx="3">
                  <c:v>S1</c:v>
                </c:pt>
                <c:pt idx="4">
                  <c:v>S2</c:v>
                </c:pt>
                <c:pt idx="5">
                  <c:v>S3</c:v>
                </c:pt>
                <c:pt idx="6">
                  <c:v>S4</c:v>
                </c:pt>
              </c:strCache>
            </c:strRef>
          </c:cat>
          <c:val>
            <c:numRef>
              <c:f>'Rep Graph'!$C$63:$I$63</c:f>
              <c:numCache>
                <c:formatCode>_-* #\ ##0\ _€_-;\-* #\ ##0\ _€_-;_-* "-"??\ _€_-;_-@_-</c:formatCode>
                <c:ptCount val="7"/>
                <c:pt idx="0">
                  <c:v>328.46451164671782</c:v>
                </c:pt>
                <c:pt idx="1">
                  <c:v>20.871818839240404</c:v>
                </c:pt>
                <c:pt idx="2">
                  <c:v>277.48961012814937</c:v>
                </c:pt>
                <c:pt idx="3" formatCode="General">
                  <c:v>50</c:v>
                </c:pt>
                <c:pt idx="4" formatCode="General">
                  <c:v>100</c:v>
                </c:pt>
                <c:pt idx="5" formatCode="General">
                  <c:v>200</c:v>
                </c:pt>
                <c:pt idx="6" formatCode="General">
                  <c:v>300</c:v>
                </c:pt>
              </c:numCache>
            </c:numRef>
          </c:val>
          <c:extLst>
            <c:ext xmlns:c16="http://schemas.microsoft.com/office/drawing/2014/chart" uri="{C3380CC4-5D6E-409C-BE32-E72D297353CC}">
              <c16:uniqueId val="{00000000-218E-4F41-92E0-7CF158DBC0A1}"/>
            </c:ext>
          </c:extLst>
        </c:ser>
        <c:ser>
          <c:idx val="1"/>
          <c:order val="1"/>
          <c:tx>
            <c:strRef>
              <c:f>'Rep Graph'!$B$64</c:f>
              <c:strCache>
                <c:ptCount val="1"/>
                <c:pt idx="0">
                  <c:v>CH4</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0-4A2C-4595-9549-0AE20A6B5472}"/>
              </c:ext>
            </c:extLst>
          </c:dPt>
          <c:cat>
            <c:strRef>
              <c:f>'Rep Graph'!$C$62:$I$62</c:f>
              <c:strCache>
                <c:ptCount val="7"/>
                <c:pt idx="0">
                  <c:v>2015</c:v>
                </c:pt>
                <c:pt idx="1">
                  <c:v>SNBC (AMS) 2050</c:v>
                </c:pt>
                <c:pt idx="2">
                  <c:v>S TEND 2050</c:v>
                </c:pt>
                <c:pt idx="3">
                  <c:v>S1</c:v>
                </c:pt>
                <c:pt idx="4">
                  <c:v>S2</c:v>
                </c:pt>
                <c:pt idx="5">
                  <c:v>S3</c:v>
                </c:pt>
                <c:pt idx="6">
                  <c:v>S4</c:v>
                </c:pt>
              </c:strCache>
            </c:strRef>
          </c:cat>
          <c:val>
            <c:numRef>
              <c:f>'Rep Graph'!$C$64:$I$64</c:f>
              <c:numCache>
                <c:formatCode>_-* #\ ##0\ _€_-;\-* #\ ##0\ _€_-;_-* "-"??\ _€_-;_-@_-</c:formatCode>
                <c:ptCount val="7"/>
                <c:pt idx="0">
                  <c:v>56.224923509811639</c:v>
                </c:pt>
                <c:pt idx="1">
                  <c:v>31.426418467743346</c:v>
                </c:pt>
                <c:pt idx="2">
                  <c:v>44.921306430160321</c:v>
                </c:pt>
                <c:pt idx="3" formatCode="General">
                  <c:v>50</c:v>
                </c:pt>
                <c:pt idx="4" formatCode="General">
                  <c:v>70</c:v>
                </c:pt>
                <c:pt idx="5" formatCode="General">
                  <c:v>80</c:v>
                </c:pt>
                <c:pt idx="6" formatCode="General">
                  <c:v>80</c:v>
                </c:pt>
              </c:numCache>
            </c:numRef>
          </c:val>
          <c:extLst>
            <c:ext xmlns:c16="http://schemas.microsoft.com/office/drawing/2014/chart" uri="{C3380CC4-5D6E-409C-BE32-E72D297353CC}">
              <c16:uniqueId val="{00000002-218E-4F41-92E0-7CF158DBC0A1}"/>
            </c:ext>
          </c:extLst>
        </c:ser>
        <c:ser>
          <c:idx val="2"/>
          <c:order val="2"/>
          <c:tx>
            <c:strRef>
              <c:f>'Rep Graph'!$B$65</c:f>
              <c:strCache>
                <c:ptCount val="1"/>
                <c:pt idx="0">
                  <c:v>N20</c:v>
                </c:pt>
              </c:strCache>
            </c:strRef>
          </c:tx>
          <c:spPr>
            <a:solidFill>
              <a:schemeClr val="accent3"/>
            </a:solidFill>
            <a:ln>
              <a:noFill/>
            </a:ln>
            <a:effectLst/>
          </c:spPr>
          <c:invertIfNegative val="0"/>
          <c:cat>
            <c:strRef>
              <c:f>'Rep Graph'!$C$62:$I$62</c:f>
              <c:strCache>
                <c:ptCount val="7"/>
                <c:pt idx="0">
                  <c:v>2015</c:v>
                </c:pt>
                <c:pt idx="1">
                  <c:v>SNBC (AMS) 2050</c:v>
                </c:pt>
                <c:pt idx="2">
                  <c:v>S TEND 2050</c:v>
                </c:pt>
                <c:pt idx="3">
                  <c:v>S1</c:v>
                </c:pt>
                <c:pt idx="4">
                  <c:v>S2</c:v>
                </c:pt>
                <c:pt idx="5">
                  <c:v>S3</c:v>
                </c:pt>
                <c:pt idx="6">
                  <c:v>S4</c:v>
                </c:pt>
              </c:strCache>
            </c:strRef>
          </c:cat>
          <c:val>
            <c:numRef>
              <c:f>'Rep Graph'!$C$65:$I$65</c:f>
              <c:numCache>
                <c:formatCode>_-* #\ ##0\ _€_-;\-* #\ ##0\ _€_-;_-* "-"??\ _€_-;_-@_-</c:formatCode>
                <c:ptCount val="7"/>
                <c:pt idx="0">
                  <c:v>41.430865251624766</c:v>
                </c:pt>
                <c:pt idx="1">
                  <c:v>22.593791139932421</c:v>
                </c:pt>
                <c:pt idx="2">
                  <c:v>37.581187183780358</c:v>
                </c:pt>
                <c:pt idx="3" formatCode="General">
                  <c:v>30</c:v>
                </c:pt>
                <c:pt idx="4" formatCode="General">
                  <c:v>30</c:v>
                </c:pt>
                <c:pt idx="5" formatCode="General">
                  <c:v>30</c:v>
                </c:pt>
                <c:pt idx="6" formatCode="General">
                  <c:v>50</c:v>
                </c:pt>
              </c:numCache>
            </c:numRef>
          </c:val>
          <c:extLst>
            <c:ext xmlns:c16="http://schemas.microsoft.com/office/drawing/2014/chart" uri="{C3380CC4-5D6E-409C-BE32-E72D297353CC}">
              <c16:uniqueId val="{00000003-218E-4F41-92E0-7CF158DBC0A1}"/>
            </c:ext>
          </c:extLst>
        </c:ser>
        <c:ser>
          <c:idx val="7"/>
          <c:order val="3"/>
          <c:tx>
            <c:strRef>
              <c:f>'Rep Graph'!$B$66</c:f>
              <c:strCache>
                <c:ptCount val="1"/>
                <c:pt idx="0">
                  <c:v>Autres GES</c:v>
                </c:pt>
              </c:strCache>
            </c:strRef>
          </c:tx>
          <c:spPr>
            <a:solidFill>
              <a:schemeClr val="accent2">
                <a:lumMod val="60000"/>
              </a:schemeClr>
            </a:solidFill>
            <a:ln>
              <a:noFill/>
            </a:ln>
            <a:effectLst/>
          </c:spPr>
          <c:invertIfNegative val="0"/>
          <c:val>
            <c:numRef>
              <c:f>'Rep Graph'!$C$66:$I$66</c:f>
              <c:numCache>
                <c:formatCode>_-* #\ ##0\ _€_-;\-* #\ ##0\ _€_-;_-* "-"??\ _€_-;_-@_-</c:formatCode>
                <c:ptCount val="7"/>
                <c:pt idx="0">
                  <c:v>19.602413143916745</c:v>
                </c:pt>
                <c:pt idx="1">
                  <c:v>2.7390200155613189</c:v>
                </c:pt>
                <c:pt idx="2">
                  <c:v>3.498152409032917</c:v>
                </c:pt>
              </c:numCache>
            </c:numRef>
          </c:val>
          <c:extLst>
            <c:ext xmlns:c16="http://schemas.microsoft.com/office/drawing/2014/chart" uri="{C3380CC4-5D6E-409C-BE32-E72D297353CC}">
              <c16:uniqueId val="{00000008-218E-4F41-92E0-7CF158DBC0A1}"/>
            </c:ext>
          </c:extLst>
        </c:ser>
        <c:ser>
          <c:idx val="3"/>
          <c:order val="4"/>
          <c:tx>
            <c:strRef>
              <c:f>'Rep Graph'!$B$67</c:f>
              <c:strCache>
                <c:ptCount val="1"/>
                <c:pt idx="0">
                  <c:v>Puits biologiques</c:v>
                </c:pt>
              </c:strCache>
            </c:strRef>
          </c:tx>
          <c:spPr>
            <a:solidFill>
              <a:schemeClr val="accent4"/>
            </a:solidFill>
            <a:ln>
              <a:noFill/>
            </a:ln>
            <a:effectLst/>
          </c:spPr>
          <c:invertIfNegative val="0"/>
          <c:cat>
            <c:strRef>
              <c:f>'Rep Graph'!$C$62:$I$62</c:f>
              <c:strCache>
                <c:ptCount val="7"/>
                <c:pt idx="0">
                  <c:v>2015</c:v>
                </c:pt>
                <c:pt idx="1">
                  <c:v>SNBC (AMS) 2050</c:v>
                </c:pt>
                <c:pt idx="2">
                  <c:v>S TEND 2050</c:v>
                </c:pt>
                <c:pt idx="3">
                  <c:v>S1</c:v>
                </c:pt>
                <c:pt idx="4">
                  <c:v>S2</c:v>
                </c:pt>
                <c:pt idx="5">
                  <c:v>S3</c:v>
                </c:pt>
                <c:pt idx="6">
                  <c:v>S4</c:v>
                </c:pt>
              </c:strCache>
            </c:strRef>
          </c:cat>
          <c:val>
            <c:numRef>
              <c:f>'Rep Graph'!$C$67:$I$67</c:f>
              <c:numCache>
                <c:formatCode>_-* #\ ##0\ _€_-;\-* #\ ##0\ _€_-;_-* "-"??\ _€_-;_-@_-</c:formatCode>
                <c:ptCount val="7"/>
                <c:pt idx="0">
                  <c:v>-44.830895244924442</c:v>
                </c:pt>
                <c:pt idx="1">
                  <c:v>-69.80071065744373</c:v>
                </c:pt>
                <c:pt idx="2">
                  <c:v>-45.626305111740194</c:v>
                </c:pt>
                <c:pt idx="3" formatCode="General">
                  <c:v>-50</c:v>
                </c:pt>
                <c:pt idx="4" formatCode="General">
                  <c:v>-60</c:v>
                </c:pt>
                <c:pt idx="5" formatCode="General">
                  <c:v>-30</c:v>
                </c:pt>
                <c:pt idx="6" formatCode="General">
                  <c:v>-20</c:v>
                </c:pt>
              </c:numCache>
            </c:numRef>
          </c:val>
          <c:extLst>
            <c:ext xmlns:c16="http://schemas.microsoft.com/office/drawing/2014/chart" uri="{C3380CC4-5D6E-409C-BE32-E72D297353CC}">
              <c16:uniqueId val="{00000004-218E-4F41-92E0-7CF158DBC0A1}"/>
            </c:ext>
          </c:extLst>
        </c:ser>
        <c:ser>
          <c:idx val="4"/>
          <c:order val="5"/>
          <c:tx>
            <c:strRef>
              <c:f>'Rep Graph'!$B$68</c:f>
              <c:strCache>
                <c:ptCount val="1"/>
                <c:pt idx="0">
                  <c:v>CCS</c:v>
                </c:pt>
              </c:strCache>
            </c:strRef>
          </c:tx>
          <c:spPr>
            <a:solidFill>
              <a:schemeClr val="accent5"/>
            </a:solidFill>
            <a:ln>
              <a:noFill/>
            </a:ln>
            <a:effectLst/>
          </c:spPr>
          <c:invertIfNegative val="0"/>
          <c:cat>
            <c:strRef>
              <c:f>'Rep Graph'!$C$62:$I$62</c:f>
              <c:strCache>
                <c:ptCount val="7"/>
                <c:pt idx="0">
                  <c:v>2015</c:v>
                </c:pt>
                <c:pt idx="1">
                  <c:v>SNBC (AMS) 2050</c:v>
                </c:pt>
                <c:pt idx="2">
                  <c:v>S TEND 2050</c:v>
                </c:pt>
                <c:pt idx="3">
                  <c:v>S1</c:v>
                </c:pt>
                <c:pt idx="4">
                  <c:v>S2</c:v>
                </c:pt>
                <c:pt idx="5">
                  <c:v>S3</c:v>
                </c:pt>
                <c:pt idx="6">
                  <c:v>S4</c:v>
                </c:pt>
              </c:strCache>
            </c:strRef>
          </c:cat>
          <c:val>
            <c:numRef>
              <c:f>'Rep Graph'!$C$68:$I$68</c:f>
              <c:numCache>
                <c:formatCode>_-* #\ ##0\ _€_-;\-* #\ ##0\ _€_-;_-* "-"??\ _€_-;_-@_-</c:formatCode>
                <c:ptCount val="7"/>
                <c:pt idx="0" formatCode="General">
                  <c:v>0</c:v>
                </c:pt>
                <c:pt idx="1">
                  <c:v>-15</c:v>
                </c:pt>
                <c:pt idx="2" formatCode="General">
                  <c:v>0</c:v>
                </c:pt>
                <c:pt idx="3" formatCode="General">
                  <c:v>0</c:v>
                </c:pt>
                <c:pt idx="4" formatCode="General">
                  <c:v>-10</c:v>
                </c:pt>
                <c:pt idx="5" formatCode="General">
                  <c:v>-50</c:v>
                </c:pt>
                <c:pt idx="6" formatCode="General">
                  <c:v>-50</c:v>
                </c:pt>
              </c:numCache>
            </c:numRef>
          </c:val>
          <c:extLst>
            <c:ext xmlns:c16="http://schemas.microsoft.com/office/drawing/2014/chart" uri="{C3380CC4-5D6E-409C-BE32-E72D297353CC}">
              <c16:uniqueId val="{00000005-218E-4F41-92E0-7CF158DBC0A1}"/>
            </c:ext>
          </c:extLst>
        </c:ser>
        <c:dLbls>
          <c:showLegendKey val="0"/>
          <c:showVal val="0"/>
          <c:showCatName val="0"/>
          <c:showSerName val="0"/>
          <c:showPercent val="0"/>
          <c:showBubbleSize val="0"/>
        </c:dLbls>
        <c:gapWidth val="150"/>
        <c:overlap val="100"/>
        <c:axId val="394094144"/>
        <c:axId val="394094472"/>
        <c:extLst>
          <c:ext xmlns:c15="http://schemas.microsoft.com/office/drawing/2012/chart" uri="{02D57815-91ED-43cb-92C2-25804820EDAC}">
            <c15:filteredBarSeries>
              <c15:ser>
                <c:idx val="5"/>
                <c:order val="6"/>
                <c:tx>
                  <c:strRef>
                    <c:extLst>
                      <c:ext uri="{02D57815-91ED-43cb-92C2-25804820EDAC}">
                        <c15:formulaRef>
                          <c15:sqref>'Rep Graph'!$B$69</c15:sqref>
                        </c15:formulaRef>
                      </c:ext>
                    </c:extLst>
                    <c:strCache>
                      <c:ptCount val="1"/>
                      <c:pt idx="0">
                        <c:v>BECCS</c:v>
                      </c:pt>
                    </c:strCache>
                  </c:strRef>
                </c:tx>
                <c:spPr>
                  <a:solidFill>
                    <a:schemeClr val="accent6"/>
                  </a:solidFill>
                  <a:ln>
                    <a:noFill/>
                  </a:ln>
                  <a:effectLst/>
                </c:spPr>
                <c:invertIfNegative val="0"/>
                <c:cat>
                  <c:strRef>
                    <c:extLst>
                      <c:ext uri="{02D57815-91ED-43cb-92C2-25804820EDAC}">
                        <c15:formulaRef>
                          <c15:sqref>'Rep Graph'!$C$62:$I$62</c15:sqref>
                        </c15:formulaRef>
                      </c:ext>
                    </c:extLst>
                    <c:strCache>
                      <c:ptCount val="7"/>
                      <c:pt idx="0">
                        <c:v>2015</c:v>
                      </c:pt>
                      <c:pt idx="1">
                        <c:v>SNBC (AMS) 2050</c:v>
                      </c:pt>
                      <c:pt idx="2">
                        <c:v>S TEND 2050</c:v>
                      </c:pt>
                      <c:pt idx="3">
                        <c:v>S1</c:v>
                      </c:pt>
                      <c:pt idx="4">
                        <c:v>S2</c:v>
                      </c:pt>
                      <c:pt idx="5">
                        <c:v>S3</c:v>
                      </c:pt>
                      <c:pt idx="6">
                        <c:v>S4</c:v>
                      </c:pt>
                    </c:strCache>
                  </c:strRef>
                </c:cat>
                <c:val>
                  <c:numRef>
                    <c:extLst>
                      <c:ext uri="{02D57815-91ED-43cb-92C2-25804820EDAC}">
                        <c15:formulaRef>
                          <c15:sqref>'Rep Graph'!$C$69:$I$69</c15:sqref>
                        </c15:formulaRef>
                      </c:ext>
                    </c:extLst>
                    <c:numCache>
                      <c:formatCode>General</c:formatCode>
                      <c:ptCount val="7"/>
                      <c:pt idx="0">
                        <c:v>0</c:v>
                      </c:pt>
                      <c:pt idx="1">
                        <c:v>0</c:v>
                      </c:pt>
                      <c:pt idx="2">
                        <c:v>0</c:v>
                      </c:pt>
                      <c:pt idx="3">
                        <c:v>-20</c:v>
                      </c:pt>
                      <c:pt idx="4">
                        <c:v>-50</c:v>
                      </c:pt>
                      <c:pt idx="5">
                        <c:v>-50</c:v>
                      </c:pt>
                      <c:pt idx="6">
                        <c:v>-50</c:v>
                      </c:pt>
                    </c:numCache>
                  </c:numRef>
                </c:val>
                <c:extLst>
                  <c:ext xmlns:c16="http://schemas.microsoft.com/office/drawing/2014/chart" uri="{C3380CC4-5D6E-409C-BE32-E72D297353CC}">
                    <c16:uniqueId val="{00000006-218E-4F41-92E0-7CF158DBC0A1}"/>
                  </c:ext>
                </c:extLst>
              </c15:ser>
            </c15:filteredBarSeries>
            <c15:filteredBarSeries>
              <c15:ser>
                <c:idx val="6"/>
                <c:order val="7"/>
                <c:tx>
                  <c:strRef>
                    <c:extLst xmlns:c15="http://schemas.microsoft.com/office/drawing/2012/chart">
                      <c:ext xmlns:c15="http://schemas.microsoft.com/office/drawing/2012/chart" uri="{02D57815-91ED-43cb-92C2-25804820EDAC}">
                        <c15:formulaRef>
                          <c15:sqref>'Rep Graph'!$B$70</c15:sqref>
                        </c15:formulaRef>
                      </c:ext>
                    </c:extLst>
                    <c:strCache>
                      <c:ptCount val="1"/>
                      <c:pt idx="0">
                        <c:v>DACCS</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'Rep Graph'!$C$62:$I$62</c15:sqref>
                        </c15:formulaRef>
                      </c:ext>
                    </c:extLst>
                    <c:strCache>
                      <c:ptCount val="7"/>
                      <c:pt idx="0">
                        <c:v>2015</c:v>
                      </c:pt>
                      <c:pt idx="1">
                        <c:v>SNBC (AMS) 2050</c:v>
                      </c:pt>
                      <c:pt idx="2">
                        <c:v>S TEND 2050</c:v>
                      </c:pt>
                      <c:pt idx="3">
                        <c:v>S1</c:v>
                      </c:pt>
                      <c:pt idx="4">
                        <c:v>S2</c:v>
                      </c:pt>
                      <c:pt idx="5">
                        <c:v>S3</c:v>
                      </c:pt>
                      <c:pt idx="6">
                        <c:v>S4</c:v>
                      </c:pt>
                    </c:strCache>
                  </c:strRef>
                </c:cat>
                <c:val>
                  <c:numRef>
                    <c:extLst xmlns:c15="http://schemas.microsoft.com/office/drawing/2012/chart">
                      <c:ext xmlns:c15="http://schemas.microsoft.com/office/drawing/2012/chart" uri="{02D57815-91ED-43cb-92C2-25804820EDAC}">
                        <c15:formulaRef>
                          <c15:sqref>'Rep Graph'!$C$70:$I$70</c15:sqref>
                        </c15:formulaRef>
                      </c:ext>
                    </c:extLst>
                    <c:numCache>
                      <c:formatCode>General</c:formatCode>
                      <c:ptCount val="7"/>
                      <c:pt idx="0">
                        <c:v>0</c:v>
                      </c:pt>
                      <c:pt idx="1">
                        <c:v>0</c:v>
                      </c:pt>
                      <c:pt idx="2">
                        <c:v>0</c:v>
                      </c:pt>
                      <c:pt idx="3">
                        <c:v>0</c:v>
                      </c:pt>
                      <c:pt idx="6">
                        <c:v>-200</c:v>
                      </c:pt>
                    </c:numCache>
                  </c:numRef>
                </c:val>
                <c:extLst xmlns:c15="http://schemas.microsoft.com/office/drawing/2012/chart">
                  <c:ext xmlns:c16="http://schemas.microsoft.com/office/drawing/2014/chart" uri="{C3380CC4-5D6E-409C-BE32-E72D297353CC}">
                    <c16:uniqueId val="{00000007-218E-4F41-92E0-7CF158DBC0A1}"/>
                  </c:ext>
                </c:extLst>
              </c15:ser>
            </c15:filteredBarSeries>
          </c:ext>
        </c:extLst>
      </c:barChart>
      <c:catAx>
        <c:axId val="3940941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4094472"/>
        <c:crosses val="autoZero"/>
        <c:auto val="0"/>
        <c:lblAlgn val="ctr"/>
        <c:lblOffset val="100"/>
        <c:noMultiLvlLbl val="0"/>
      </c:catAx>
      <c:valAx>
        <c:axId val="394094472"/>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Emissions (MteqCO2)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4094144"/>
        <c:crosses val="autoZero"/>
        <c:crossBetween val="between"/>
      </c:valAx>
      <c:spPr>
        <a:noFill/>
        <a:ln>
          <a:noFill/>
        </a:ln>
        <a:effectLst/>
      </c:spPr>
    </c:plotArea>
    <c:legend>
      <c:legendPos val="b"/>
      <c:layout>
        <c:manualLayout>
          <c:xMode val="edge"/>
          <c:yMode val="edge"/>
          <c:x val="0.14666702877645874"/>
          <c:y val="0.92866531527651341"/>
          <c:w val="0.61862943706894535"/>
          <c:h val="6.51046223388743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Mix d'énergie finale (TWh /an)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'Rep Graph'!$B$20</c:f>
              <c:strCache>
                <c:ptCount val="1"/>
                <c:pt idx="0">
                  <c:v>Electricité, hors P2X</c:v>
                </c:pt>
              </c:strCache>
            </c:strRef>
          </c:tx>
          <c:spPr>
            <a:solidFill>
              <a:schemeClr val="accent1"/>
            </a:solidFill>
            <a:ln>
              <a:noFill/>
            </a:ln>
            <a:effectLst/>
          </c:spPr>
          <c:invertIfNegative val="0"/>
          <c:cat>
            <c:strRef>
              <c:extLst>
                <c:ext xmlns:c15="http://schemas.microsoft.com/office/drawing/2012/chart" uri="{02D57815-91ED-43cb-92C2-25804820EDAC}">
                  <c15:fullRef>
                    <c15:sqref>'Rep Graph'!$C$6:$I$6</c15:sqref>
                  </c15:fullRef>
                </c:ext>
              </c:extLst>
              <c:f>'Rep Graph'!$C$6:$E$6</c:f>
              <c:strCache>
                <c:ptCount val="3"/>
                <c:pt idx="0">
                  <c:v>2015</c:v>
                </c:pt>
                <c:pt idx="1">
                  <c:v>SNBC (AMS) 2050</c:v>
                </c:pt>
                <c:pt idx="2">
                  <c:v>S TEND 2050</c:v>
                </c:pt>
              </c:strCache>
            </c:strRef>
          </c:cat>
          <c:val>
            <c:numRef>
              <c:extLst>
                <c:ext xmlns:c15="http://schemas.microsoft.com/office/drawing/2012/chart" uri="{02D57815-91ED-43cb-92C2-25804820EDAC}">
                  <c15:fullRef>
                    <c15:sqref>'Rep Graph'!$C$20:$I$20</c15:sqref>
                  </c15:fullRef>
                </c:ext>
              </c:extLst>
              <c:f>'Rep Graph'!$C$20:$E$20</c:f>
              <c:numCache>
                <c:formatCode>0</c:formatCode>
                <c:ptCount val="3"/>
                <c:pt idx="0">
                  <c:v>442.89879466849811</c:v>
                </c:pt>
                <c:pt idx="1">
                  <c:v>530.76240884175638</c:v>
                </c:pt>
                <c:pt idx="2">
                  <c:v>608.2081801570414</c:v>
                </c:pt>
              </c:numCache>
            </c:numRef>
          </c:val>
          <c:extLst>
            <c:ext xmlns:c16="http://schemas.microsoft.com/office/drawing/2014/chart" uri="{C3380CC4-5D6E-409C-BE32-E72D297353CC}">
              <c16:uniqueId val="{00000000-C07D-4702-A45B-B02E39CCAA4F}"/>
            </c:ext>
          </c:extLst>
        </c:ser>
        <c:ser>
          <c:idx val="1"/>
          <c:order val="1"/>
          <c:tx>
            <c:strRef>
              <c:f>'Rep Graph'!$B$21</c:f>
              <c:strCache>
                <c:ptCount val="1"/>
                <c:pt idx="0">
                  <c:v>Gaz consommé, yc biogaz, H2 ds GN, P2X (dont GNL)</c:v>
                </c:pt>
              </c:strCache>
            </c:strRef>
          </c:tx>
          <c:spPr>
            <a:solidFill>
              <a:schemeClr val="accent2"/>
            </a:solidFill>
            <a:ln>
              <a:noFill/>
            </a:ln>
            <a:effectLst/>
          </c:spPr>
          <c:invertIfNegative val="0"/>
          <c:cat>
            <c:strRef>
              <c:extLst>
                <c:ext xmlns:c15="http://schemas.microsoft.com/office/drawing/2012/chart" uri="{02D57815-91ED-43cb-92C2-25804820EDAC}">
                  <c15:fullRef>
                    <c15:sqref>'Rep Graph'!$C$6:$I$6</c15:sqref>
                  </c15:fullRef>
                </c:ext>
              </c:extLst>
              <c:f>'Rep Graph'!$C$6:$E$6</c:f>
              <c:strCache>
                <c:ptCount val="3"/>
                <c:pt idx="0">
                  <c:v>2015</c:v>
                </c:pt>
                <c:pt idx="1">
                  <c:v>SNBC (AMS) 2050</c:v>
                </c:pt>
                <c:pt idx="2">
                  <c:v>S TEND 2050</c:v>
                </c:pt>
              </c:strCache>
            </c:strRef>
          </c:cat>
          <c:val>
            <c:numRef>
              <c:extLst>
                <c:ext xmlns:c15="http://schemas.microsoft.com/office/drawing/2012/chart" uri="{02D57815-91ED-43cb-92C2-25804820EDAC}">
                  <c15:fullRef>
                    <c15:sqref>'Rep Graph'!$C$21:$I$21</c15:sqref>
                  </c15:fullRef>
                </c:ext>
              </c:extLst>
              <c:f>'Rep Graph'!$C$21:$E$21</c:f>
              <c:numCache>
                <c:formatCode>0</c:formatCode>
                <c:ptCount val="3"/>
                <c:pt idx="0">
                  <c:v>341.8261710564322</c:v>
                </c:pt>
                <c:pt idx="1">
                  <c:v>117.79497299910679</c:v>
                </c:pt>
                <c:pt idx="2">
                  <c:v>322.27126681428626</c:v>
                </c:pt>
              </c:numCache>
            </c:numRef>
          </c:val>
          <c:extLst>
            <c:ext xmlns:c16="http://schemas.microsoft.com/office/drawing/2014/chart" uri="{C3380CC4-5D6E-409C-BE32-E72D297353CC}">
              <c16:uniqueId val="{00000001-C07D-4702-A45B-B02E39CCAA4F}"/>
            </c:ext>
          </c:extLst>
        </c:ser>
        <c:ser>
          <c:idx val="2"/>
          <c:order val="2"/>
          <c:tx>
            <c:strRef>
              <c:f>'Rep Graph'!$B$23</c:f>
              <c:strCache>
                <c:ptCount val="1"/>
                <c:pt idx="0">
                  <c:v>Carburant liquide</c:v>
                </c:pt>
              </c:strCache>
            </c:strRef>
          </c:tx>
          <c:spPr>
            <a:solidFill>
              <a:schemeClr val="accent3"/>
            </a:solidFill>
            <a:ln>
              <a:noFill/>
            </a:ln>
            <a:effectLst/>
          </c:spPr>
          <c:invertIfNegative val="0"/>
          <c:cat>
            <c:strRef>
              <c:extLst>
                <c:ext xmlns:c15="http://schemas.microsoft.com/office/drawing/2012/chart" uri="{02D57815-91ED-43cb-92C2-25804820EDAC}">
                  <c15:fullRef>
                    <c15:sqref>'Rep Graph'!$C$6:$I$6</c15:sqref>
                  </c15:fullRef>
                </c:ext>
              </c:extLst>
              <c:f>'Rep Graph'!$C$6:$E$6</c:f>
              <c:strCache>
                <c:ptCount val="3"/>
                <c:pt idx="0">
                  <c:v>2015</c:v>
                </c:pt>
                <c:pt idx="1">
                  <c:v>SNBC (AMS) 2050</c:v>
                </c:pt>
                <c:pt idx="2">
                  <c:v>S TEND 2050</c:v>
                </c:pt>
              </c:strCache>
            </c:strRef>
          </c:cat>
          <c:val>
            <c:numRef>
              <c:extLst>
                <c:ext xmlns:c15="http://schemas.microsoft.com/office/drawing/2012/chart" uri="{02D57815-91ED-43cb-92C2-25804820EDAC}">
                  <c15:fullRef>
                    <c15:sqref>'Rep Graph'!$C$23:$I$23</c15:sqref>
                  </c15:fullRef>
                </c:ext>
              </c:extLst>
              <c:f>'Rep Graph'!$C$23:$E$23</c:f>
              <c:numCache>
                <c:formatCode>0</c:formatCode>
                <c:ptCount val="3"/>
                <c:pt idx="0">
                  <c:v>642.27105910308751</c:v>
                </c:pt>
                <c:pt idx="1">
                  <c:v>17.006490038139823</c:v>
                </c:pt>
                <c:pt idx="2">
                  <c:v>412.3852767672696</c:v>
                </c:pt>
              </c:numCache>
            </c:numRef>
          </c:val>
          <c:extLst>
            <c:ext xmlns:c16="http://schemas.microsoft.com/office/drawing/2014/chart" uri="{C3380CC4-5D6E-409C-BE32-E72D297353CC}">
              <c16:uniqueId val="{00000002-C07D-4702-A45B-B02E39CCAA4F}"/>
            </c:ext>
          </c:extLst>
        </c:ser>
        <c:ser>
          <c:idx val="3"/>
          <c:order val="3"/>
          <c:tx>
            <c:strRef>
              <c:f>'Rep Graph'!$B$24</c:f>
              <c:strCache>
                <c:ptCount val="1"/>
                <c:pt idx="0">
                  <c:v>Chaleur commercialisée, EnR thermique et déchets</c:v>
                </c:pt>
              </c:strCache>
            </c:strRef>
          </c:tx>
          <c:spPr>
            <a:solidFill>
              <a:schemeClr val="accent4"/>
            </a:solidFill>
            <a:ln>
              <a:noFill/>
            </a:ln>
            <a:effectLst/>
          </c:spPr>
          <c:invertIfNegative val="0"/>
          <c:cat>
            <c:strRef>
              <c:extLst>
                <c:ext xmlns:c15="http://schemas.microsoft.com/office/drawing/2012/chart" uri="{02D57815-91ED-43cb-92C2-25804820EDAC}">
                  <c15:fullRef>
                    <c15:sqref>'Rep Graph'!$C$6:$I$6</c15:sqref>
                  </c15:fullRef>
                </c:ext>
              </c:extLst>
              <c:f>'Rep Graph'!$C$6:$E$6</c:f>
              <c:strCache>
                <c:ptCount val="3"/>
                <c:pt idx="0">
                  <c:v>2015</c:v>
                </c:pt>
                <c:pt idx="1">
                  <c:v>SNBC (AMS) 2050</c:v>
                </c:pt>
                <c:pt idx="2">
                  <c:v>S TEND 2050</c:v>
                </c:pt>
              </c:strCache>
            </c:strRef>
          </c:cat>
          <c:val>
            <c:numRef>
              <c:extLst>
                <c:ext xmlns:c15="http://schemas.microsoft.com/office/drawing/2012/chart" uri="{02D57815-91ED-43cb-92C2-25804820EDAC}">
                  <c15:fullRef>
                    <c15:sqref>'Rep Graph'!$C$24:$I$24</c15:sqref>
                  </c15:fullRef>
                </c:ext>
              </c:extLst>
              <c:f>'Rep Graph'!$C$24:$E$24</c:f>
              <c:numCache>
                <c:formatCode>0</c:formatCode>
                <c:ptCount val="3"/>
                <c:pt idx="0">
                  <c:v>200.95280355083642</c:v>
                </c:pt>
                <c:pt idx="1">
                  <c:v>265.60999612902697</c:v>
                </c:pt>
                <c:pt idx="2">
                  <c:v>211.42587270428331</c:v>
                </c:pt>
              </c:numCache>
            </c:numRef>
          </c:val>
          <c:extLst>
            <c:ext xmlns:c16="http://schemas.microsoft.com/office/drawing/2014/chart" uri="{C3380CC4-5D6E-409C-BE32-E72D297353CC}">
              <c16:uniqueId val="{00000003-C07D-4702-A45B-B02E39CCAA4F}"/>
            </c:ext>
          </c:extLst>
        </c:ser>
        <c:ser>
          <c:idx val="4"/>
          <c:order val="4"/>
          <c:tx>
            <c:strRef>
              <c:f>'Rep Graph'!$B$25</c:f>
              <c:strCache>
                <c:ptCount val="1"/>
                <c:pt idx="0">
                  <c:v>Charbon</c:v>
                </c:pt>
              </c:strCache>
            </c:strRef>
          </c:tx>
          <c:spPr>
            <a:solidFill>
              <a:schemeClr val="accent5"/>
            </a:solidFill>
            <a:ln>
              <a:noFill/>
            </a:ln>
            <a:effectLst/>
          </c:spPr>
          <c:invertIfNegative val="0"/>
          <c:cat>
            <c:strRef>
              <c:extLst>
                <c:ext xmlns:c15="http://schemas.microsoft.com/office/drawing/2012/chart" uri="{02D57815-91ED-43cb-92C2-25804820EDAC}">
                  <c15:fullRef>
                    <c15:sqref>'Rep Graph'!$C$6:$I$6</c15:sqref>
                  </c15:fullRef>
                </c:ext>
              </c:extLst>
              <c:f>'Rep Graph'!$C$6:$E$6</c:f>
              <c:strCache>
                <c:ptCount val="3"/>
                <c:pt idx="0">
                  <c:v>2015</c:v>
                </c:pt>
                <c:pt idx="1">
                  <c:v>SNBC (AMS) 2050</c:v>
                </c:pt>
                <c:pt idx="2">
                  <c:v>S TEND 2050</c:v>
                </c:pt>
              </c:strCache>
            </c:strRef>
          </c:cat>
          <c:val>
            <c:numRef>
              <c:extLst>
                <c:ext xmlns:c15="http://schemas.microsoft.com/office/drawing/2012/chart" uri="{02D57815-91ED-43cb-92C2-25804820EDAC}">
                  <c15:fullRef>
                    <c15:sqref>'Rep Graph'!$C$25:$I$25</c15:sqref>
                  </c15:fullRef>
                </c:ext>
              </c:extLst>
              <c:f>'Rep Graph'!$C$25:$E$25</c:f>
              <c:numCache>
                <c:formatCode>0.00</c:formatCode>
                <c:ptCount val="3"/>
                <c:pt idx="0" formatCode="0">
                  <c:v>13.157723465357719</c:v>
                </c:pt>
                <c:pt idx="1">
                  <c:v>2.5745555115885228E-2</c:v>
                </c:pt>
                <c:pt idx="2">
                  <c:v>0.1815230079069215</c:v>
                </c:pt>
              </c:numCache>
            </c:numRef>
          </c:val>
          <c:extLst>
            <c:ext xmlns:c16="http://schemas.microsoft.com/office/drawing/2014/chart" uri="{C3380CC4-5D6E-409C-BE32-E72D297353CC}">
              <c16:uniqueId val="{00000004-C07D-4702-A45B-B02E39CCAA4F}"/>
            </c:ext>
          </c:extLst>
        </c:ser>
        <c:dLbls>
          <c:showLegendKey val="0"/>
          <c:showVal val="0"/>
          <c:showCatName val="0"/>
          <c:showSerName val="0"/>
          <c:showPercent val="0"/>
          <c:showBubbleSize val="0"/>
        </c:dLbls>
        <c:gapWidth val="150"/>
        <c:overlap val="100"/>
        <c:axId val="481403248"/>
        <c:axId val="481399968"/>
      </c:barChart>
      <c:catAx>
        <c:axId val="48140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1399968"/>
        <c:crosses val="autoZero"/>
        <c:auto val="1"/>
        <c:lblAlgn val="ctr"/>
        <c:lblOffset val="100"/>
        <c:noMultiLvlLbl val="0"/>
      </c:catAx>
      <c:valAx>
        <c:axId val="481399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140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Decomposition</a:t>
            </a:r>
            <a:r>
              <a:rPr lang="fr-FR" baseline="0"/>
              <a:t> par gaz</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529796740871409"/>
          <c:y val="0.13601111625752663"/>
          <c:w val="0.71821129680245377"/>
          <c:h val="0.70987210957539038"/>
        </c:manualLayout>
      </c:layout>
      <c:barChart>
        <c:barDir val="col"/>
        <c:grouping val="stacked"/>
        <c:varyColors val="0"/>
        <c:ser>
          <c:idx val="0"/>
          <c:order val="0"/>
          <c:tx>
            <c:strRef>
              <c:f>'Rep Graph'!$B$63</c:f>
              <c:strCache>
                <c:ptCount val="1"/>
                <c:pt idx="0">
                  <c:v>CO2</c:v>
                </c:pt>
              </c:strCache>
            </c:strRef>
          </c:tx>
          <c:spPr>
            <a:solidFill>
              <a:schemeClr val="accent1"/>
            </a:solidFill>
            <a:ln>
              <a:noFill/>
            </a:ln>
            <a:effectLst/>
          </c:spPr>
          <c:invertIfNegative val="0"/>
          <c:cat>
            <c:strRef>
              <c:extLst>
                <c:ext xmlns:c15="http://schemas.microsoft.com/office/drawing/2012/chart" uri="{02D57815-91ED-43cb-92C2-25804820EDAC}">
                  <c15:fullRef>
                    <c15:sqref>'Rep Graph'!$C$62:$I$62</c15:sqref>
                  </c15:fullRef>
                </c:ext>
              </c:extLst>
              <c:f>('Rep Graph'!$C$62,'Rep Graph'!$E$62)</c:f>
              <c:strCache>
                <c:ptCount val="2"/>
                <c:pt idx="0">
                  <c:v>2015</c:v>
                </c:pt>
                <c:pt idx="1">
                  <c:v>S TEND 2050</c:v>
                </c:pt>
              </c:strCache>
            </c:strRef>
          </c:cat>
          <c:val>
            <c:numRef>
              <c:extLst>
                <c:ext xmlns:c15="http://schemas.microsoft.com/office/drawing/2012/chart" uri="{02D57815-91ED-43cb-92C2-25804820EDAC}">
                  <c15:fullRef>
                    <c15:sqref>'Rep Graph'!$C$63:$I$63</c15:sqref>
                  </c15:fullRef>
                </c:ext>
              </c:extLst>
              <c:f>('Rep Graph'!$C$63,'Rep Graph'!$E$63)</c:f>
              <c:numCache>
                <c:formatCode>_-* #\ ##0\ _€_-;\-* #\ ##0\ _€_-;_-* "-"??\ _€_-;_-@_-</c:formatCode>
                <c:ptCount val="2"/>
                <c:pt idx="0">
                  <c:v>328.46451164671782</c:v>
                </c:pt>
                <c:pt idx="1">
                  <c:v>277.48961012814937</c:v>
                </c:pt>
              </c:numCache>
            </c:numRef>
          </c:val>
          <c:extLst>
            <c:ext xmlns:c16="http://schemas.microsoft.com/office/drawing/2014/chart" uri="{C3380CC4-5D6E-409C-BE32-E72D297353CC}">
              <c16:uniqueId val="{00000000-389A-4119-99B9-0FE085B8D84B}"/>
            </c:ext>
          </c:extLst>
        </c:ser>
        <c:ser>
          <c:idx val="1"/>
          <c:order val="1"/>
          <c:tx>
            <c:strRef>
              <c:f>'Rep Graph'!$B$64</c:f>
              <c:strCache>
                <c:ptCount val="1"/>
                <c:pt idx="0">
                  <c:v>CH4</c:v>
                </c:pt>
              </c:strCache>
            </c:strRef>
          </c:tx>
          <c:spPr>
            <a:solidFill>
              <a:schemeClr val="accent2"/>
            </a:solidFill>
            <a:ln>
              <a:noFill/>
            </a:ln>
            <a:effectLst/>
          </c:spPr>
          <c:invertIfNegative val="0"/>
          <c:cat>
            <c:strRef>
              <c:extLst>
                <c:ext xmlns:c15="http://schemas.microsoft.com/office/drawing/2012/chart" uri="{02D57815-91ED-43cb-92C2-25804820EDAC}">
                  <c15:fullRef>
                    <c15:sqref>'Rep Graph'!$C$62:$I$62</c15:sqref>
                  </c15:fullRef>
                </c:ext>
              </c:extLst>
              <c:f>('Rep Graph'!$C$62,'Rep Graph'!$E$62)</c:f>
              <c:strCache>
                <c:ptCount val="2"/>
                <c:pt idx="0">
                  <c:v>2015</c:v>
                </c:pt>
                <c:pt idx="1">
                  <c:v>S TEND 2050</c:v>
                </c:pt>
              </c:strCache>
            </c:strRef>
          </c:cat>
          <c:val>
            <c:numRef>
              <c:extLst>
                <c:ext xmlns:c15="http://schemas.microsoft.com/office/drawing/2012/chart" uri="{02D57815-91ED-43cb-92C2-25804820EDAC}">
                  <c15:fullRef>
                    <c15:sqref>'Rep Graph'!$C$64:$I$64</c15:sqref>
                  </c15:fullRef>
                </c:ext>
              </c:extLst>
              <c:f>('Rep Graph'!$C$64,'Rep Graph'!$E$64)</c:f>
              <c:numCache>
                <c:formatCode>_-* #\ ##0\ _€_-;\-* #\ ##0\ _€_-;_-* "-"??\ _€_-;_-@_-</c:formatCode>
                <c:ptCount val="2"/>
                <c:pt idx="0">
                  <c:v>56.224923509811639</c:v>
                </c:pt>
                <c:pt idx="1">
                  <c:v>44.921306430160321</c:v>
                </c:pt>
              </c:numCache>
            </c:numRef>
          </c:val>
          <c:extLst>
            <c:ext xmlns:c15="http://schemas.microsoft.com/office/drawing/2012/chart" uri="{02D57815-91ED-43cb-92C2-25804820EDAC}">
              <c15:categoryFilterExceptions>
                <c15:categoryFilterException>
                  <c15:sqref>'Rep Graph'!$F$64</c15:sqref>
                  <c15:invertIfNegative val="0"/>
                  <c15:bubble3D val="0"/>
                </c15:categoryFilterException>
              </c15:categoryFilterExceptions>
            </c:ext>
            <c:ext xmlns:c16="http://schemas.microsoft.com/office/drawing/2014/chart" uri="{C3380CC4-5D6E-409C-BE32-E72D297353CC}">
              <c16:uniqueId val="{00000002-389A-4119-99B9-0FE085B8D84B}"/>
            </c:ext>
          </c:extLst>
        </c:ser>
        <c:ser>
          <c:idx val="2"/>
          <c:order val="2"/>
          <c:tx>
            <c:strRef>
              <c:f>'Rep Graph'!$B$65</c:f>
              <c:strCache>
                <c:ptCount val="1"/>
                <c:pt idx="0">
                  <c:v>N20</c:v>
                </c:pt>
              </c:strCache>
            </c:strRef>
          </c:tx>
          <c:spPr>
            <a:solidFill>
              <a:schemeClr val="accent3"/>
            </a:solidFill>
            <a:ln>
              <a:noFill/>
            </a:ln>
            <a:effectLst/>
          </c:spPr>
          <c:invertIfNegative val="0"/>
          <c:cat>
            <c:strRef>
              <c:extLst>
                <c:ext xmlns:c15="http://schemas.microsoft.com/office/drawing/2012/chart" uri="{02D57815-91ED-43cb-92C2-25804820EDAC}">
                  <c15:fullRef>
                    <c15:sqref>'Rep Graph'!$C$62:$I$62</c15:sqref>
                  </c15:fullRef>
                </c:ext>
              </c:extLst>
              <c:f>('Rep Graph'!$C$62,'Rep Graph'!$E$62)</c:f>
              <c:strCache>
                <c:ptCount val="2"/>
                <c:pt idx="0">
                  <c:v>2015</c:v>
                </c:pt>
                <c:pt idx="1">
                  <c:v>S TEND 2050</c:v>
                </c:pt>
              </c:strCache>
            </c:strRef>
          </c:cat>
          <c:val>
            <c:numRef>
              <c:extLst>
                <c:ext xmlns:c15="http://schemas.microsoft.com/office/drawing/2012/chart" uri="{02D57815-91ED-43cb-92C2-25804820EDAC}">
                  <c15:fullRef>
                    <c15:sqref>'Rep Graph'!$C$65:$I$65</c15:sqref>
                  </c15:fullRef>
                </c:ext>
              </c:extLst>
              <c:f>('Rep Graph'!$C$65,'Rep Graph'!$E$65)</c:f>
              <c:numCache>
                <c:formatCode>_-* #\ ##0\ _€_-;\-* #\ ##0\ _€_-;_-* "-"??\ _€_-;_-@_-</c:formatCode>
                <c:ptCount val="2"/>
                <c:pt idx="0">
                  <c:v>41.430865251624766</c:v>
                </c:pt>
                <c:pt idx="1">
                  <c:v>37.581187183780358</c:v>
                </c:pt>
              </c:numCache>
            </c:numRef>
          </c:val>
          <c:extLst>
            <c:ext xmlns:c16="http://schemas.microsoft.com/office/drawing/2014/chart" uri="{C3380CC4-5D6E-409C-BE32-E72D297353CC}">
              <c16:uniqueId val="{00000003-389A-4119-99B9-0FE085B8D84B}"/>
            </c:ext>
          </c:extLst>
        </c:ser>
        <c:ser>
          <c:idx val="7"/>
          <c:order val="3"/>
          <c:tx>
            <c:strRef>
              <c:f>'Rep Graph'!$B$66</c:f>
              <c:strCache>
                <c:ptCount val="1"/>
                <c:pt idx="0">
                  <c:v>Autres GES</c:v>
                </c:pt>
              </c:strCache>
            </c:strRef>
          </c:tx>
          <c:spPr>
            <a:solidFill>
              <a:schemeClr val="accent2">
                <a:lumMod val="60000"/>
              </a:schemeClr>
            </a:solidFill>
            <a:ln>
              <a:noFill/>
            </a:ln>
            <a:effectLst/>
          </c:spPr>
          <c:invertIfNegative val="0"/>
          <c:cat>
            <c:strLit>
              <c:ptCount val="2"/>
              <c:pt idx="0">
                <c:v>2015</c:v>
              </c:pt>
              <c:pt idx="1">
                <c:v>S TEND 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'Rep Graph'!$C$66:$I$66</c15:sqref>
                  </c15:fullRef>
                </c:ext>
              </c:extLst>
              <c:f>('Rep Graph'!$C$66,'Rep Graph'!$E$66)</c:f>
              <c:numCache>
                <c:formatCode>_-* #\ ##0\ _€_-;\-* #\ ##0\ _€_-;_-* "-"??\ _€_-;_-@_-</c:formatCode>
                <c:ptCount val="2"/>
                <c:pt idx="0">
                  <c:v>19.602413143916745</c:v>
                </c:pt>
                <c:pt idx="1">
                  <c:v>3.498152409032917</c:v>
                </c:pt>
              </c:numCache>
            </c:numRef>
          </c:val>
          <c:extLst>
            <c:ext xmlns:c16="http://schemas.microsoft.com/office/drawing/2014/chart" uri="{C3380CC4-5D6E-409C-BE32-E72D297353CC}">
              <c16:uniqueId val="{00000004-389A-4119-99B9-0FE085B8D84B}"/>
            </c:ext>
          </c:extLst>
        </c:ser>
        <c:ser>
          <c:idx val="3"/>
          <c:order val="4"/>
          <c:tx>
            <c:strRef>
              <c:f>'Rep Graph'!$B$67</c:f>
              <c:strCache>
                <c:ptCount val="1"/>
                <c:pt idx="0">
                  <c:v>Puits biologiques</c:v>
                </c:pt>
              </c:strCache>
            </c:strRef>
          </c:tx>
          <c:spPr>
            <a:solidFill>
              <a:schemeClr val="accent4"/>
            </a:solidFill>
            <a:ln>
              <a:noFill/>
            </a:ln>
            <a:effectLst/>
          </c:spPr>
          <c:invertIfNegative val="0"/>
          <c:cat>
            <c:strRef>
              <c:extLst>
                <c:ext xmlns:c15="http://schemas.microsoft.com/office/drawing/2012/chart" uri="{02D57815-91ED-43cb-92C2-25804820EDAC}">
                  <c15:fullRef>
                    <c15:sqref>'Rep Graph'!$C$62:$I$62</c15:sqref>
                  </c15:fullRef>
                </c:ext>
              </c:extLst>
              <c:f>('Rep Graph'!$C$62,'Rep Graph'!$E$62)</c:f>
              <c:strCache>
                <c:ptCount val="2"/>
                <c:pt idx="0">
                  <c:v>2015</c:v>
                </c:pt>
                <c:pt idx="1">
                  <c:v>S TEND 2050</c:v>
                </c:pt>
              </c:strCache>
            </c:strRef>
          </c:cat>
          <c:val>
            <c:numRef>
              <c:extLst>
                <c:ext xmlns:c15="http://schemas.microsoft.com/office/drawing/2012/chart" uri="{02D57815-91ED-43cb-92C2-25804820EDAC}">
                  <c15:fullRef>
                    <c15:sqref>'Rep Graph'!$C$67:$I$67</c15:sqref>
                  </c15:fullRef>
                </c:ext>
              </c:extLst>
              <c:f>('Rep Graph'!$C$67,'Rep Graph'!$E$67)</c:f>
              <c:numCache>
                <c:formatCode>_-* #\ ##0\ _€_-;\-* #\ ##0\ _€_-;_-* "-"??\ _€_-;_-@_-</c:formatCode>
                <c:ptCount val="2"/>
                <c:pt idx="0">
                  <c:v>-44.830895244924442</c:v>
                </c:pt>
                <c:pt idx="1">
                  <c:v>-45.626305111740194</c:v>
                </c:pt>
              </c:numCache>
            </c:numRef>
          </c:val>
          <c:extLst>
            <c:ext xmlns:c16="http://schemas.microsoft.com/office/drawing/2014/chart" uri="{C3380CC4-5D6E-409C-BE32-E72D297353CC}">
              <c16:uniqueId val="{00000005-389A-4119-99B9-0FE085B8D84B}"/>
            </c:ext>
          </c:extLst>
        </c:ser>
        <c:dLbls>
          <c:showLegendKey val="0"/>
          <c:showVal val="0"/>
          <c:showCatName val="0"/>
          <c:showSerName val="0"/>
          <c:showPercent val="0"/>
          <c:showBubbleSize val="0"/>
        </c:dLbls>
        <c:gapWidth val="150"/>
        <c:overlap val="100"/>
        <c:axId val="394094144"/>
        <c:axId val="394094472"/>
        <c:extLst>
          <c:ext xmlns:c15="http://schemas.microsoft.com/office/drawing/2012/chart" uri="{02D57815-91ED-43cb-92C2-25804820EDAC}">
            <c15:filteredBarSeries>
              <c15:ser>
                <c:idx val="4"/>
                <c:order val="5"/>
                <c:tx>
                  <c:strRef>
                    <c:extLst>
                      <c:ext uri="{02D57815-91ED-43cb-92C2-25804820EDAC}">
                        <c15:formulaRef>
                          <c15:sqref>'Rep Graph'!$B$68</c15:sqref>
                        </c15:formulaRef>
                      </c:ext>
                    </c:extLst>
                    <c:strCache>
                      <c:ptCount val="1"/>
                      <c:pt idx="0">
                        <c:v>CCS</c:v>
                      </c:pt>
                    </c:strCache>
                  </c:strRef>
                </c:tx>
                <c:spPr>
                  <a:solidFill>
                    <a:schemeClr val="accent5"/>
                  </a:solidFill>
                  <a:ln>
                    <a:noFill/>
                  </a:ln>
                  <a:effectLst/>
                </c:spPr>
                <c:invertIfNegative val="0"/>
                <c:cat>
                  <c:strRef>
                    <c:extLst>
                      <c:ext uri="{02D57815-91ED-43cb-92C2-25804820EDAC}">
                        <c15:fullRef>
                          <c15:sqref>'Rep Graph'!$C$62:$I$62</c15:sqref>
                        </c15:fullRef>
                        <c15:formulaRef>
                          <c15:sqref>('Rep Graph'!$C$62,'Rep Graph'!$E$62)</c15:sqref>
                        </c15:formulaRef>
                      </c:ext>
                    </c:extLst>
                    <c:strCache>
                      <c:ptCount val="2"/>
                      <c:pt idx="0">
                        <c:v>2015</c:v>
                      </c:pt>
                      <c:pt idx="1">
                        <c:v>S TEND 2050</c:v>
                      </c:pt>
                    </c:strCache>
                  </c:strRef>
                </c:cat>
                <c:val>
                  <c:numRef>
                    <c:extLst>
                      <c:ext uri="{02D57815-91ED-43cb-92C2-25804820EDAC}">
                        <c15:fullRef>
                          <c15:sqref>'Rep Graph'!$C$68:$I$68</c15:sqref>
                        </c15:fullRef>
                        <c15:formulaRef>
                          <c15:sqref>('Rep Graph'!$C$68,'Rep Graph'!$E$68)</c15:sqref>
                        </c15:formulaRef>
                      </c:ext>
                    </c:extLst>
                    <c:numCache>
                      <c:formatCode>_-* #\ ##0\ _€_-;\-* #\ ##0\ _€_-;_-* "-"??\ _€_-;_-@_-</c:formatCode>
                      <c:ptCount val="2"/>
                      <c:pt idx="0" formatCode="General">
                        <c:v>0</c:v>
                      </c:pt>
                      <c:pt idx="1" formatCode="General">
                        <c:v>0</c:v>
                      </c:pt>
                    </c:numCache>
                  </c:numRef>
                </c:val>
                <c:extLst>
                  <c:ext xmlns:c16="http://schemas.microsoft.com/office/drawing/2014/chart" uri="{C3380CC4-5D6E-409C-BE32-E72D297353CC}">
                    <c16:uniqueId val="{00000006-389A-4119-99B9-0FE085B8D84B}"/>
                  </c:ext>
                </c:extLst>
              </c15:ser>
            </c15:filteredBarSeries>
            <c15:filteredBarSeries>
              <c15:ser>
                <c:idx val="5"/>
                <c:order val="6"/>
                <c:tx>
                  <c:strRef>
                    <c:extLst xmlns:c15="http://schemas.microsoft.com/office/drawing/2012/chart">
                      <c:ext xmlns:c15="http://schemas.microsoft.com/office/drawing/2012/chart" uri="{02D57815-91ED-43cb-92C2-25804820EDAC}">
                        <c15:formulaRef>
                          <c15:sqref>'Rep Graph'!$B$69</c15:sqref>
                        </c15:formulaRef>
                      </c:ext>
                    </c:extLst>
                    <c:strCache>
                      <c:ptCount val="1"/>
                      <c:pt idx="0">
                        <c:v>BECCS</c:v>
                      </c:pt>
                    </c:strCache>
                  </c:strRef>
                </c:tx>
                <c:spPr>
                  <a:solidFill>
                    <a:schemeClr val="accent6"/>
                  </a:solidFill>
                  <a:ln>
                    <a:noFill/>
                  </a:ln>
                  <a:effectLst/>
                </c:spPr>
                <c:invertIfNegative val="0"/>
                <c:cat>
                  <c:strRef>
                    <c:extLst>
                      <c:ext xmlns:c15="http://schemas.microsoft.com/office/drawing/2012/chart" uri="{02D57815-91ED-43cb-92C2-25804820EDAC}">
                        <c15:fullRef>
                          <c15:sqref>'Rep Graph'!$C$62:$I$62</c15:sqref>
                        </c15:fullRef>
                        <c15:formulaRef>
                          <c15:sqref>('Rep Graph'!$C$62,'Rep Graph'!$E$62)</c15:sqref>
                        </c15:formulaRef>
                      </c:ext>
                    </c:extLst>
                    <c:strCache>
                      <c:ptCount val="2"/>
                      <c:pt idx="0">
                        <c:v>2015</c:v>
                      </c:pt>
                      <c:pt idx="1">
                        <c:v>S TEND 2050</c:v>
                      </c:pt>
                    </c:strCache>
                  </c:strRef>
                </c:cat>
                <c:val>
                  <c:numRef>
                    <c:extLst>
                      <c:ext xmlns:c15="http://schemas.microsoft.com/office/drawing/2012/chart" uri="{02D57815-91ED-43cb-92C2-25804820EDAC}">
                        <c15:fullRef>
                          <c15:sqref>'Rep Graph'!$C$69:$I$69</c15:sqref>
                        </c15:fullRef>
                        <c15:formulaRef>
                          <c15:sqref>('Rep Graph'!$C$69,'Rep Graph'!$E$69)</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7-389A-4119-99B9-0FE085B8D84B}"/>
                  </c:ext>
                </c:extLst>
              </c15:ser>
            </c15:filteredBarSeries>
            <c15:filteredBarSeries>
              <c15:ser>
                <c:idx val="6"/>
                <c:order val="7"/>
                <c:tx>
                  <c:strRef>
                    <c:extLst xmlns:c15="http://schemas.microsoft.com/office/drawing/2012/chart">
                      <c:ext xmlns:c15="http://schemas.microsoft.com/office/drawing/2012/chart" uri="{02D57815-91ED-43cb-92C2-25804820EDAC}">
                        <c15:formulaRef>
                          <c15:sqref>'Rep Graph'!$B$70</c15:sqref>
                        </c15:formulaRef>
                      </c:ext>
                    </c:extLst>
                    <c:strCache>
                      <c:ptCount val="1"/>
                      <c:pt idx="0">
                        <c:v>DACCS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'Rep Graph'!$C$62:$I$62</c15:sqref>
                        </c15:fullRef>
                        <c15:formulaRef>
                          <c15:sqref>('Rep Graph'!$C$62,'Rep Graph'!$E$62)</c15:sqref>
                        </c15:formulaRef>
                      </c:ext>
                    </c:extLst>
                    <c:strCache>
                      <c:ptCount val="2"/>
                      <c:pt idx="0">
                        <c:v>2015</c:v>
                      </c:pt>
                      <c:pt idx="1">
                        <c:v>S TEND 2050</c:v>
                      </c:pt>
                    </c:strCache>
                  </c:strRef>
                </c:cat>
                <c:val>
                  <c:numRef>
                    <c:extLst>
                      <c:ext xmlns:c15="http://schemas.microsoft.com/office/drawing/2012/chart" uri="{02D57815-91ED-43cb-92C2-25804820EDAC}">
                        <c15:fullRef>
                          <c15:sqref>'Rep Graph'!$C$70:$I$70</c15:sqref>
                        </c15:fullRef>
                        <c15:formulaRef>
                          <c15:sqref>('Rep Graph'!$C$70,'Rep Graph'!$E$70)</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8-389A-4119-99B9-0FE085B8D84B}"/>
                  </c:ext>
                </c:extLst>
              </c15:ser>
            </c15:filteredBarSeries>
          </c:ext>
        </c:extLst>
      </c:barChart>
      <c:catAx>
        <c:axId val="3940941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4094472"/>
        <c:crosses val="autoZero"/>
        <c:auto val="0"/>
        <c:lblAlgn val="ctr"/>
        <c:lblOffset val="100"/>
        <c:noMultiLvlLbl val="0"/>
      </c:catAx>
      <c:valAx>
        <c:axId val="394094472"/>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Emissions (MteqCO2)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4094144"/>
        <c:crosses val="autoZero"/>
        <c:crossBetween val="between"/>
      </c:valAx>
      <c:spPr>
        <a:noFill/>
        <a:ln>
          <a:noFill/>
        </a:ln>
        <a:effectLst/>
      </c:spPr>
    </c:plotArea>
    <c:legend>
      <c:legendPos val="b"/>
      <c:layout>
        <c:manualLayout>
          <c:xMode val="edge"/>
          <c:yMode val="edge"/>
          <c:x val="0.14666702877645874"/>
          <c:y val="0.92866531527651341"/>
          <c:w val="0.80745138769052627"/>
          <c:h val="6.25004556723405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Demande énergétique</a:t>
            </a:r>
            <a:r>
              <a:rPr lang="fr-FR" baseline="0"/>
              <a:t> finale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areaChart>
        <c:grouping val="stacked"/>
        <c:varyColors val="0"/>
        <c:ser>
          <c:idx val="0"/>
          <c:order val="0"/>
          <c:tx>
            <c:strRef>
              <c:f>'Comparaison AME'!$A$5</c:f>
              <c:strCache>
                <c:ptCount val="1"/>
                <c:pt idx="0">
                  <c:v>Industrie</c:v>
                </c:pt>
              </c:strCache>
            </c:strRef>
          </c:tx>
          <c:spPr>
            <a:solidFill>
              <a:schemeClr val="accent1"/>
            </a:solidFill>
            <a:ln>
              <a:noFill/>
            </a:ln>
            <a:effectLst/>
          </c:spPr>
          <c:cat>
            <c:numRef>
              <c:extLst>
                <c:ext xmlns:c15="http://schemas.microsoft.com/office/drawing/2012/chart" uri="{02D57815-91ED-43cb-92C2-25804820EDAC}">
                  <c15:fullRef>
                    <c15:sqref>'Comparaison AME'!$B$3:$D$3</c15:sqref>
                  </c15:fullRef>
                </c:ext>
              </c:extLst>
              <c:f>('Comparaison AME'!$B$3,'Comparaison AME'!$D$3)</c:f>
              <c:numCache>
                <c:formatCode>General</c:formatCode>
                <c:ptCount val="2"/>
                <c:pt idx="0">
                  <c:v>2015</c:v>
                </c:pt>
                <c:pt idx="1">
                  <c:v>2050</c:v>
                </c:pt>
              </c:numCache>
            </c:numRef>
          </c:cat>
          <c:val>
            <c:numRef>
              <c:extLst>
                <c:ext xmlns:c15="http://schemas.microsoft.com/office/drawing/2012/chart" uri="{02D57815-91ED-43cb-92C2-25804820EDAC}">
                  <c15:fullRef>
                    <c15:sqref>'Comparaison AME'!$B$5:$D$5</c15:sqref>
                  </c15:fullRef>
                </c:ext>
              </c:extLst>
              <c:f>('Comparaison AME'!$B$5,'Comparaison AME'!$D$5)</c:f>
              <c:numCache>
                <c:formatCode>0.0</c:formatCode>
                <c:ptCount val="2"/>
                <c:pt idx="0" formatCode="#\ ##0.0">
                  <c:v>304.54778254147948</c:v>
                </c:pt>
                <c:pt idx="1">
                  <c:v>383.37462063362841</c:v>
                </c:pt>
              </c:numCache>
            </c:numRef>
          </c:val>
          <c:extLst>
            <c:ext xmlns:c16="http://schemas.microsoft.com/office/drawing/2014/chart" uri="{C3380CC4-5D6E-409C-BE32-E72D297353CC}">
              <c16:uniqueId val="{00000000-F421-4335-B0F7-ACFD5E549954}"/>
            </c:ext>
          </c:extLst>
        </c:ser>
        <c:ser>
          <c:idx val="1"/>
          <c:order val="1"/>
          <c:tx>
            <c:strRef>
              <c:f>'Comparaison AME'!$A$6</c:f>
              <c:strCache>
                <c:ptCount val="1"/>
                <c:pt idx="0">
                  <c:v>Résidentiel </c:v>
                </c:pt>
              </c:strCache>
            </c:strRef>
          </c:tx>
          <c:spPr>
            <a:solidFill>
              <a:schemeClr val="accent2"/>
            </a:solidFill>
            <a:ln>
              <a:noFill/>
            </a:ln>
            <a:effectLst/>
          </c:spPr>
          <c:cat>
            <c:numRef>
              <c:extLst>
                <c:ext xmlns:c15="http://schemas.microsoft.com/office/drawing/2012/chart" uri="{02D57815-91ED-43cb-92C2-25804820EDAC}">
                  <c15:fullRef>
                    <c15:sqref>'Comparaison AME'!$B$3:$D$3</c15:sqref>
                  </c15:fullRef>
                </c:ext>
              </c:extLst>
              <c:f>('Comparaison AME'!$B$3,'Comparaison AME'!$D$3)</c:f>
              <c:numCache>
                <c:formatCode>General</c:formatCode>
                <c:ptCount val="2"/>
                <c:pt idx="0">
                  <c:v>2015</c:v>
                </c:pt>
                <c:pt idx="1">
                  <c:v>2050</c:v>
                </c:pt>
              </c:numCache>
            </c:numRef>
          </c:cat>
          <c:val>
            <c:numRef>
              <c:extLst>
                <c:ext xmlns:c15="http://schemas.microsoft.com/office/drawing/2012/chart" uri="{02D57815-91ED-43cb-92C2-25804820EDAC}">
                  <c15:fullRef>
                    <c15:sqref>'Comparaison AME'!$B$6:$D$6</c15:sqref>
                  </c15:fullRef>
                </c:ext>
              </c:extLst>
              <c:f>('Comparaison AME'!$B$6,'Comparaison AME'!$D$6)</c:f>
              <c:numCache>
                <c:formatCode>0.0</c:formatCode>
                <c:ptCount val="2"/>
                <c:pt idx="0" formatCode="#\ ##0.0">
                  <c:v>490.38232702786451</c:v>
                </c:pt>
                <c:pt idx="1">
                  <c:v>409.83913191138544</c:v>
                </c:pt>
              </c:numCache>
            </c:numRef>
          </c:val>
          <c:extLst>
            <c:ext xmlns:c16="http://schemas.microsoft.com/office/drawing/2014/chart" uri="{C3380CC4-5D6E-409C-BE32-E72D297353CC}">
              <c16:uniqueId val="{00000001-F421-4335-B0F7-ACFD5E549954}"/>
            </c:ext>
          </c:extLst>
        </c:ser>
        <c:ser>
          <c:idx val="2"/>
          <c:order val="2"/>
          <c:tx>
            <c:strRef>
              <c:f>'Comparaison AME'!$A$7</c:f>
              <c:strCache>
                <c:ptCount val="1"/>
                <c:pt idx="0">
                  <c:v>Tertiaire</c:v>
                </c:pt>
              </c:strCache>
            </c:strRef>
          </c:tx>
          <c:spPr>
            <a:solidFill>
              <a:schemeClr val="accent3"/>
            </a:solidFill>
            <a:ln>
              <a:noFill/>
            </a:ln>
            <a:effectLst/>
          </c:spPr>
          <c:cat>
            <c:numRef>
              <c:extLst>
                <c:ext xmlns:c15="http://schemas.microsoft.com/office/drawing/2012/chart" uri="{02D57815-91ED-43cb-92C2-25804820EDAC}">
                  <c15:fullRef>
                    <c15:sqref>'Comparaison AME'!$B$3:$D$3</c15:sqref>
                  </c15:fullRef>
                </c:ext>
              </c:extLst>
              <c:f>('Comparaison AME'!$B$3,'Comparaison AME'!$D$3)</c:f>
              <c:numCache>
                <c:formatCode>General</c:formatCode>
                <c:ptCount val="2"/>
                <c:pt idx="0">
                  <c:v>2015</c:v>
                </c:pt>
                <c:pt idx="1">
                  <c:v>2050</c:v>
                </c:pt>
              </c:numCache>
            </c:numRef>
          </c:cat>
          <c:val>
            <c:numRef>
              <c:extLst>
                <c:ext xmlns:c15="http://schemas.microsoft.com/office/drawing/2012/chart" uri="{02D57815-91ED-43cb-92C2-25804820EDAC}">
                  <c15:fullRef>
                    <c15:sqref>'Comparaison AME'!$B$7:$D$7</c15:sqref>
                  </c15:fullRef>
                </c:ext>
              </c:extLst>
              <c:f>('Comparaison AME'!$B$7,'Comparaison AME'!$D$7)</c:f>
              <c:numCache>
                <c:formatCode>0.0</c:formatCode>
                <c:ptCount val="2"/>
                <c:pt idx="0" formatCode="#\ ##0.0">
                  <c:v>285.00497489584171</c:v>
                </c:pt>
                <c:pt idx="1">
                  <c:v>238.90360012465487</c:v>
                </c:pt>
              </c:numCache>
            </c:numRef>
          </c:val>
          <c:extLst>
            <c:ext xmlns:c16="http://schemas.microsoft.com/office/drawing/2014/chart" uri="{C3380CC4-5D6E-409C-BE32-E72D297353CC}">
              <c16:uniqueId val="{00000002-F421-4335-B0F7-ACFD5E549954}"/>
            </c:ext>
          </c:extLst>
        </c:ser>
        <c:ser>
          <c:idx val="3"/>
          <c:order val="3"/>
          <c:tx>
            <c:strRef>
              <c:f>'Comparaison AME'!$A$8</c:f>
              <c:strCache>
                <c:ptCount val="1"/>
                <c:pt idx="0">
                  <c:v>Transports</c:v>
                </c:pt>
              </c:strCache>
            </c:strRef>
          </c:tx>
          <c:spPr>
            <a:solidFill>
              <a:schemeClr val="accent4"/>
            </a:solidFill>
            <a:ln>
              <a:noFill/>
            </a:ln>
            <a:effectLst/>
          </c:spPr>
          <c:cat>
            <c:numRef>
              <c:extLst>
                <c:ext xmlns:c15="http://schemas.microsoft.com/office/drawing/2012/chart" uri="{02D57815-91ED-43cb-92C2-25804820EDAC}">
                  <c15:fullRef>
                    <c15:sqref>'Comparaison AME'!$B$3:$D$3</c15:sqref>
                  </c15:fullRef>
                </c:ext>
              </c:extLst>
              <c:f>('Comparaison AME'!$B$3,'Comparaison AME'!$D$3)</c:f>
              <c:numCache>
                <c:formatCode>General</c:formatCode>
                <c:ptCount val="2"/>
                <c:pt idx="0">
                  <c:v>2015</c:v>
                </c:pt>
                <c:pt idx="1">
                  <c:v>2050</c:v>
                </c:pt>
              </c:numCache>
            </c:numRef>
          </c:cat>
          <c:val>
            <c:numRef>
              <c:extLst>
                <c:ext xmlns:c15="http://schemas.microsoft.com/office/drawing/2012/chart" uri="{02D57815-91ED-43cb-92C2-25804820EDAC}">
                  <c15:fullRef>
                    <c15:sqref>'Comparaison AME'!$B$8:$D$8</c15:sqref>
                  </c15:fullRef>
                </c:ext>
              </c:extLst>
              <c:f>('Comparaison AME'!$B$8,'Comparaison AME'!$D$8)</c:f>
              <c:numCache>
                <c:formatCode>0.0</c:formatCode>
                <c:ptCount val="2"/>
                <c:pt idx="0" formatCode="#\ ##0.0">
                  <c:v>508.9995429610413</c:v>
                </c:pt>
                <c:pt idx="1">
                  <c:v>480.72564142637162</c:v>
                </c:pt>
              </c:numCache>
            </c:numRef>
          </c:val>
          <c:extLst>
            <c:ext xmlns:c16="http://schemas.microsoft.com/office/drawing/2014/chart" uri="{C3380CC4-5D6E-409C-BE32-E72D297353CC}">
              <c16:uniqueId val="{00000003-F421-4335-B0F7-ACFD5E549954}"/>
            </c:ext>
          </c:extLst>
        </c:ser>
        <c:ser>
          <c:idx val="4"/>
          <c:order val="4"/>
          <c:tx>
            <c:strRef>
              <c:f>'Comparaison AME'!$A$9</c:f>
              <c:strCache>
                <c:ptCount val="1"/>
                <c:pt idx="0">
                  <c:v>Agriculture</c:v>
                </c:pt>
              </c:strCache>
            </c:strRef>
          </c:tx>
          <c:spPr>
            <a:solidFill>
              <a:schemeClr val="accent5"/>
            </a:solidFill>
            <a:ln>
              <a:noFill/>
            </a:ln>
            <a:effectLst/>
          </c:spPr>
          <c:cat>
            <c:numRef>
              <c:extLst>
                <c:ext xmlns:c15="http://schemas.microsoft.com/office/drawing/2012/chart" uri="{02D57815-91ED-43cb-92C2-25804820EDAC}">
                  <c15:fullRef>
                    <c15:sqref>'Comparaison AME'!$B$3:$D$3</c15:sqref>
                  </c15:fullRef>
                </c:ext>
              </c:extLst>
              <c:f>('Comparaison AME'!$B$3,'Comparaison AME'!$D$3)</c:f>
              <c:numCache>
                <c:formatCode>General</c:formatCode>
                <c:ptCount val="2"/>
                <c:pt idx="0">
                  <c:v>2015</c:v>
                </c:pt>
                <c:pt idx="1">
                  <c:v>2050</c:v>
                </c:pt>
              </c:numCache>
            </c:numRef>
          </c:cat>
          <c:val>
            <c:numRef>
              <c:extLst>
                <c:ext xmlns:c15="http://schemas.microsoft.com/office/drawing/2012/chart" uri="{02D57815-91ED-43cb-92C2-25804820EDAC}">
                  <c15:fullRef>
                    <c15:sqref>'Comparaison AME'!$B$9:$D$9</c15:sqref>
                  </c15:fullRef>
                </c:ext>
              </c:extLst>
              <c:f>('Comparaison AME'!$B$9,'Comparaison AME'!$D$9)</c:f>
              <c:numCache>
                <c:formatCode>0.0</c:formatCode>
                <c:ptCount val="2"/>
                <c:pt idx="0" formatCode="#\ ##0.0">
                  <c:v>52.172770750829478</c:v>
                </c:pt>
                <c:pt idx="1">
                  <c:v>60.563629406720729</c:v>
                </c:pt>
              </c:numCache>
            </c:numRef>
          </c:val>
          <c:extLst>
            <c:ext xmlns:c16="http://schemas.microsoft.com/office/drawing/2014/chart" uri="{C3380CC4-5D6E-409C-BE32-E72D297353CC}">
              <c16:uniqueId val="{00000004-F421-4335-B0F7-ACFD5E549954}"/>
            </c:ext>
          </c:extLst>
        </c:ser>
        <c:dLbls>
          <c:showLegendKey val="0"/>
          <c:showVal val="0"/>
          <c:showCatName val="0"/>
          <c:showSerName val="0"/>
          <c:showPercent val="0"/>
          <c:showBubbleSize val="0"/>
        </c:dLbls>
        <c:axId val="673706984"/>
        <c:axId val="673714856"/>
      </c:areaChart>
      <c:catAx>
        <c:axId val="67370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3714856"/>
        <c:crosses val="autoZero"/>
        <c:auto val="1"/>
        <c:lblAlgn val="ctr"/>
        <c:lblOffset val="100"/>
        <c:noMultiLvlLbl val="0"/>
      </c:catAx>
      <c:valAx>
        <c:axId val="673714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Energie finale (TWh)</a:t>
                </a:r>
              </a:p>
            </c:rich>
          </c:tx>
          <c:layout>
            <c:manualLayout>
              <c:xMode val="edge"/>
              <c:yMode val="edge"/>
              <c:x val="3.0555555555555555E-2"/>
              <c:y val="0.2642975357247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3706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Bilan net GES</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1"/>
          <c:order val="1"/>
          <c:tx>
            <c:strRef>
              <c:f>'Comparaison AME'!$A$20</c:f>
              <c:strCache>
                <c:ptCount val="1"/>
                <c:pt idx="0">
                  <c:v>1. Energy</c:v>
                </c:pt>
              </c:strCache>
            </c:strRef>
          </c:tx>
          <c:spPr>
            <a:solidFill>
              <a:schemeClr val="accent2"/>
            </a:solidFill>
            <a:ln>
              <a:noFill/>
            </a:ln>
            <a:effectLst/>
          </c:spPr>
          <c:invertIfNegative val="0"/>
          <c:cat>
            <c:strRef>
              <c:extLst>
                <c:ext xmlns:c15="http://schemas.microsoft.com/office/drawing/2012/chart" uri="{02D57815-91ED-43cb-92C2-25804820EDAC}">
                  <c15:fullRef>
                    <c15:sqref>'Comparaison AME'!$C$18:$F$18</c15:sqref>
                  </c15:fullRef>
                </c:ext>
              </c:extLst>
              <c:f>('Comparaison AME'!$C$18:$D$18,'Comparaison AME'!$F$18)</c:f>
              <c:strCache>
                <c:ptCount val="3"/>
                <c:pt idx="0">
                  <c:v>1990</c:v>
                </c:pt>
                <c:pt idx="1">
                  <c:v>2015</c:v>
                </c:pt>
                <c:pt idx="2">
                  <c:v>BAU 2050</c:v>
                </c:pt>
              </c:strCache>
            </c:strRef>
          </c:cat>
          <c:val>
            <c:numRef>
              <c:extLst>
                <c:ext xmlns:c15="http://schemas.microsoft.com/office/drawing/2012/chart" uri="{02D57815-91ED-43cb-92C2-25804820EDAC}">
                  <c15:fullRef>
                    <c15:sqref>'Comparaison AME'!$C$20:$F$20</c15:sqref>
                  </c15:fullRef>
                </c:ext>
              </c:extLst>
              <c:f>('Comparaison AME'!$C$20:$D$20,'Comparaison AME'!$F$20)</c:f>
              <c:numCache>
                <c:formatCode>_-* #\ ##0.00\ _€_-;\-* #\ ##0.00\ _€_-;_-* "-"??\ _€_-;_-@_-</c:formatCode>
                <c:ptCount val="3"/>
                <c:pt idx="0">
                  <c:v>373910.50112322799</c:v>
                </c:pt>
                <c:pt idx="1">
                  <c:v>309210.74438325135</c:v>
                </c:pt>
                <c:pt idx="2">
                  <c:v>199718.94873307689</c:v>
                </c:pt>
              </c:numCache>
            </c:numRef>
          </c:val>
          <c:extLst>
            <c:ext xmlns:c16="http://schemas.microsoft.com/office/drawing/2014/chart" uri="{C3380CC4-5D6E-409C-BE32-E72D297353CC}">
              <c16:uniqueId val="{00000000-7AF7-40EC-8C13-0E303794FFFA}"/>
            </c:ext>
          </c:extLst>
        </c:ser>
        <c:ser>
          <c:idx val="11"/>
          <c:order val="11"/>
          <c:tx>
            <c:strRef>
              <c:f>'Comparaison AME'!$A$30</c:f>
              <c:strCache>
                <c:ptCount val="1"/>
                <c:pt idx="0">
                  <c:v>2.  Industrial Processes</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'Comparaison AME'!$C$18:$F$18</c15:sqref>
                  </c15:fullRef>
                </c:ext>
              </c:extLst>
              <c:f>('Comparaison AME'!$C$18:$D$18,'Comparaison AME'!$F$18)</c:f>
              <c:strCache>
                <c:ptCount val="3"/>
                <c:pt idx="0">
                  <c:v>1990</c:v>
                </c:pt>
                <c:pt idx="1">
                  <c:v>2015</c:v>
                </c:pt>
                <c:pt idx="2">
                  <c:v>BAU 2050</c:v>
                </c:pt>
              </c:strCache>
            </c:strRef>
          </c:cat>
          <c:val>
            <c:numRef>
              <c:extLst>
                <c:ext xmlns:c15="http://schemas.microsoft.com/office/drawing/2012/chart" uri="{02D57815-91ED-43cb-92C2-25804820EDAC}">
                  <c15:fullRef>
                    <c15:sqref>'Comparaison AME'!$C$30:$F$30</c15:sqref>
                  </c15:fullRef>
                </c:ext>
              </c:extLst>
              <c:f>('Comparaison AME'!$C$30:$D$30,'Comparaison AME'!$F$30)</c:f>
              <c:numCache>
                <c:formatCode>_-* #\ ##0.00\ _€_-;\-* #\ ##0.00\ _€_-;_-* "-"??\ _€_-;_-@_-</c:formatCode>
                <c:ptCount val="3"/>
                <c:pt idx="0">
                  <c:v>66991.708049569075</c:v>
                </c:pt>
                <c:pt idx="1">
                  <c:v>43089.003330372558</c:v>
                </c:pt>
                <c:pt idx="2">
                  <c:v>26603.832233141202</c:v>
                </c:pt>
              </c:numCache>
            </c:numRef>
          </c:val>
          <c:extLst>
            <c:ext xmlns:c16="http://schemas.microsoft.com/office/drawing/2014/chart" uri="{C3380CC4-5D6E-409C-BE32-E72D297353CC}">
              <c16:uniqueId val="{00000001-7AF7-40EC-8C13-0E303794FFFA}"/>
            </c:ext>
          </c:extLst>
        </c:ser>
        <c:ser>
          <c:idx val="12"/>
          <c:order val="12"/>
          <c:tx>
            <c:strRef>
              <c:f>'Comparaison AME'!$A$31</c:f>
              <c:strCache>
                <c:ptCount val="1"/>
                <c:pt idx="0">
                  <c:v>3.  Agriculture</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'Comparaison AME'!$C$18:$F$18</c15:sqref>
                  </c15:fullRef>
                </c:ext>
              </c:extLst>
              <c:f>('Comparaison AME'!$C$18:$D$18,'Comparaison AME'!$F$18)</c:f>
              <c:strCache>
                <c:ptCount val="3"/>
                <c:pt idx="0">
                  <c:v>1990</c:v>
                </c:pt>
                <c:pt idx="1">
                  <c:v>2015</c:v>
                </c:pt>
                <c:pt idx="2">
                  <c:v>BAU 2050</c:v>
                </c:pt>
              </c:strCache>
            </c:strRef>
          </c:cat>
          <c:val>
            <c:numRef>
              <c:extLst>
                <c:ext xmlns:c15="http://schemas.microsoft.com/office/drawing/2012/chart" uri="{02D57815-91ED-43cb-92C2-25804820EDAC}">
                  <c15:fullRef>
                    <c15:sqref>'Comparaison AME'!$C$31:$F$31</c15:sqref>
                  </c15:fullRef>
                </c:ext>
              </c:extLst>
              <c:f>('Comparaison AME'!$C$31:$D$31,'Comparaison AME'!$F$31)</c:f>
              <c:numCache>
                <c:formatCode>_-* #\ ##0.00\ _€_-;\-* #\ ##0.00\ _€_-;_-* "-"??\ _€_-;_-@_-</c:formatCode>
                <c:ptCount val="3"/>
                <c:pt idx="0">
                  <c:v>82299.682349533105</c:v>
                </c:pt>
                <c:pt idx="1">
                  <c:v>77302.834172241128</c:v>
                </c:pt>
                <c:pt idx="2">
                  <c:v>86900</c:v>
                </c:pt>
              </c:numCache>
            </c:numRef>
          </c:val>
          <c:extLst>
            <c:ext xmlns:c16="http://schemas.microsoft.com/office/drawing/2014/chart" uri="{C3380CC4-5D6E-409C-BE32-E72D297353CC}">
              <c16:uniqueId val="{00000002-7AF7-40EC-8C13-0E303794FFFA}"/>
            </c:ext>
          </c:extLst>
        </c:ser>
        <c:ser>
          <c:idx val="13"/>
          <c:order val="13"/>
          <c:tx>
            <c:strRef>
              <c:f>'Comparaison AME'!$A$32</c:f>
              <c:strCache>
                <c:ptCount val="1"/>
                <c:pt idx="0">
                  <c:v>4.  Land use, land-use change and forestry</c:v>
                </c:pt>
              </c:strCache>
            </c:strRef>
          </c:tx>
          <c:spPr>
            <a:solidFill>
              <a:schemeClr val="accent4"/>
            </a:solidFill>
            <a:ln>
              <a:noFill/>
            </a:ln>
            <a:effectLst/>
          </c:spPr>
          <c:invertIfNegative val="0"/>
          <c:cat>
            <c:strRef>
              <c:extLst>
                <c:ext xmlns:c15="http://schemas.microsoft.com/office/drawing/2012/chart" uri="{02D57815-91ED-43cb-92C2-25804820EDAC}">
                  <c15:fullRef>
                    <c15:sqref>'Comparaison AME'!$C$18:$F$18</c15:sqref>
                  </c15:fullRef>
                </c:ext>
              </c:extLst>
              <c:f>('Comparaison AME'!$C$18:$D$18,'Comparaison AME'!$F$18)</c:f>
              <c:strCache>
                <c:ptCount val="3"/>
                <c:pt idx="0">
                  <c:v>1990</c:v>
                </c:pt>
                <c:pt idx="1">
                  <c:v>2015</c:v>
                </c:pt>
                <c:pt idx="2">
                  <c:v>BAU 2050</c:v>
                </c:pt>
              </c:strCache>
            </c:strRef>
          </c:cat>
          <c:val>
            <c:numRef>
              <c:extLst>
                <c:ext xmlns:c15="http://schemas.microsoft.com/office/drawing/2012/chart" uri="{02D57815-91ED-43cb-92C2-25804820EDAC}">
                  <c15:fullRef>
                    <c15:sqref>'Comparaison AME'!$C$32:$F$32</c15:sqref>
                  </c15:fullRef>
                </c:ext>
              </c:extLst>
              <c:f>('Comparaison AME'!$C$32:$D$32,'Comparaison AME'!$F$32)</c:f>
              <c:numCache>
                <c:formatCode>_-* #\ ##0.00\ _€_-;\-* #\ ##0.00\ _€_-;_-* "-"??\ _€_-;_-@_-</c:formatCode>
                <c:ptCount val="3"/>
                <c:pt idx="0">
                  <c:v>-28838.282978536707</c:v>
                </c:pt>
                <c:pt idx="1">
                  <c:v>-44830.895244924439</c:v>
                </c:pt>
                <c:pt idx="2">
                  <c:v>-45626.305111740192</c:v>
                </c:pt>
              </c:numCache>
            </c:numRef>
          </c:val>
          <c:extLst>
            <c:ext xmlns:c16="http://schemas.microsoft.com/office/drawing/2014/chart" uri="{C3380CC4-5D6E-409C-BE32-E72D297353CC}">
              <c16:uniqueId val="{00000003-7AF7-40EC-8C13-0E303794FFFA}"/>
            </c:ext>
          </c:extLst>
        </c:ser>
        <c:ser>
          <c:idx val="14"/>
          <c:order val="14"/>
          <c:tx>
            <c:strRef>
              <c:f>'Comparaison AME'!$A$33</c:f>
              <c:strCache>
                <c:ptCount val="1"/>
                <c:pt idx="0">
                  <c:v>5. Waste </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'Comparaison AME'!$C$18:$F$18</c15:sqref>
                  </c15:fullRef>
                </c:ext>
              </c:extLst>
              <c:f>('Comparaison AME'!$C$18:$D$18,'Comparaison AME'!$F$18)</c:f>
              <c:strCache>
                <c:ptCount val="3"/>
                <c:pt idx="0">
                  <c:v>1990</c:v>
                </c:pt>
                <c:pt idx="1">
                  <c:v>2015</c:v>
                </c:pt>
                <c:pt idx="2">
                  <c:v>BAU 2050</c:v>
                </c:pt>
              </c:strCache>
            </c:strRef>
          </c:cat>
          <c:val>
            <c:numRef>
              <c:extLst>
                <c:ext xmlns:c15="http://schemas.microsoft.com/office/drawing/2012/chart" uri="{02D57815-91ED-43cb-92C2-25804820EDAC}">
                  <c15:fullRef>
                    <c15:sqref>'Comparaison AME'!$C$33:$F$33</c15:sqref>
                  </c15:fullRef>
                </c:ext>
              </c:extLst>
              <c:f>('Comparaison AME'!$C$33:$D$33,'Comparaison AME'!$F$33)</c:f>
              <c:numCache>
                <c:formatCode>_-* #\ ##0.00\ _€_-;\-* #\ ##0.00\ _€_-;_-* "-"??\ _€_-;_-@_-</c:formatCode>
                <c:ptCount val="3"/>
                <c:pt idx="0">
                  <c:v>16841.955786740367</c:v>
                </c:pt>
                <c:pt idx="1">
                  <c:v>16120.131666205913</c:v>
                </c:pt>
                <c:pt idx="2">
                  <c:v>9000.0132113813579</c:v>
                </c:pt>
              </c:numCache>
            </c:numRef>
          </c:val>
          <c:extLst>
            <c:ext xmlns:c16="http://schemas.microsoft.com/office/drawing/2014/chart" uri="{C3380CC4-5D6E-409C-BE32-E72D297353CC}">
              <c16:uniqueId val="{00000004-7AF7-40EC-8C13-0E303794FFFA}"/>
            </c:ext>
          </c:extLst>
        </c:ser>
        <c:dLbls>
          <c:showLegendKey val="0"/>
          <c:showVal val="0"/>
          <c:showCatName val="0"/>
          <c:showSerName val="0"/>
          <c:showPercent val="0"/>
          <c:showBubbleSize val="0"/>
        </c:dLbls>
        <c:gapWidth val="150"/>
        <c:overlap val="100"/>
        <c:axId val="772440032"/>
        <c:axId val="772439704"/>
        <c:extLst>
          <c:ext xmlns:c15="http://schemas.microsoft.com/office/drawing/2012/chart" uri="{02D57815-91ED-43cb-92C2-25804820EDAC}">
            <c15:filteredBarSeries>
              <c15:ser>
                <c:idx val="0"/>
                <c:order val="0"/>
                <c:tx>
                  <c:strRef>
                    <c:extLst>
                      <c:ext uri="{02D57815-91ED-43cb-92C2-25804820EDAC}">
                        <c15:formulaRef>
                          <c15:sqref>'Comparaison AME'!$A$19</c15:sqref>
                        </c15:formulaRef>
                      </c:ext>
                    </c:extLst>
                    <c:strCache>
                      <c:ptCount val="1"/>
                      <c:pt idx="0">
                        <c:v>Total (Net Emissions) (1)</c:v>
                      </c:pt>
                    </c:strCache>
                  </c:strRef>
                </c:tx>
                <c:spPr>
                  <a:solidFill>
                    <a:schemeClr val="accent1"/>
                  </a:solidFill>
                  <a:ln>
                    <a:noFill/>
                  </a:ln>
                  <a:effectLst/>
                </c:spPr>
                <c:invertIfNegative val="0"/>
                <c:cat>
                  <c:strRef>
                    <c:extLst>
                      <c:ex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uri="{02D57815-91ED-43cb-92C2-25804820EDAC}">
                        <c15:fullRef>
                          <c15:sqref>'Comparaison AME'!$C$19:$F$19</c15:sqref>
                        </c15:fullRef>
                        <c15:formulaRef>
                          <c15:sqref>('Comparaison AME'!$C$19:$D$19,'Comparaison AME'!$F$19)</c15:sqref>
                        </c15:formulaRef>
                      </c:ext>
                    </c:extLst>
                    <c:numCache>
                      <c:formatCode>_-* #\ ##0.00\ _€_-;\-* #\ ##0.00\ _€_-;_-* "-"??\ _€_-;_-@_-</c:formatCode>
                      <c:ptCount val="3"/>
                      <c:pt idx="0">
                        <c:v>511205.56433053385</c:v>
                      </c:pt>
                      <c:pt idx="1">
                        <c:v>400891.81830714655</c:v>
                      </c:pt>
                      <c:pt idx="2">
                        <c:v>276596.48906585923</c:v>
                      </c:pt>
                    </c:numCache>
                  </c:numRef>
                </c:val>
                <c:extLst>
                  <c:ext xmlns:c16="http://schemas.microsoft.com/office/drawing/2014/chart" uri="{C3380CC4-5D6E-409C-BE32-E72D297353CC}">
                    <c16:uniqueId val="{00000005-7AF7-40EC-8C13-0E303794FFF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'Comparaison AME'!$A$21</c15:sqref>
                        </c15:formulaRef>
                      </c:ext>
                    </c:extLst>
                    <c:strCache>
                      <c:ptCount val="1"/>
                      <c:pt idx="0">
                        <c:v>A. Fuel Combustion (Sectoral Approach)</c:v>
                      </c:pt>
                    </c:strCache>
                  </c:strRef>
                </c:tx>
                <c:spPr>
                  <a:solidFill>
                    <a:schemeClr val="accent3"/>
                  </a:solidFill>
                  <a:ln>
                    <a:noFill/>
                  </a:ln>
                  <a:effectLst/>
                </c:spPr>
                <c:invertIfNegative val="0"/>
                <c:cat>
                  <c:strRef>
                    <c:extLst>
                      <c:ext xmlns:c15="http://schemas.microsoft.com/office/drawing/2012/char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xmlns:c15="http://schemas.microsoft.com/office/drawing/2012/chart" uri="{02D57815-91ED-43cb-92C2-25804820EDAC}">
                        <c15:fullRef>
                          <c15:sqref>'Comparaison AME'!$C$21:$F$21</c15:sqref>
                        </c15:fullRef>
                        <c15:formulaRef>
                          <c15:sqref>('Comparaison AME'!$C$21:$D$21,'Comparaison AME'!$F$21)</c15:sqref>
                        </c15:formulaRef>
                      </c:ext>
                    </c:extLst>
                    <c:numCache>
                      <c:formatCode>_-* #\ ##0.00\ _€_-;\-* #\ ##0.00\ _€_-;_-* "-"??\ _€_-;_-@_-</c:formatCode>
                      <c:ptCount val="3"/>
                      <c:pt idx="0">
                        <c:v>362926.45346920926</c:v>
                      </c:pt>
                      <c:pt idx="1">
                        <c:v>305055.16396309767</c:v>
                      </c:pt>
                      <c:pt idx="2">
                        <c:v>196397.61219398101</c:v>
                      </c:pt>
                    </c:numCache>
                  </c:numRef>
                </c:val>
                <c:extLst xmlns:c15="http://schemas.microsoft.com/office/drawing/2012/chart">
                  <c:ext xmlns:c16="http://schemas.microsoft.com/office/drawing/2014/chart" uri="{C3380CC4-5D6E-409C-BE32-E72D297353CC}">
                    <c16:uniqueId val="{00000006-7AF7-40EC-8C13-0E303794FFF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'Comparaison AME'!$A$22</c15:sqref>
                        </c15:formulaRef>
                      </c:ext>
                    </c:extLst>
                    <c:strCache>
                      <c:ptCount val="1"/>
                      <c:pt idx="0">
                        <c:v>1.  Energy Industries</c:v>
                      </c:pt>
                    </c:strCache>
                  </c:strRef>
                </c:tx>
                <c:spPr>
                  <a:solidFill>
                    <a:schemeClr val="accent4"/>
                  </a:solidFill>
                  <a:ln>
                    <a:noFill/>
                  </a:ln>
                  <a:effectLst/>
                </c:spPr>
                <c:invertIfNegative val="0"/>
                <c:cat>
                  <c:strRef>
                    <c:extLst>
                      <c:ext xmlns:c15="http://schemas.microsoft.com/office/drawing/2012/char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xmlns:c15="http://schemas.microsoft.com/office/drawing/2012/chart" uri="{02D57815-91ED-43cb-92C2-25804820EDAC}">
                        <c15:fullRef>
                          <c15:sqref>'Comparaison AME'!$C$22:$F$22</c15:sqref>
                        </c15:fullRef>
                        <c15:formulaRef>
                          <c15:sqref>('Comparaison AME'!$C$22:$D$22,'Comparaison AME'!$F$22)</c15:sqref>
                        </c15:formulaRef>
                      </c:ext>
                    </c:extLst>
                    <c:numCache>
                      <c:formatCode>_-* #\ ##0.00\ _€_-;\-* #\ ##0.00\ _€_-;_-* "-"??\ _€_-;_-@_-</c:formatCode>
                      <c:ptCount val="3"/>
                      <c:pt idx="0">
                        <c:v>64740.287540047248</c:v>
                      </c:pt>
                      <c:pt idx="1">
                        <c:v>36823.8525908437</c:v>
                      </c:pt>
                      <c:pt idx="2">
                        <c:v>39234.269018053055</c:v>
                      </c:pt>
                    </c:numCache>
                  </c:numRef>
                </c:val>
                <c:extLst xmlns:c15="http://schemas.microsoft.com/office/drawing/2012/chart">
                  <c:ext xmlns:c16="http://schemas.microsoft.com/office/drawing/2014/chart" uri="{C3380CC4-5D6E-409C-BE32-E72D297353CC}">
                    <c16:uniqueId val="{00000007-7AF7-40EC-8C13-0E303794FFF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'Comparaison AME'!$A$23</c15:sqref>
                        </c15:formulaRef>
                      </c:ext>
                    </c:extLst>
                    <c:strCache>
                      <c:ptCount val="1"/>
                      <c:pt idx="0">
                        <c:v>2.  Manufacturing Industries and Construction</c:v>
                      </c:pt>
                    </c:strCache>
                  </c:strRef>
                </c:tx>
                <c:spPr>
                  <a:solidFill>
                    <a:schemeClr val="accent5"/>
                  </a:solidFill>
                  <a:ln>
                    <a:noFill/>
                  </a:ln>
                  <a:effectLst/>
                </c:spPr>
                <c:invertIfNegative val="0"/>
                <c:cat>
                  <c:strRef>
                    <c:extLst>
                      <c:ext xmlns:c15="http://schemas.microsoft.com/office/drawing/2012/char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xmlns:c15="http://schemas.microsoft.com/office/drawing/2012/chart" uri="{02D57815-91ED-43cb-92C2-25804820EDAC}">
                        <c15:fullRef>
                          <c15:sqref>'Comparaison AME'!$C$23:$F$23</c15:sqref>
                        </c15:fullRef>
                        <c15:formulaRef>
                          <c15:sqref>('Comparaison AME'!$C$23:$D$23,'Comparaison AME'!$F$23)</c15:sqref>
                        </c15:formulaRef>
                      </c:ext>
                    </c:extLst>
                    <c:numCache>
                      <c:formatCode>_-* #\ ##0.00\ _€_-;\-* #\ ##0.00\ _€_-;_-* "-"??\ _€_-;_-@_-</c:formatCode>
                      <c:ptCount val="3"/>
                      <c:pt idx="0">
                        <c:v>77862.585646933192</c:v>
                      </c:pt>
                      <c:pt idx="1">
                        <c:v>52100.062311656562</c:v>
                      </c:pt>
                      <c:pt idx="2">
                        <c:v>28636.94874676393</c:v>
                      </c:pt>
                    </c:numCache>
                  </c:numRef>
                </c:val>
                <c:extLst xmlns:c15="http://schemas.microsoft.com/office/drawing/2012/chart">
                  <c:ext xmlns:c16="http://schemas.microsoft.com/office/drawing/2014/chart" uri="{C3380CC4-5D6E-409C-BE32-E72D297353CC}">
                    <c16:uniqueId val="{00000008-7AF7-40EC-8C13-0E303794FFF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'Comparaison AME'!$A$24</c15:sqref>
                        </c15:formulaRef>
                      </c:ext>
                    </c:extLst>
                    <c:strCache>
                      <c:ptCount val="1"/>
                      <c:pt idx="0">
                        <c:v>3.  Transport</c:v>
                      </c:pt>
                    </c:strCache>
                  </c:strRef>
                </c:tx>
                <c:spPr>
                  <a:solidFill>
                    <a:schemeClr val="accent6"/>
                  </a:solidFill>
                  <a:ln>
                    <a:noFill/>
                  </a:ln>
                  <a:effectLst/>
                </c:spPr>
                <c:invertIfNegative val="0"/>
                <c:cat>
                  <c:strRef>
                    <c:extLst>
                      <c:ext xmlns:c15="http://schemas.microsoft.com/office/drawing/2012/char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xmlns:c15="http://schemas.microsoft.com/office/drawing/2012/chart" uri="{02D57815-91ED-43cb-92C2-25804820EDAC}">
                        <c15:fullRef>
                          <c15:sqref>'Comparaison AME'!$C$24:$F$24</c15:sqref>
                        </c15:fullRef>
                        <c15:formulaRef>
                          <c15:sqref>('Comparaison AME'!$C$24:$D$24,'Comparaison AME'!$F$24)</c15:sqref>
                        </c15:formulaRef>
                      </c:ext>
                    </c:extLst>
                    <c:numCache>
                      <c:formatCode>_-* #\ ##0.00\ _€_-;\-* #\ ##0.00\ _€_-;_-* "-"??\ _€_-;_-@_-</c:formatCode>
                      <c:ptCount val="3"/>
                      <c:pt idx="0">
                        <c:v>117672.4353510807</c:v>
                      </c:pt>
                      <c:pt idx="1">
                        <c:v>127829.74831110329</c:v>
                      </c:pt>
                      <c:pt idx="2">
                        <c:v>91200.809667069523</c:v>
                      </c:pt>
                    </c:numCache>
                  </c:numRef>
                </c:val>
                <c:extLst xmlns:c15="http://schemas.microsoft.com/office/drawing/2012/chart">
                  <c:ext xmlns:c16="http://schemas.microsoft.com/office/drawing/2014/chart" uri="{C3380CC4-5D6E-409C-BE32-E72D297353CC}">
                    <c16:uniqueId val="{00000009-7AF7-40EC-8C13-0E303794FFF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'Comparaison AME'!$A$25</c15:sqref>
                        </c15:formulaRef>
                      </c:ext>
                    </c:extLst>
                    <c:strCache>
                      <c:ptCount val="1"/>
                      <c:pt idx="0">
                        <c:v>4.  Other Sectors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xmlns:c15="http://schemas.microsoft.com/office/drawing/2012/chart" uri="{02D57815-91ED-43cb-92C2-25804820EDAC}">
                        <c15:fullRef>
                          <c15:sqref>'Comparaison AME'!$C$25:$F$25</c15:sqref>
                        </c15:fullRef>
                        <c15:formulaRef>
                          <c15:sqref>('Comparaison AME'!$C$25:$D$25,'Comparaison AME'!$F$25)</c15:sqref>
                        </c15:formulaRef>
                      </c:ext>
                    </c:extLst>
                    <c:numCache>
                      <c:formatCode>_-* #\ ##0.00\ _€_-;\-* #\ ##0.00\ _€_-;_-* "-"??\ _€_-;_-@_-</c:formatCode>
                      <c:ptCount val="3"/>
                      <c:pt idx="0">
                        <c:v>102651.14493114811</c:v>
                      </c:pt>
                      <c:pt idx="1">
                        <c:v>88301.500749494109</c:v>
                      </c:pt>
                      <c:pt idx="2">
                        <c:v>37325.584762094477</c:v>
                      </c:pt>
                    </c:numCache>
                  </c:numRef>
                </c:val>
                <c:extLst xmlns:c15="http://schemas.microsoft.com/office/drawing/2012/chart">
                  <c:ext xmlns:c16="http://schemas.microsoft.com/office/drawing/2014/chart" uri="{C3380CC4-5D6E-409C-BE32-E72D297353CC}">
                    <c16:uniqueId val="{0000000A-7AF7-40EC-8C13-0E303794FFF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'Comparaison AME'!$A$26</c15:sqref>
                        </c15:formulaRef>
                      </c:ext>
                    </c:extLst>
                    <c:strCache>
                      <c:ptCount val="1"/>
                      <c:pt idx="0">
                        <c:v>       a. Commercial/institutionnal</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xmlns:c15="http://schemas.microsoft.com/office/drawing/2012/chart" uri="{02D57815-91ED-43cb-92C2-25804820EDAC}">
                        <c15:fullRef>
                          <c15:sqref>'Comparaison AME'!$C$26:$F$26</c15:sqref>
                        </c15:fullRef>
                        <c15:formulaRef>
                          <c15:sqref>('Comparaison AME'!$C$26:$D$26,'Comparaison AME'!$F$26)</c15:sqref>
                        </c15:formulaRef>
                      </c:ext>
                    </c:extLst>
                    <c:numCache>
                      <c:formatCode>_-* #\ ##0.00\ _€_-;\-* #\ ##0.00\ _€_-;_-* "-"??\ _€_-;_-@_-</c:formatCode>
                      <c:ptCount val="3"/>
                      <c:pt idx="0">
                        <c:v>30708.859593814708</c:v>
                      </c:pt>
                      <c:pt idx="1">
                        <c:v>26038.638947774598</c:v>
                      </c:pt>
                      <c:pt idx="2">
                        <c:v>7677.1049238223177</c:v>
                      </c:pt>
                    </c:numCache>
                  </c:numRef>
                </c:val>
                <c:extLst xmlns:c15="http://schemas.microsoft.com/office/drawing/2012/chart">
                  <c:ext xmlns:c16="http://schemas.microsoft.com/office/drawing/2014/chart" uri="{C3380CC4-5D6E-409C-BE32-E72D297353CC}">
                    <c16:uniqueId val="{0000000B-7AF7-40EC-8C13-0E303794FFFA}"/>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'Comparaison AME'!$A$27</c15:sqref>
                        </c15:formulaRef>
                      </c:ext>
                    </c:extLst>
                    <c:strCache>
                      <c:ptCount val="1"/>
                      <c:pt idx="0">
                        <c:v>       b. Residential</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xmlns:c15="http://schemas.microsoft.com/office/drawing/2012/chart" uri="{02D57815-91ED-43cb-92C2-25804820EDAC}">
                        <c15:fullRef>
                          <c15:sqref>'Comparaison AME'!$C$27:$F$27</c15:sqref>
                        </c15:fullRef>
                        <c15:formulaRef>
                          <c15:sqref>('Comparaison AME'!$C$27:$D$27,'Comparaison AME'!$F$27)</c15:sqref>
                        </c15:formulaRef>
                      </c:ext>
                    </c:extLst>
                    <c:numCache>
                      <c:formatCode>_-* #\ ##0.00\ _€_-;\-* #\ ##0.00\ _€_-;_-* "-"??\ _€_-;_-@_-</c:formatCode>
                      <c:ptCount val="3"/>
                      <c:pt idx="0">
                        <c:v>59719.983477465612</c:v>
                      </c:pt>
                      <c:pt idx="1">
                        <c:v>50239.38185211263</c:v>
                      </c:pt>
                      <c:pt idx="2">
                        <c:v>19996.791994265022</c:v>
                      </c:pt>
                    </c:numCache>
                  </c:numRef>
                </c:val>
                <c:extLst xmlns:c15="http://schemas.microsoft.com/office/drawing/2012/chart">
                  <c:ext xmlns:c16="http://schemas.microsoft.com/office/drawing/2014/chart" uri="{C3380CC4-5D6E-409C-BE32-E72D297353CC}">
                    <c16:uniqueId val="{0000000C-7AF7-40EC-8C13-0E303794FFFA}"/>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'Comparaison AME'!$A$28</c15:sqref>
                        </c15:formulaRef>
                      </c:ext>
                    </c:extLst>
                    <c:strCache>
                      <c:ptCount val="1"/>
                      <c:pt idx="0">
                        <c:v>       c. Agriculture/forestry/fishing</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xmlns:c15="http://schemas.microsoft.com/office/drawing/2012/chart" uri="{02D57815-91ED-43cb-92C2-25804820EDAC}">
                        <c15:fullRef>
                          <c15:sqref>'Comparaison AME'!$C$28:$F$28</c15:sqref>
                        </c15:fullRef>
                        <c15:formulaRef>
                          <c15:sqref>('Comparaison AME'!$C$28:$D$28,'Comparaison AME'!$F$28)</c15:sqref>
                        </c15:formulaRef>
                      </c:ext>
                    </c:extLst>
                    <c:numCache>
                      <c:formatCode>_-* #\ ##0.00\ _€_-;\-* #\ ##0.00\ _€_-;_-* "-"??\ _€_-;_-@_-</c:formatCode>
                      <c:ptCount val="3"/>
                      <c:pt idx="0">
                        <c:v>12222.301859867795</c:v>
                      </c:pt>
                      <c:pt idx="1">
                        <c:v>12023.479949606894</c:v>
                      </c:pt>
                      <c:pt idx="2">
                        <c:v>9651.6878440071359</c:v>
                      </c:pt>
                    </c:numCache>
                  </c:numRef>
                </c:val>
                <c:extLst xmlns:c15="http://schemas.microsoft.com/office/drawing/2012/chart">
                  <c:ext xmlns:c16="http://schemas.microsoft.com/office/drawing/2014/chart" uri="{C3380CC4-5D6E-409C-BE32-E72D297353CC}">
                    <c16:uniqueId val="{0000000D-7AF7-40EC-8C13-0E303794FFFA}"/>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'Comparaison AME'!$A$29</c15:sqref>
                        </c15:formulaRef>
                      </c:ext>
                    </c:extLst>
                    <c:strCache>
                      <c:ptCount val="1"/>
                      <c:pt idx="0">
                        <c:v>B. Fugitive Emissions from Fuels</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'Comparaison AME'!$C$18:$F$18</c15:sqref>
                        </c15:fullRef>
                        <c15:formulaRef>
                          <c15:sqref>('Comparaison AME'!$C$18:$D$18,'Comparaison AME'!$F$18)</c15:sqref>
                        </c15:formulaRef>
                      </c:ext>
                    </c:extLst>
                    <c:strCache>
                      <c:ptCount val="3"/>
                      <c:pt idx="0">
                        <c:v>1990</c:v>
                      </c:pt>
                      <c:pt idx="1">
                        <c:v>2015</c:v>
                      </c:pt>
                      <c:pt idx="2">
                        <c:v>BAU 2050</c:v>
                      </c:pt>
                    </c:strCache>
                  </c:strRef>
                </c:cat>
                <c:val>
                  <c:numRef>
                    <c:extLst>
                      <c:ext xmlns:c15="http://schemas.microsoft.com/office/drawing/2012/chart" uri="{02D57815-91ED-43cb-92C2-25804820EDAC}">
                        <c15:fullRef>
                          <c15:sqref>'Comparaison AME'!$C$29:$F$29</c15:sqref>
                        </c15:fullRef>
                        <c15:formulaRef>
                          <c15:sqref>('Comparaison AME'!$C$29:$D$29,'Comparaison AME'!$F$29)</c15:sqref>
                        </c15:formulaRef>
                      </c:ext>
                    </c:extLst>
                    <c:numCache>
                      <c:formatCode>_-* #\ ##0.00\ _€_-;\-* #\ ##0.00\ _€_-;_-* "-"??\ _€_-;_-@_-</c:formatCode>
                      <c:ptCount val="3"/>
                      <c:pt idx="0">
                        <c:v>10984.047654018706</c:v>
                      </c:pt>
                      <c:pt idx="1">
                        <c:v>4155.5804201536621</c:v>
                      </c:pt>
                      <c:pt idx="2">
                        <c:v>3321.3365390958693</c:v>
                      </c:pt>
                    </c:numCache>
                  </c:numRef>
                </c:val>
                <c:extLst xmlns:c15="http://schemas.microsoft.com/office/drawing/2012/chart">
                  <c:ext xmlns:c16="http://schemas.microsoft.com/office/drawing/2014/chart" uri="{C3380CC4-5D6E-409C-BE32-E72D297353CC}">
                    <c16:uniqueId val="{0000000E-7AF7-40EC-8C13-0E303794FFFA}"/>
                  </c:ext>
                </c:extLst>
              </c15:ser>
            </c15:filteredBarSeries>
          </c:ext>
        </c:extLst>
      </c:barChart>
      <c:catAx>
        <c:axId val="7724400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72439704"/>
        <c:crosses val="autoZero"/>
        <c:auto val="1"/>
        <c:lblAlgn val="ctr"/>
        <c:lblOffset val="100"/>
        <c:noMultiLvlLbl val="0"/>
      </c:catAx>
      <c:valAx>
        <c:axId val="772439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000" b="1" i="0" u="none" strike="noStrike" baseline="0">
                    <a:effectLst/>
                  </a:rPr>
                  <a:t>PRG - kt CO2e</a:t>
                </a:r>
                <a:r>
                  <a:rPr lang="fr-FR" sz="1000" b="0" i="0" u="none" strike="noStrike" baseline="0"/>
                  <a:t> </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00\ _€_-;\-* #\ ##0.0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7244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Mix énergétique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areaChart>
        <c:grouping val="stacked"/>
        <c:varyColors val="0"/>
        <c:ser>
          <c:idx val="0"/>
          <c:order val="0"/>
          <c:tx>
            <c:strRef>
              <c:f>'Sorties graphiques'!$O$26</c:f>
              <c:strCache>
                <c:ptCount val="1"/>
                <c:pt idx="0">
                  <c:v>Electricité, hors P2X</c:v>
                </c:pt>
              </c:strCache>
            </c:strRef>
          </c:tx>
          <c:spPr>
            <a:solidFill>
              <a:schemeClr val="accent6"/>
            </a:solidFill>
            <a:ln>
              <a:noFill/>
            </a:ln>
            <a:effectLst/>
          </c:spPr>
          <c:cat>
            <c:numRef>
              <c:f>'Sorties graphiques'!$P$24:$Q$24</c:f>
              <c:numCache>
                <c:formatCode>General</c:formatCode>
                <c:ptCount val="2"/>
                <c:pt idx="0">
                  <c:v>2015</c:v>
                </c:pt>
                <c:pt idx="1">
                  <c:v>2050</c:v>
                </c:pt>
              </c:numCache>
            </c:numRef>
          </c:cat>
          <c:val>
            <c:numRef>
              <c:f>'Sorties graphiques'!$P$26:$Q$26</c:f>
              <c:numCache>
                <c:formatCode>#\ ##0.0</c:formatCode>
                <c:ptCount val="2"/>
                <c:pt idx="0">
                  <c:v>442.89879466849811</c:v>
                </c:pt>
                <c:pt idx="1">
                  <c:v>608.2081801570414</c:v>
                </c:pt>
              </c:numCache>
            </c:numRef>
          </c:val>
          <c:extLst>
            <c:ext xmlns:c16="http://schemas.microsoft.com/office/drawing/2014/chart" uri="{C3380CC4-5D6E-409C-BE32-E72D297353CC}">
              <c16:uniqueId val="{00000000-CA6A-407B-A24C-3321311E4C75}"/>
            </c:ext>
          </c:extLst>
        </c:ser>
        <c:ser>
          <c:idx val="1"/>
          <c:order val="1"/>
          <c:tx>
            <c:strRef>
              <c:f>'Sorties graphiques'!$O$27</c:f>
              <c:strCache>
                <c:ptCount val="1"/>
                <c:pt idx="0">
                  <c:v>Gaz consommé, yc biogaz, H2 ds GN, P2X (dont GNL)</c:v>
                </c:pt>
              </c:strCache>
            </c:strRef>
          </c:tx>
          <c:spPr>
            <a:solidFill>
              <a:schemeClr val="accent5"/>
            </a:solidFill>
            <a:ln>
              <a:noFill/>
            </a:ln>
            <a:effectLst/>
          </c:spPr>
          <c:cat>
            <c:numRef>
              <c:f>'Sorties graphiques'!$P$24:$Q$24</c:f>
              <c:numCache>
                <c:formatCode>General</c:formatCode>
                <c:ptCount val="2"/>
                <c:pt idx="0">
                  <c:v>2015</c:v>
                </c:pt>
                <c:pt idx="1">
                  <c:v>2050</c:v>
                </c:pt>
              </c:numCache>
            </c:numRef>
          </c:cat>
          <c:val>
            <c:numRef>
              <c:f>'Sorties graphiques'!$P$27:$Q$27</c:f>
              <c:numCache>
                <c:formatCode>#\ ##0.0</c:formatCode>
                <c:ptCount val="2"/>
                <c:pt idx="0">
                  <c:v>341.8261710564322</c:v>
                </c:pt>
                <c:pt idx="1">
                  <c:v>322.27126681428626</c:v>
                </c:pt>
              </c:numCache>
            </c:numRef>
          </c:val>
          <c:extLst>
            <c:ext xmlns:c16="http://schemas.microsoft.com/office/drawing/2014/chart" uri="{C3380CC4-5D6E-409C-BE32-E72D297353CC}">
              <c16:uniqueId val="{00000001-CA6A-407B-A24C-3321311E4C75}"/>
            </c:ext>
          </c:extLst>
        </c:ser>
        <c:ser>
          <c:idx val="2"/>
          <c:order val="2"/>
          <c:tx>
            <c:strRef>
              <c:f>'Sorties graphiques'!$O$28</c:f>
              <c:strCache>
                <c:ptCount val="1"/>
                <c:pt idx="0">
                  <c:v>H2</c:v>
                </c:pt>
              </c:strCache>
            </c:strRef>
          </c:tx>
          <c:spPr>
            <a:solidFill>
              <a:schemeClr val="accent4"/>
            </a:solidFill>
            <a:ln>
              <a:noFill/>
            </a:ln>
            <a:effectLst/>
          </c:spPr>
          <c:cat>
            <c:numRef>
              <c:f>'Sorties graphiques'!$P$24:$Q$24</c:f>
              <c:numCache>
                <c:formatCode>General</c:formatCode>
                <c:ptCount val="2"/>
                <c:pt idx="0">
                  <c:v>2015</c:v>
                </c:pt>
                <c:pt idx="1">
                  <c:v>2050</c:v>
                </c:pt>
              </c:numCache>
            </c:numRef>
          </c:cat>
          <c:val>
            <c:numRef>
              <c:f>'Sorties graphiques'!$P$28:$Q$28</c:f>
              <c:numCache>
                <c:formatCode>#\ ##0.0</c:formatCode>
                <c:ptCount val="2"/>
                <c:pt idx="0">
                  <c:v>0</c:v>
                </c:pt>
                <c:pt idx="1">
                  <c:v>18.934504051973676</c:v>
                </c:pt>
              </c:numCache>
            </c:numRef>
          </c:val>
          <c:extLst>
            <c:ext xmlns:c16="http://schemas.microsoft.com/office/drawing/2014/chart" uri="{C3380CC4-5D6E-409C-BE32-E72D297353CC}">
              <c16:uniqueId val="{00000002-CA6A-407B-A24C-3321311E4C75}"/>
            </c:ext>
          </c:extLst>
        </c:ser>
        <c:ser>
          <c:idx val="3"/>
          <c:order val="3"/>
          <c:tx>
            <c:strRef>
              <c:f>'Sorties graphiques'!$O$29</c:f>
              <c:strCache>
                <c:ptCount val="1"/>
                <c:pt idx="0">
                  <c:v>Carburant liquide</c:v>
                </c:pt>
              </c:strCache>
            </c:strRef>
          </c:tx>
          <c:spPr>
            <a:solidFill>
              <a:schemeClr val="accent6">
                <a:lumMod val="60000"/>
              </a:schemeClr>
            </a:solidFill>
            <a:ln>
              <a:noFill/>
            </a:ln>
            <a:effectLst/>
          </c:spPr>
          <c:cat>
            <c:numRef>
              <c:f>'Sorties graphiques'!$P$24:$Q$24</c:f>
              <c:numCache>
                <c:formatCode>General</c:formatCode>
                <c:ptCount val="2"/>
                <c:pt idx="0">
                  <c:v>2015</c:v>
                </c:pt>
                <c:pt idx="1">
                  <c:v>2050</c:v>
                </c:pt>
              </c:numCache>
            </c:numRef>
          </c:cat>
          <c:val>
            <c:numRef>
              <c:f>'Sorties graphiques'!$P$29:$Q$29</c:f>
              <c:numCache>
                <c:formatCode>#\ ##0.0</c:formatCode>
                <c:ptCount val="2"/>
                <c:pt idx="0">
                  <c:v>642.27105910308751</c:v>
                </c:pt>
                <c:pt idx="1">
                  <c:v>412.3852767672696</c:v>
                </c:pt>
              </c:numCache>
            </c:numRef>
          </c:val>
          <c:extLst>
            <c:ext xmlns:c16="http://schemas.microsoft.com/office/drawing/2014/chart" uri="{C3380CC4-5D6E-409C-BE32-E72D297353CC}">
              <c16:uniqueId val="{00000003-CA6A-407B-A24C-3321311E4C75}"/>
            </c:ext>
          </c:extLst>
        </c:ser>
        <c:ser>
          <c:idx val="4"/>
          <c:order val="4"/>
          <c:tx>
            <c:strRef>
              <c:f>'Sorties graphiques'!$O$30</c:f>
              <c:strCache>
                <c:ptCount val="1"/>
                <c:pt idx="0">
                  <c:v>Chaleur commercialisée, EnR thermique et déchets</c:v>
                </c:pt>
              </c:strCache>
            </c:strRef>
          </c:tx>
          <c:spPr>
            <a:solidFill>
              <a:schemeClr val="accent5">
                <a:lumMod val="60000"/>
              </a:schemeClr>
            </a:solidFill>
            <a:ln>
              <a:noFill/>
            </a:ln>
            <a:effectLst/>
          </c:spPr>
          <c:cat>
            <c:numRef>
              <c:f>'Sorties graphiques'!$P$24:$Q$24</c:f>
              <c:numCache>
                <c:formatCode>General</c:formatCode>
                <c:ptCount val="2"/>
                <c:pt idx="0">
                  <c:v>2015</c:v>
                </c:pt>
                <c:pt idx="1">
                  <c:v>2050</c:v>
                </c:pt>
              </c:numCache>
            </c:numRef>
          </c:cat>
          <c:val>
            <c:numRef>
              <c:f>'Sorties graphiques'!$P$30:$Q$30</c:f>
              <c:numCache>
                <c:formatCode>#\ ##0.0</c:formatCode>
                <c:ptCount val="2"/>
                <c:pt idx="0">
                  <c:v>200.95280355083642</c:v>
                </c:pt>
                <c:pt idx="1">
                  <c:v>211.42587270428331</c:v>
                </c:pt>
              </c:numCache>
            </c:numRef>
          </c:val>
          <c:extLst>
            <c:ext xmlns:c16="http://schemas.microsoft.com/office/drawing/2014/chart" uri="{C3380CC4-5D6E-409C-BE32-E72D297353CC}">
              <c16:uniqueId val="{00000004-CA6A-407B-A24C-3321311E4C75}"/>
            </c:ext>
          </c:extLst>
        </c:ser>
        <c:dLbls>
          <c:showLegendKey val="0"/>
          <c:showVal val="0"/>
          <c:showCatName val="0"/>
          <c:showSerName val="0"/>
          <c:showPercent val="0"/>
          <c:showBubbleSize val="0"/>
        </c:dLbls>
        <c:axId val="596535272"/>
        <c:axId val="596536912"/>
      </c:areaChart>
      <c:catAx>
        <c:axId val="596535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6536912"/>
        <c:crosses val="autoZero"/>
        <c:auto val="1"/>
        <c:lblAlgn val="ctr"/>
        <c:lblOffset val="100"/>
        <c:noMultiLvlLbl val="0"/>
      </c:catAx>
      <c:valAx>
        <c:axId val="59653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Energie finale (TWh)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65352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569595</xdr:colOff>
      <xdr:row>0</xdr:row>
      <xdr:rowOff>140970</xdr:rowOff>
    </xdr:from>
    <xdr:to>
      <xdr:col>16</xdr:col>
      <xdr:colOff>729615</xdr:colOff>
      <xdr:row>14</xdr:row>
      <xdr:rowOff>135256</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605789</xdr:colOff>
      <xdr:row>31</xdr:row>
      <xdr:rowOff>83820</xdr:rowOff>
    </xdr:from>
    <xdr:to>
      <xdr:col>16</xdr:col>
      <xdr:colOff>548641</xdr:colOff>
      <xdr:row>47</xdr:row>
      <xdr:rowOff>188596</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553402</xdr:colOff>
      <xdr:row>47</xdr:row>
      <xdr:rowOff>17145</xdr:rowOff>
    </xdr:from>
    <xdr:to>
      <xdr:col>16</xdr:col>
      <xdr:colOff>443866</xdr:colOff>
      <xdr:row>62</xdr:row>
      <xdr:rowOff>17145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783964</xdr:colOff>
      <xdr:row>63</xdr:row>
      <xdr:rowOff>130885</xdr:rowOff>
    </xdr:from>
    <xdr:to>
      <xdr:col>16</xdr:col>
      <xdr:colOff>674428</xdr:colOff>
      <xdr:row>81</xdr:row>
      <xdr:rowOff>130884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573405</xdr:colOff>
      <xdr:row>15</xdr:row>
      <xdr:rowOff>87631</xdr:rowOff>
    </xdr:from>
    <xdr:to>
      <xdr:col>17</xdr:col>
      <xdr:colOff>17145</xdr:colOff>
      <xdr:row>30</xdr:row>
      <xdr:rowOff>156211</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593910</xdr:colOff>
      <xdr:row>63</xdr:row>
      <xdr:rowOff>179294</xdr:rowOff>
    </xdr:from>
    <xdr:to>
      <xdr:col>21</xdr:col>
      <xdr:colOff>1221441</xdr:colOff>
      <xdr:row>81</xdr:row>
      <xdr:rowOff>179293</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11</xdr:row>
      <xdr:rowOff>129540</xdr:rowOff>
    </xdr:from>
    <xdr:to>
      <xdr:col>5</xdr:col>
      <xdr:colOff>251460</xdr:colOff>
      <xdr:row>25</xdr:row>
      <xdr:rowOff>152400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708660</xdr:colOff>
      <xdr:row>23</xdr:row>
      <xdr:rowOff>66788</xdr:rowOff>
    </xdr:from>
    <xdr:to>
      <xdr:col>11</xdr:col>
      <xdr:colOff>458993</xdr:colOff>
      <xdr:row>37</xdr:row>
      <xdr:rowOff>134470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484094</xdr:colOff>
      <xdr:row>4</xdr:row>
      <xdr:rowOff>145676</xdr:rowOff>
    </xdr:from>
    <xdr:to>
      <xdr:col>18</xdr:col>
      <xdr:colOff>89649</xdr:colOff>
      <xdr:row>17</xdr:row>
      <xdr:rowOff>93139</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322730</xdr:colOff>
      <xdr:row>14</xdr:row>
      <xdr:rowOff>112058</xdr:rowOff>
    </xdr:from>
    <xdr:to>
      <xdr:col>26</xdr:col>
      <xdr:colOff>44824</xdr:colOff>
      <xdr:row>28</xdr:row>
      <xdr:rowOff>121023</xdr:rowOff>
    </xdr:to>
    <xdr:graphicFrame macro="">
      <xdr:nvGraphicFramePr>
        <xdr:cNvPr id="9" name="Graphique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457200</xdr:colOff>
      <xdr:row>25</xdr:row>
      <xdr:rowOff>134470</xdr:rowOff>
    </xdr:from>
    <xdr:to>
      <xdr:col>33</xdr:col>
      <xdr:colOff>394447</xdr:colOff>
      <xdr:row>37</xdr:row>
      <xdr:rowOff>161364</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493059</xdr:colOff>
      <xdr:row>0</xdr:row>
      <xdr:rowOff>73958</xdr:rowOff>
    </xdr:from>
    <xdr:to>
      <xdr:col>9</xdr:col>
      <xdr:colOff>739589</xdr:colOff>
      <xdr:row>12</xdr:row>
      <xdr:rowOff>123263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10</xdr:col>
      <xdr:colOff>246530</xdr:colOff>
      <xdr:row>27</xdr:row>
      <xdr:rowOff>60511</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672353</xdr:colOff>
      <xdr:row>28</xdr:row>
      <xdr:rowOff>56029</xdr:rowOff>
    </xdr:from>
    <xdr:to>
      <xdr:col>10</xdr:col>
      <xdr:colOff>156883</xdr:colOff>
      <xdr:row>40</xdr:row>
      <xdr:rowOff>105334</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83820</xdr:colOff>
      <xdr:row>14</xdr:row>
      <xdr:rowOff>160020</xdr:rowOff>
    </xdr:from>
    <xdr:to>
      <xdr:col>16</xdr:col>
      <xdr:colOff>228600</xdr:colOff>
      <xdr:row>37</xdr:row>
      <xdr:rowOff>34290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289560</xdr:colOff>
      <xdr:row>0</xdr:row>
      <xdr:rowOff>7620</xdr:rowOff>
    </xdr:from>
    <xdr:to>
      <xdr:col>13</xdr:col>
      <xdr:colOff>106680</xdr:colOff>
      <xdr:row>25</xdr:row>
      <xdr:rowOff>3810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26</xdr:row>
      <xdr:rowOff>0</xdr:rowOff>
    </xdr:from>
    <xdr:to>
      <xdr:col>12</xdr:col>
      <xdr:colOff>609600</xdr:colOff>
      <xdr:row>45</xdr:row>
      <xdr:rowOff>1139190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xdr:colOff>
      <xdr:row>42</xdr:row>
      <xdr:rowOff>26670</xdr:rowOff>
    </xdr:from>
    <xdr:to>
      <xdr:col>6</xdr:col>
      <xdr:colOff>600075</xdr:colOff>
      <xdr:row>57</xdr:row>
      <xdr:rowOff>26670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tegration%20progressive%20BAU%20GEStime%20v17%20ST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late%20int&#233;grateur%20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CITEPA\etudes\Users\NICCO~1.CIT\AppData\Local\Temp\Rar$DIa0.463\MMR_Template_IPArticle23_table1_March20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chiers%20sources/Antonio%20-%20Outil_V1%20-%20facteur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TI Notes de version"/>
      <sheetName val="En RUN"/>
      <sheetName val="MON SCENARIO"/>
      <sheetName val="Check Bilan"/>
      <sheetName val="Check Inventaire"/>
      <sheetName val="H2"/>
      <sheetName val="Transport-&gt;"/>
      <sheetName val="Transport SORTIES"/>
      <sheetName val="Variables STM"/>
      <sheetName val="SortiesTransport par Scen"/>
      <sheetName val="Graf"/>
      <sheetName val="Enerdata AMS Fev 2019"/>
      <sheetName val="Transport"/>
      <sheetName val="Transport 2015"/>
      <sheetName val="Bâtiment SORTIES"/>
      <sheetName val="Industrie SORTIE"/>
      <sheetName val="Energie SORTIE"/>
      <sheetName val="Biomasse SORTIE"/>
      <sheetName val="Forêt SORTIE"/>
      <sheetName val="LULUCF SORTIES"/>
      <sheetName val="Inventaire SORTIE"/>
      <sheetName val="Industrie"/>
      <sheetName val="Industrie 2015"/>
      <sheetName val="Bâtiment"/>
      <sheetName val="Bâtiment 2015"/>
      <sheetName val="Energie"/>
      <sheetName val="Energie 2015"/>
      <sheetName val="Forêt"/>
      <sheetName val="Agriculture"/>
      <sheetName val="ClimAgri AME2050"/>
      <sheetName val="Agriculture 2015"/>
      <sheetName val="Autres Terres"/>
      <sheetName val="Déchets"/>
      <sheetName val="Déchets 2015"/>
      <sheetName val="Parc référence (2008)"/>
      <sheetName val="Parc initial (2015)"/>
      <sheetName val="Parc horizon moyen (2030)"/>
      <sheetName val="Parc horizon long (2050) "/>
      <sheetName val="Parc Tertiaire"/>
      <sheetName val="Data"/>
      <sheetName val="Base_2015"/>
      <sheetName val="AME_2030"/>
    </sheetNames>
    <sheetDataSet>
      <sheetData sheetId="0">
        <row r="10">
          <cell r="H10" t="str">
            <v>Mon Scénario</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ow r="13">
          <cell r="B13" t="str">
            <v>AME</v>
          </cell>
        </row>
        <row r="14">
          <cell r="B14" t="str">
            <v>AMS</v>
          </cell>
        </row>
        <row r="15">
          <cell r="B15" t="str">
            <v>Mon Scénario</v>
          </cell>
        </row>
        <row r="25">
          <cell r="C25">
            <v>11.63</v>
          </cell>
        </row>
        <row r="34">
          <cell r="B34">
            <v>2030</v>
          </cell>
        </row>
        <row r="35">
          <cell r="B35">
            <v>2050</v>
          </cell>
        </row>
      </sheetData>
      <sheetData sheetId="41" refreshError="1"/>
      <sheetData sheetId="4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de version"/>
      <sheetName val="Bilan E design"/>
      <sheetName val="En RUN"/>
      <sheetName val="Base_2015"/>
      <sheetName val="AME_2030"/>
      <sheetName val="AME_2050"/>
      <sheetName val="Transport"/>
      <sheetName val="Transport 2015"/>
      <sheetName val="Industrie"/>
      <sheetName val="Industrie 2015"/>
      <sheetName val="Bâtiment"/>
      <sheetName val="Bâtiment 2015"/>
      <sheetName val="Anto résdétE"/>
      <sheetName val="Antonio"/>
      <sheetName val="Energie"/>
      <sheetName val="Energie 2015"/>
      <sheetName val="Energie BAU"/>
      <sheetName val="Forêt"/>
      <sheetName val="Agriculture"/>
      <sheetName val="Agriculture 2015"/>
      <sheetName val="Autres Terres"/>
      <sheetName val="Déchets"/>
      <sheetName val="Déchets 2015"/>
      <sheetName val="Déchets TI"/>
      <sheetName val="Parc référence (2008)"/>
      <sheetName val="Parc initial (2015)"/>
      <sheetName val="Parc horizon moyen (2030)"/>
      <sheetName val="Parc horizon long (2050) "/>
      <sheetName val="Parc Tertiaire"/>
      <sheetName val="Data"/>
      <sheetName val="Check Bilan"/>
      <sheetName val="Check Inventaire"/>
      <sheetName val="ReadMe"/>
      <sheetName val="Transport SORTIES"/>
      <sheetName val="Bâtiment SORTIES"/>
      <sheetName val="Industrie SORTIE"/>
      <sheetName val="Energie SORTIE"/>
      <sheetName val="Biomasse SORTIE"/>
      <sheetName val="Forêt SORTIE"/>
      <sheetName val="LULUCF SORTIES"/>
      <sheetName val="Inventaire SORTIE"/>
      <sheetName val="MON SCENARIO"/>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sheetData sheetId="9" refreshError="1"/>
      <sheetData sheetId="10"/>
      <sheetData sheetId="11" refreshError="1"/>
      <sheetData sheetId="12">
        <row r="40">
          <cell r="V40" t="str">
            <v>Mode d'ECS</v>
          </cell>
        </row>
      </sheetData>
      <sheetData sheetId="13">
        <row r="5">
          <cell r="B5">
            <v>2015</v>
          </cell>
        </row>
      </sheetData>
      <sheetData sheetId="14" refreshError="1"/>
      <sheetData sheetId="15"/>
      <sheetData sheetId="16" refreshError="1"/>
      <sheetData sheetId="17" refreshError="1"/>
      <sheetData sheetId="18"/>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ow r="13">
          <cell r="B13" t="str">
            <v>AME</v>
          </cell>
        </row>
        <row r="14">
          <cell r="B14" t="str">
            <v>AMS</v>
          </cell>
        </row>
        <row r="15">
          <cell r="B15" t="str">
            <v>Mon Scénario</v>
          </cell>
        </row>
        <row r="25">
          <cell r="C25">
            <v>11.63</v>
          </cell>
        </row>
        <row r="34">
          <cell r="B34">
            <v>2030</v>
          </cell>
        </row>
        <row r="35">
          <cell r="B35">
            <v>2050</v>
          </cell>
        </row>
      </sheetData>
      <sheetData sheetId="30" refreshError="1"/>
      <sheetData sheetId="31" refreshError="1"/>
      <sheetData sheetId="32">
        <row r="10">
          <cell r="H10" t="str">
            <v>AME</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Article23T1"/>
      <sheetName val="List"/>
      <sheetName val="updates 2016"/>
      <sheetName val="MMR_Template_IPArticle23_table1"/>
    </sheetNames>
    <sheetDataSet>
      <sheetData sheetId="0" refreshError="1"/>
      <sheetData sheetId="1">
        <row r="1">
          <cell r="B1" t="str">
            <v>Select country</v>
          </cell>
          <cell r="C1" t="str">
            <v>Select base year</v>
          </cell>
        </row>
        <row r="2">
          <cell r="B2" t="str">
            <v>AT</v>
          </cell>
          <cell r="C2">
            <v>2008</v>
          </cell>
        </row>
        <row r="3">
          <cell r="B3" t="str">
            <v>BE</v>
          </cell>
          <cell r="C3">
            <v>2009</v>
          </cell>
        </row>
        <row r="4">
          <cell r="B4" t="str">
            <v>BG</v>
          </cell>
          <cell r="C4">
            <v>2010</v>
          </cell>
        </row>
        <row r="5">
          <cell r="B5" t="str">
            <v>CH</v>
          </cell>
          <cell r="C5">
            <v>2011</v>
          </cell>
        </row>
        <row r="6">
          <cell r="B6" t="str">
            <v>CY</v>
          </cell>
          <cell r="C6">
            <v>2012</v>
          </cell>
        </row>
        <row r="7">
          <cell r="B7" t="str">
            <v>CZ</v>
          </cell>
          <cell r="C7">
            <v>2013</v>
          </cell>
        </row>
        <row r="8">
          <cell r="B8" t="str">
            <v>DE</v>
          </cell>
          <cell r="C8">
            <v>2014</v>
          </cell>
        </row>
        <row r="9">
          <cell r="B9" t="str">
            <v>DK</v>
          </cell>
          <cell r="C9">
            <v>2015</v>
          </cell>
        </row>
        <row r="10">
          <cell r="B10" t="str">
            <v>EE</v>
          </cell>
          <cell r="C10">
            <v>2016</v>
          </cell>
        </row>
        <row r="11">
          <cell r="B11" t="str">
            <v>ES</v>
          </cell>
        </row>
        <row r="12">
          <cell r="B12" t="str">
            <v>FI</v>
          </cell>
        </row>
        <row r="13">
          <cell r="B13" t="str">
            <v>FR</v>
          </cell>
        </row>
        <row r="14">
          <cell r="B14" t="str">
            <v>GB</v>
          </cell>
        </row>
        <row r="15">
          <cell r="B15" t="str">
            <v>GR</v>
          </cell>
        </row>
        <row r="16">
          <cell r="B16" t="str">
            <v>HR</v>
          </cell>
        </row>
        <row r="17">
          <cell r="B17" t="str">
            <v>HU</v>
          </cell>
        </row>
        <row r="18">
          <cell r="B18" t="str">
            <v>IE</v>
          </cell>
        </row>
        <row r="19">
          <cell r="B19" t="str">
            <v>IS</v>
          </cell>
        </row>
        <row r="20">
          <cell r="B20" t="str">
            <v>IT</v>
          </cell>
        </row>
        <row r="21">
          <cell r="B21" t="str">
            <v>LI</v>
          </cell>
        </row>
        <row r="22">
          <cell r="B22" t="str">
            <v>LT</v>
          </cell>
        </row>
        <row r="23">
          <cell r="B23" t="str">
            <v>LU</v>
          </cell>
        </row>
        <row r="24">
          <cell r="B24" t="str">
            <v>LV</v>
          </cell>
        </row>
        <row r="25">
          <cell r="B25" t="str">
            <v>MT</v>
          </cell>
        </row>
        <row r="26">
          <cell r="B26" t="str">
            <v>NL</v>
          </cell>
        </row>
        <row r="27">
          <cell r="B27" t="str">
            <v>NO</v>
          </cell>
        </row>
        <row r="28">
          <cell r="B28" t="str">
            <v>PL</v>
          </cell>
        </row>
        <row r="29">
          <cell r="B29" t="str">
            <v>PT</v>
          </cell>
        </row>
        <row r="30">
          <cell r="B30" t="str">
            <v>RO</v>
          </cell>
        </row>
        <row r="31">
          <cell r="B31" t="str">
            <v>SE</v>
          </cell>
        </row>
        <row r="32">
          <cell r="B32" t="str">
            <v>SI</v>
          </cell>
        </row>
        <row r="33">
          <cell r="B33" t="str">
            <v>SK</v>
          </cell>
        </row>
        <row r="34">
          <cell r="B34" t="str">
            <v>TR</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Paramètrage"/>
      <sheetName val="Tableau de bord énergie"/>
      <sheetName val="Tableau de bord ACV"/>
      <sheetName val="Résultats détaillés énergie"/>
      <sheetName val="Résultats détaillés ACV"/>
      <sheetName val="Résultats détaillés réhab"/>
      <sheetName val="Rendements"/>
      <sheetName val="Prix des énergies"/>
      <sheetName val="Besoins de chauffage"/>
      <sheetName val="Fact_émissions"/>
      <sheetName val="Ménages"/>
      <sheetName val="Localisation et appoints"/>
      <sheetName val="Transfert_systCH"/>
      <sheetName val="Transfert_systECS"/>
      <sheetName val="Calcul_chauffage"/>
      <sheetName val="Calcul_ECS"/>
      <sheetName val="Calcul_clim_simple"/>
      <sheetName val="Transfert_Rehab"/>
      <sheetName val="Calcul_ElecSpe"/>
      <sheetName val="ElecSpé Paramétrage"/>
      <sheetName val="Eclairage"/>
      <sheetName val="Nomenclature"/>
      <sheetName val="BDD Impact"/>
      <sheetName val="BDD Impact Source"/>
      <sheetName val="Export MedPro"/>
    </sheetNames>
    <sheetDataSet>
      <sheetData sheetId="0"/>
      <sheetData sheetId="1">
        <row r="9">
          <cell r="D9">
            <v>27278135.159999989</v>
          </cell>
        </row>
        <row r="18">
          <cell r="D18">
            <v>0</v>
          </cell>
        </row>
        <row r="505">
          <cell r="C505">
            <v>2015</v>
          </cell>
          <cell r="D505">
            <v>2021</v>
          </cell>
          <cell r="E505">
            <v>2031</v>
          </cell>
          <cell r="F505">
            <v>2041</v>
          </cell>
        </row>
        <row r="506">
          <cell r="C506">
            <v>2020</v>
          </cell>
          <cell r="D506">
            <v>2030</v>
          </cell>
          <cell r="E506">
            <v>2040</v>
          </cell>
          <cell r="F506">
            <v>2050</v>
          </cell>
        </row>
        <row r="509">
          <cell r="C509" t="str">
            <v>Av. 1970</v>
          </cell>
        </row>
        <row r="510">
          <cell r="C510" t="str">
            <v>1970 - 2000</v>
          </cell>
        </row>
        <row r="511">
          <cell r="C511" t="str">
            <v>2000 - 2011</v>
          </cell>
        </row>
        <row r="512">
          <cell r="C512" t="str">
            <v>2012 +</v>
          </cell>
        </row>
      </sheetData>
      <sheetData sheetId="2">
        <row r="5">
          <cell r="B5">
            <v>2015</v>
          </cell>
        </row>
      </sheetData>
      <sheetData sheetId="3"/>
      <sheetData sheetId="4">
        <row r="9">
          <cell r="CI9" t="str">
            <v>Nombre de logement</v>
          </cell>
        </row>
      </sheetData>
      <sheetData sheetId="5"/>
      <sheetData sheetId="6">
        <row r="7">
          <cell r="C7">
            <v>1139273.2095113809</v>
          </cell>
        </row>
      </sheetData>
      <sheetData sheetId="7">
        <row r="7">
          <cell r="AD7">
            <v>0</v>
          </cell>
        </row>
      </sheetData>
      <sheetData sheetId="8"/>
      <sheetData sheetId="9"/>
      <sheetData sheetId="10">
        <row r="9">
          <cell r="M9">
            <v>0.04</v>
          </cell>
        </row>
      </sheetData>
      <sheetData sheetId="11"/>
      <sheetData sheetId="12"/>
      <sheetData sheetId="13"/>
      <sheetData sheetId="14"/>
      <sheetData sheetId="15">
        <row r="5">
          <cell r="A5" t="str">
            <v>1</v>
          </cell>
        </row>
      </sheetData>
      <sheetData sheetId="16">
        <row r="72">
          <cell r="A72" t="str">
            <v>1</v>
          </cell>
        </row>
      </sheetData>
      <sheetData sheetId="17">
        <row r="16">
          <cell r="A16" t="str">
            <v>MI</v>
          </cell>
        </row>
      </sheetData>
      <sheetData sheetId="18"/>
      <sheetData sheetId="19">
        <row r="12">
          <cell r="A12" t="str">
            <v>Froid négatif</v>
          </cell>
        </row>
      </sheetData>
      <sheetData sheetId="20"/>
      <sheetData sheetId="21">
        <row r="7">
          <cell r="B7" t="str">
            <v>LED d'excellente qualité</v>
          </cell>
        </row>
      </sheetData>
      <sheetData sheetId="22">
        <row r="4">
          <cell r="A4" t="str">
            <v>1</v>
          </cell>
        </row>
      </sheetData>
      <sheetData sheetId="23"/>
      <sheetData sheetId="24"/>
      <sheetData sheetId="25"/>
    </sheetDataSet>
  </externalBook>
</externalLink>
</file>

<file path=xl/tables/table1.xml><?xml version="1.0" encoding="utf-8"?>
<table xmlns="http://schemas.openxmlformats.org/spreadsheetml/2006/main" id="1" name="Tableau1" displayName="Tableau1" ref="A1:J23" totalsRowShown="0">
  <autoFilter ref="A1:J23"/>
  <tableColumns count="10">
    <tableColumn id="1" name="Nature"/>
    <tableColumn id="2" name="Secteur"/>
    <tableColumn id="3" name="Valeurs BAU"/>
    <tableColumn id="4" name="Intégration valeur BAU"/>
    <tableColumn id="8" name="Valeur AME temporaire"/>
    <tableColumn id="5" name="Sortie formatée"/>
    <tableColumn id="6" name="Intégration sorties"/>
    <tableColumn id="9" name="Modèle d'origine"/>
    <tableColumn id="7" name="Commentaires"/>
    <tableColumn id="10" name="Prochaines étapes"/>
  </tableColumns>
  <tableStyleInfo name="TableStyleLight18" showFirstColumn="0" showLastColumn="0" showRowStripes="1" showColumnStripes="0"/>
</table>
</file>

<file path=xl/tables/table2.xml><?xml version="1.0" encoding="utf-8"?>
<table xmlns="http://schemas.openxmlformats.org/spreadsheetml/2006/main" id="3" name="Tableau3" displayName="Tableau3" ref="A12:F20" headerRowCount="0" totalsRowShown="0" headerRowDxfId="75" dataDxfId="74">
  <tableColumns count="6">
    <tableColumn id="1" name="Colonne1" dataDxfId="73"/>
    <tableColumn id="2" name="Colonne2" dataDxfId="72"/>
    <tableColumn id="3" name="Colonne3" dataDxfId="71"/>
    <tableColumn id="4" name="Colonne4" dataDxfId="70"/>
    <tableColumn id="5" name="Colonne5" dataDxfId="69"/>
    <tableColumn id="6" name="Colonne6" dataDxfId="68"/>
  </tableColumns>
  <tableStyleInfo name="TableStyleMedium7" showFirstColumn="0" showLastColumn="0" showRowStripes="1" showColumnStripes="0"/>
</table>
</file>

<file path=xl/tables/table3.xml><?xml version="1.0" encoding="utf-8"?>
<table xmlns="http://schemas.openxmlformats.org/spreadsheetml/2006/main" id="4" name="Tableau4" displayName="Tableau4" ref="A23:F29" headerRowCount="0" totalsRowShown="0" headerRowDxfId="67" dataDxfId="66">
  <tableColumns count="6">
    <tableColumn id="1" name="Colonne1" dataDxfId="65"/>
    <tableColumn id="2" name="Colonne2" dataDxfId="64"/>
    <tableColumn id="3" name="Colonne3" dataDxfId="63"/>
    <tableColumn id="4" name="Colonne4" dataDxfId="62"/>
    <tableColumn id="5" name="Colonne5" dataDxfId="61"/>
    <tableColumn id="6" name="Colonne6" dataDxfId="60"/>
  </tableColumns>
  <tableStyleInfo name="TableStyleMedium3" showFirstColumn="0" showLastColumn="0" showRowStripes="1" showColumnStripes="0"/>
</table>
</file>

<file path=xl/tables/table4.xml><?xml version="1.0" encoding="utf-8"?>
<table xmlns="http://schemas.openxmlformats.org/spreadsheetml/2006/main" id="5" name="Tableau5" displayName="Tableau5" ref="A4:F9" totalsRowShown="0" headerRowDxfId="59" dataDxfId="58" tableBorderDxfId="57">
  <autoFilter ref="A4:F9"/>
  <tableColumns count="6">
    <tableColumn id="1" name="Element" dataDxfId="56"/>
    <tableColumn id="2" name="Description, précisions" dataDxfId="55"/>
    <tableColumn id="3" name="Format des données anticipé" dataDxfId="54"/>
    <tableColumn id="4" name="Etat actuel" dataDxfId="53"/>
    <tableColumn id="5" name="Service désigné" dataDxfId="52"/>
    <tableColumn id="6" name="Statut" dataDxfId="51"/>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9.bin"/><Relationship Id="rId4"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6.xml"/><Relationship Id="rId1" Type="http://schemas.openxmlformats.org/officeDocument/2006/relationships/printerSettings" Target="../printerSettings/printerSettings16.bin"/><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6.xml.rels><?xml version="1.0" encoding="UTF-8" standalone="yes"?>
<Relationships xmlns="http://schemas.openxmlformats.org/package/2006/relationships"><Relationship Id="rId8" Type="http://schemas.openxmlformats.org/officeDocument/2006/relationships/vmlDrawing" Target="../drawings/vmlDrawing20.vml"/><Relationship Id="rId3" Type="http://schemas.openxmlformats.org/officeDocument/2006/relationships/hyperlink" Target="http://www.terresinovia.fr/tournesol/cultiver-du-tournesol/recolte/qualite-de-la-recolte/%20pour%20H%25" TargetMode="External"/><Relationship Id="rId7" Type="http://schemas.openxmlformats.org/officeDocument/2006/relationships/printerSettings" Target="../printerSettings/printerSettings17.bin"/><Relationship Id="rId2" Type="http://schemas.openxmlformats.org/officeDocument/2006/relationships/hyperlink" Target="http://www.terresinovia.fr/colza/cultiver-du-colza/recolte-conservation/conservation-stockage/%20pour%20H%25" TargetMode="External"/><Relationship Id="rId1" Type="http://schemas.openxmlformats.org/officeDocument/2006/relationships/hyperlink" Target="http://www.terresinovia.fr/tournesol/cultiver-du-tournesol/recolte/qualite-de-la-recolte/%20pour%20H%25" TargetMode="External"/><Relationship Id="rId6" Type="http://schemas.openxmlformats.org/officeDocument/2006/relationships/hyperlink" Target="http://www.terresinovia.fr/colza/cultiver-du-colza/recolte-conservation/conservation-stockage/%20pour%20H%25" TargetMode="External"/><Relationship Id="rId5" Type="http://schemas.openxmlformats.org/officeDocument/2006/relationships/hyperlink" Target="http://www.terresinovia.fr/tournesol/cultiver-du-tournesol/recolte/qualite-de-la-recolte/%20pour%20H%25" TargetMode="External"/><Relationship Id="rId4" Type="http://schemas.openxmlformats.org/officeDocument/2006/relationships/hyperlink" Target="http://www.terresinovia.fr/colza/cultiver-du-colza/recolte-conservation/conservation-stockage/%20pour%20H%25" TargetMode="External"/><Relationship Id="rId9"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3" Type="http://schemas.openxmlformats.org/officeDocument/2006/relationships/hyperlink" Target="file:///\\ademe.intra\PARIS$\PROJETS\Vision_2030-2050\2%20-%20Projet%20Energie-Ressources%202019\1-%20Ressources\1-%20Autres%20sc&#233;narios\Dossier%20sc&#233;nario%20AMS%20Ademe\Dossier%20complet\01_Hyp%20&amp;%20Res\019_Enerdata\AME%20ajust&#233;%20v3%202019%2002%2022.xlsx" TargetMode="External"/><Relationship Id="rId2" Type="http://schemas.openxmlformats.org/officeDocument/2006/relationships/hyperlink" Target="file:///\\ademe.intra\PARIS$\PROJETS\Vision_2030-2050\2%20-%20Projet%20Energie-Ressources%202019\2-%20Suivi%20Projet\1%20-%20Productions%20projet\1%20-%20Construction%20sc&#233;narios\1-%20Variables%20UG\1%20-%20Variables%20strat&#233;giques%20-%20contributions%20UG" TargetMode="External"/><Relationship Id="rId1" Type="http://schemas.openxmlformats.org/officeDocument/2006/relationships/hyperlink" Target="file:///\\ademe.intra\PARIS$\PROJETS\Vision_2030-2050\2%20-%20Projet%20Energie-Ressources%202019\1-%20Ressources\1-%20Autres%20sc&#233;narios\Dossier%20sc&#233;nario%20AMS%20Ademe\Dossier%20complet\01_Hyp%20&amp;%20Res\020_CITEPA\1_R&#233;sultats_GES_AMEajust&#233;_MET_01042019_d.xls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casteln/AppData/Roaming/Microsoft/Autres%20sc&#233;narios/DGEC/Dossier%20sc&#233;nario%20AMS%20Ademe/Dossier%20complet/01_Hyp%20&amp;%20Res/020_CITEPA/1_R&#233;sultats_GES_AMEajust&#233;_MET_01042019_d.xlsx"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workbookViewId="0">
      <selection activeCell="C52" sqref="C52"/>
    </sheetView>
  </sheetViews>
  <sheetFormatPr baseColWidth="10" defaultRowHeight="15"/>
  <cols>
    <col min="3" max="3" width="12.85546875" customWidth="1"/>
    <col min="4" max="4" width="21.28515625" customWidth="1"/>
    <col min="5" max="5" width="16.5703125" style="54" customWidth="1"/>
    <col min="6" max="6" width="15.7109375" customWidth="1"/>
    <col min="7" max="7" width="12.5703125" customWidth="1"/>
    <col min="8" max="8" width="17.7109375" customWidth="1"/>
    <col min="9" max="9" width="15.7109375" style="54" customWidth="1"/>
  </cols>
  <sheetData>
    <row r="1" spans="1:10">
      <c r="A1" t="s">
        <v>237</v>
      </c>
      <c r="B1" t="s">
        <v>238</v>
      </c>
      <c r="C1" t="s">
        <v>239</v>
      </c>
      <c r="D1" t="s">
        <v>241</v>
      </c>
      <c r="E1" s="54" t="s">
        <v>257</v>
      </c>
      <c r="F1" t="s">
        <v>240</v>
      </c>
      <c r="G1" t="s">
        <v>242</v>
      </c>
      <c r="H1" s="54" t="s">
        <v>259</v>
      </c>
      <c r="I1" t="s">
        <v>245</v>
      </c>
      <c r="J1" t="s">
        <v>264</v>
      </c>
    </row>
    <row r="2" spans="1:10">
      <c r="A2" t="s">
        <v>244</v>
      </c>
      <c r="B2" s="54" t="s">
        <v>36</v>
      </c>
      <c r="C2" t="s">
        <v>235</v>
      </c>
      <c r="E2" s="54" t="s">
        <v>243</v>
      </c>
      <c r="F2" t="s">
        <v>235</v>
      </c>
      <c r="H2" s="54"/>
      <c r="I2"/>
    </row>
    <row r="3" spans="1:10">
      <c r="B3" s="54" t="s">
        <v>31</v>
      </c>
      <c r="C3" s="54" t="s">
        <v>235</v>
      </c>
      <c r="E3" s="54" t="s">
        <v>243</v>
      </c>
      <c r="F3" t="s">
        <v>243</v>
      </c>
      <c r="H3" s="54" t="s">
        <v>260</v>
      </c>
      <c r="I3"/>
      <c r="J3" t="s">
        <v>265</v>
      </c>
    </row>
    <row r="4" spans="1:10">
      <c r="B4" s="54" t="s">
        <v>32</v>
      </c>
      <c r="C4" s="54" t="s">
        <v>235</v>
      </c>
      <c r="E4" s="54" t="s">
        <v>243</v>
      </c>
      <c r="F4" t="s">
        <v>235</v>
      </c>
      <c r="H4" s="54"/>
      <c r="I4"/>
    </row>
    <row r="5" spans="1:10">
      <c r="B5" s="54" t="s">
        <v>33</v>
      </c>
      <c r="C5" t="s">
        <v>243</v>
      </c>
      <c r="D5" t="s">
        <v>243</v>
      </c>
      <c r="F5" t="s">
        <v>235</v>
      </c>
      <c r="H5" s="54"/>
      <c r="I5"/>
      <c r="J5" t="s">
        <v>265</v>
      </c>
    </row>
    <row r="6" spans="1:10">
      <c r="B6" s="54" t="s">
        <v>34</v>
      </c>
      <c r="C6" t="s">
        <v>243</v>
      </c>
      <c r="D6" t="s">
        <v>243</v>
      </c>
      <c r="F6" t="s">
        <v>243</v>
      </c>
      <c r="G6" t="s">
        <v>243</v>
      </c>
      <c r="H6" s="54" t="s">
        <v>261</v>
      </c>
      <c r="I6"/>
    </row>
    <row r="7" spans="1:10">
      <c r="A7" t="s">
        <v>247</v>
      </c>
      <c r="B7" t="s">
        <v>127</v>
      </c>
      <c r="G7" t="s">
        <v>243</v>
      </c>
      <c r="H7" s="54"/>
      <c r="I7"/>
    </row>
    <row r="8" spans="1:10">
      <c r="A8" t="s">
        <v>248</v>
      </c>
      <c r="B8" s="54" t="s">
        <v>36</v>
      </c>
      <c r="C8" t="s">
        <v>235</v>
      </c>
      <c r="F8" s="54" t="s">
        <v>235</v>
      </c>
      <c r="H8" s="54"/>
      <c r="I8"/>
    </row>
    <row r="9" spans="1:10">
      <c r="B9" s="54" t="s">
        <v>31</v>
      </c>
      <c r="C9" s="54" t="s">
        <v>235</v>
      </c>
      <c r="F9" s="54"/>
      <c r="H9" s="54"/>
      <c r="I9"/>
    </row>
    <row r="10" spans="1:10">
      <c r="B10" s="54" t="s">
        <v>32</v>
      </c>
      <c r="C10" s="54" t="s">
        <v>235</v>
      </c>
      <c r="F10" s="54" t="s">
        <v>235</v>
      </c>
      <c r="H10" s="54"/>
      <c r="I10"/>
    </row>
    <row r="11" spans="1:10">
      <c r="B11" s="54" t="s">
        <v>33</v>
      </c>
      <c r="C11" s="54" t="s">
        <v>235</v>
      </c>
      <c r="F11" s="54" t="s">
        <v>235</v>
      </c>
      <c r="H11" s="54"/>
      <c r="I11"/>
    </row>
    <row r="12" spans="1:10">
      <c r="B12" s="54" t="s">
        <v>34</v>
      </c>
      <c r="C12" t="s">
        <v>243</v>
      </c>
      <c r="D12" t="s">
        <v>243</v>
      </c>
      <c r="F12" t="s">
        <v>243</v>
      </c>
      <c r="G12" t="s">
        <v>243</v>
      </c>
      <c r="H12" s="54" t="s">
        <v>261</v>
      </c>
      <c r="I12"/>
    </row>
    <row r="13" spans="1:10" s="54" customFormat="1">
      <c r="B13" s="54" t="s">
        <v>256</v>
      </c>
      <c r="C13" s="54" t="s">
        <v>235</v>
      </c>
      <c r="E13" s="54" t="s">
        <v>243</v>
      </c>
      <c r="F13" s="54" t="s">
        <v>243</v>
      </c>
      <c r="G13" s="54" t="s">
        <v>235</v>
      </c>
      <c r="H13" s="54" t="s">
        <v>261</v>
      </c>
    </row>
    <row r="14" spans="1:10" s="54" customFormat="1">
      <c r="B14" s="54" t="s">
        <v>255</v>
      </c>
      <c r="C14" s="54" t="s">
        <v>235</v>
      </c>
      <c r="E14" s="54" t="s">
        <v>243</v>
      </c>
      <c r="F14" s="54" t="s">
        <v>243</v>
      </c>
      <c r="G14" s="54" t="s">
        <v>235</v>
      </c>
    </row>
    <row r="15" spans="1:10" s="54" customFormat="1">
      <c r="B15" s="54" t="s">
        <v>26</v>
      </c>
      <c r="C15" s="54" t="s">
        <v>235</v>
      </c>
      <c r="E15" s="54" t="s">
        <v>243</v>
      </c>
      <c r="F15" s="54" t="s">
        <v>235</v>
      </c>
    </row>
    <row r="16" spans="1:10" s="146" customFormat="1">
      <c r="B16" s="146" t="s">
        <v>357</v>
      </c>
      <c r="C16" s="146" t="s">
        <v>235</v>
      </c>
      <c r="E16" s="146" t="s">
        <v>243</v>
      </c>
      <c r="G16" s="146" t="s">
        <v>243</v>
      </c>
    </row>
    <row r="17" spans="1:10">
      <c r="A17" t="s">
        <v>249</v>
      </c>
      <c r="B17" t="s">
        <v>250</v>
      </c>
      <c r="C17" t="s">
        <v>243</v>
      </c>
      <c r="D17" t="s">
        <v>243</v>
      </c>
      <c r="F17" t="s">
        <v>243</v>
      </c>
      <c r="G17" t="s">
        <v>235</v>
      </c>
      <c r="H17" s="54" t="s">
        <v>262</v>
      </c>
      <c r="I17"/>
    </row>
    <row r="18" spans="1:10">
      <c r="B18" t="s">
        <v>251</v>
      </c>
      <c r="C18" t="s">
        <v>235</v>
      </c>
      <c r="E18" s="54" t="s">
        <v>243</v>
      </c>
      <c r="F18" t="s">
        <v>235</v>
      </c>
      <c r="H18" s="54"/>
      <c r="I18"/>
    </row>
    <row r="19" spans="1:10">
      <c r="B19" t="s">
        <v>252</v>
      </c>
      <c r="C19" t="s">
        <v>235</v>
      </c>
      <c r="E19" s="54" t="s">
        <v>243</v>
      </c>
      <c r="F19" t="s">
        <v>235</v>
      </c>
      <c r="H19" s="54"/>
      <c r="I19"/>
    </row>
    <row r="20" spans="1:10">
      <c r="B20" t="s">
        <v>253</v>
      </c>
      <c r="C20" t="s">
        <v>243</v>
      </c>
      <c r="D20" t="s">
        <v>243</v>
      </c>
      <c r="F20" t="s">
        <v>235</v>
      </c>
      <c r="H20" s="54"/>
      <c r="I20"/>
    </row>
    <row r="21" spans="1:10">
      <c r="B21" t="s">
        <v>254</v>
      </c>
      <c r="C21" t="s">
        <v>235</v>
      </c>
      <c r="E21" s="54" t="s">
        <v>243</v>
      </c>
      <c r="F21" t="s">
        <v>235</v>
      </c>
      <c r="H21" s="54"/>
      <c r="I21"/>
    </row>
    <row r="22" spans="1:10">
      <c r="A22" t="s">
        <v>263</v>
      </c>
      <c r="F22" t="s">
        <v>243</v>
      </c>
      <c r="G22" t="s">
        <v>243</v>
      </c>
      <c r="I22" s="54" t="s">
        <v>454</v>
      </c>
    </row>
    <row r="23" spans="1:10">
      <c r="A23" t="s">
        <v>566</v>
      </c>
      <c r="J23" t="s">
        <v>265</v>
      </c>
    </row>
  </sheetData>
  <conditionalFormatting sqref="H22:I1048576 G17:H22 C17:F1048576 C1:H16">
    <cfRule type="cellIs" dxfId="50" priority="2" operator="equal">
      <formula>"Oui"</formula>
    </cfRule>
    <cfRule type="cellIs" dxfId="49" priority="3" operator="equal">
      <formula>"Non"</formula>
    </cfRule>
  </conditionalFormatting>
  <conditionalFormatting sqref="J1:J1048576">
    <cfRule type="cellIs" dxfId="48" priority="1" operator="equal">
      <formula>"x"</formula>
    </cfRule>
  </conditionalFormatting>
  <pageMargins left="0.7" right="0.7" top="0.75" bottom="0.75" header="0.3" footer="0.3"/>
  <legacyDrawing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6"/>
  <sheetViews>
    <sheetView zoomScale="85" zoomScaleNormal="85" workbookViewId="0">
      <selection activeCell="M19" sqref="M19"/>
    </sheetView>
  </sheetViews>
  <sheetFormatPr baseColWidth="10" defaultRowHeight="15"/>
  <cols>
    <col min="1" max="1" width="18.140625" customWidth="1"/>
  </cols>
  <sheetData>
    <row r="1" spans="1:39" s="146" customFormat="1" ht="15" customHeight="1">
      <c r="A1" s="574" t="s">
        <v>730</v>
      </c>
      <c r="B1" s="574"/>
      <c r="C1" s="574"/>
      <c r="D1" s="574"/>
      <c r="E1" s="401"/>
    </row>
    <row r="2" spans="1:39" ht="15.75">
      <c r="B2" s="362">
        <v>2015</v>
      </c>
      <c r="C2" s="362">
        <v>2050</v>
      </c>
      <c r="D2" s="362" t="s">
        <v>735</v>
      </c>
      <c r="M2" t="s">
        <v>734</v>
      </c>
      <c r="O2" s="200" t="s">
        <v>437</v>
      </c>
      <c r="P2" s="201"/>
      <c r="Q2" s="201"/>
      <c r="R2" s="201"/>
      <c r="S2" s="201"/>
      <c r="T2" s="201"/>
      <c r="U2" s="202"/>
      <c r="V2" s="201"/>
      <c r="W2" s="201"/>
      <c r="X2" s="201"/>
      <c r="Y2" s="201"/>
      <c r="Z2" s="201"/>
      <c r="AB2" s="200" t="s">
        <v>733</v>
      </c>
      <c r="AC2" s="201"/>
      <c r="AD2" s="201"/>
      <c r="AE2" s="201"/>
      <c r="AF2" s="201"/>
      <c r="AG2" s="201"/>
      <c r="AH2" s="202"/>
      <c r="AI2" s="201"/>
      <c r="AJ2" s="201"/>
      <c r="AK2" s="201"/>
      <c r="AL2" s="201"/>
      <c r="AM2" s="201"/>
    </row>
    <row r="3" spans="1:39">
      <c r="A3" s="373" t="s">
        <v>11</v>
      </c>
      <c r="B3" s="373">
        <v>12.203466751285113</v>
      </c>
      <c r="C3" s="373">
        <v>0</v>
      </c>
      <c r="D3" s="199">
        <f t="shared" ref="D3:D8" si="0">C3/B3-1</f>
        <v>-1</v>
      </c>
      <c r="O3" s="385"/>
      <c r="P3" s="385"/>
      <c r="Q3" s="385"/>
      <c r="R3" s="385"/>
      <c r="S3" s="385"/>
      <c r="T3" s="385"/>
      <c r="U3" s="385"/>
      <c r="V3" s="385"/>
      <c r="W3" s="385"/>
      <c r="X3" s="385"/>
      <c r="Y3" s="385"/>
      <c r="Z3" s="385"/>
      <c r="AB3" s="385"/>
      <c r="AC3" s="385"/>
      <c r="AD3" s="385"/>
      <c r="AE3" s="385"/>
      <c r="AF3" s="385"/>
      <c r="AG3" s="385"/>
      <c r="AH3" s="385"/>
      <c r="AI3" s="385"/>
      <c r="AJ3" s="385"/>
      <c r="AK3" s="385"/>
      <c r="AL3" s="385"/>
      <c r="AM3" s="385"/>
    </row>
    <row r="4" spans="1:39" ht="30">
      <c r="A4" s="402" t="s">
        <v>314</v>
      </c>
      <c r="B4" s="373">
        <v>27.407368025357055</v>
      </c>
      <c r="C4" s="373">
        <v>12.480008220168315</v>
      </c>
      <c r="D4" s="403">
        <f t="shared" si="0"/>
        <v>-0.54464769442210126</v>
      </c>
      <c r="O4" s="385"/>
      <c r="P4" s="385"/>
      <c r="Q4" s="385"/>
      <c r="R4" s="385"/>
      <c r="S4" s="385"/>
      <c r="T4" s="385"/>
      <c r="U4" s="385"/>
      <c r="V4" s="385"/>
      <c r="W4" s="385"/>
      <c r="X4" s="385"/>
      <c r="Y4" s="385"/>
      <c r="Z4" s="385"/>
      <c r="AB4" s="385"/>
      <c r="AC4" s="385"/>
      <c r="AD4" s="385"/>
      <c r="AE4" s="385"/>
      <c r="AF4" s="385"/>
      <c r="AG4" s="385"/>
      <c r="AH4" s="385"/>
      <c r="AI4" s="385"/>
      <c r="AJ4" s="385"/>
      <c r="AK4" s="385"/>
      <c r="AL4" s="385"/>
      <c r="AM4" s="385"/>
    </row>
    <row r="5" spans="1:39" s="404" customFormat="1" ht="15.75">
      <c r="A5" s="373" t="s">
        <v>132</v>
      </c>
      <c r="B5" s="373">
        <v>118.67061841643745</v>
      </c>
      <c r="C5" s="373">
        <v>154.61099040006243</v>
      </c>
      <c r="D5" s="199">
        <f t="shared" si="0"/>
        <v>0.30285821767190502</v>
      </c>
      <c r="O5" s="369" t="s">
        <v>57</v>
      </c>
      <c r="P5" s="370" t="s">
        <v>11</v>
      </c>
      <c r="Q5" s="370" t="s">
        <v>313</v>
      </c>
      <c r="R5" s="370" t="s">
        <v>314</v>
      </c>
      <c r="S5" s="371" t="s">
        <v>132</v>
      </c>
      <c r="T5" s="371" t="s">
        <v>133</v>
      </c>
      <c r="U5" s="371" t="s">
        <v>315</v>
      </c>
      <c r="V5" s="370" t="s">
        <v>134</v>
      </c>
      <c r="W5" s="370" t="s">
        <v>316</v>
      </c>
      <c r="X5" s="370" t="s">
        <v>135</v>
      </c>
      <c r="Y5" s="370" t="s">
        <v>136</v>
      </c>
      <c r="Z5" s="370" t="s">
        <v>30</v>
      </c>
      <c r="AB5" s="369" t="s">
        <v>57</v>
      </c>
      <c r="AC5" s="370" t="s">
        <v>11</v>
      </c>
      <c r="AD5" s="370" t="s">
        <v>313</v>
      </c>
      <c r="AE5" s="370" t="s">
        <v>314</v>
      </c>
      <c r="AF5" s="371" t="s">
        <v>132</v>
      </c>
      <c r="AG5" s="371" t="s">
        <v>133</v>
      </c>
      <c r="AH5" s="371" t="s">
        <v>315</v>
      </c>
      <c r="AI5" s="370" t="s">
        <v>134</v>
      </c>
      <c r="AJ5" s="370" t="s">
        <v>316</v>
      </c>
      <c r="AK5" s="370" t="s">
        <v>135</v>
      </c>
      <c r="AL5" s="370" t="s">
        <v>136</v>
      </c>
      <c r="AM5" s="370" t="s">
        <v>30</v>
      </c>
    </row>
    <row r="6" spans="1:39" ht="30">
      <c r="A6" s="402" t="s">
        <v>134</v>
      </c>
      <c r="B6" s="373">
        <v>15.881388888888889</v>
      </c>
      <c r="C6" s="373">
        <v>42.43986294755819</v>
      </c>
      <c r="D6" s="199">
        <f t="shared" si="0"/>
        <v>1.6723017265354185</v>
      </c>
      <c r="E6" s="146"/>
      <c r="F6" s="146"/>
      <c r="G6" s="146"/>
      <c r="H6" s="146"/>
      <c r="I6" s="146"/>
      <c r="J6" s="146"/>
      <c r="K6" s="146"/>
      <c r="O6" s="386"/>
      <c r="P6" s="387"/>
      <c r="Q6" s="387"/>
      <c r="R6" s="387"/>
      <c r="S6" s="387"/>
      <c r="T6" s="387"/>
      <c r="U6" s="387"/>
      <c r="V6" s="387"/>
      <c r="W6" s="387"/>
      <c r="X6" s="387"/>
      <c r="Y6" s="387"/>
      <c r="Z6" s="387"/>
      <c r="AB6" s="396"/>
      <c r="AC6" s="397"/>
      <c r="AD6" s="397"/>
      <c r="AE6" s="397"/>
      <c r="AF6" s="397"/>
      <c r="AG6" s="397"/>
      <c r="AH6" s="397"/>
      <c r="AI6" s="397"/>
      <c r="AJ6" s="397"/>
      <c r="AK6" s="397"/>
      <c r="AL6" s="397"/>
      <c r="AM6" s="397"/>
    </row>
    <row r="7" spans="1:39">
      <c r="A7" s="373" t="s">
        <v>316</v>
      </c>
      <c r="B7" s="373">
        <v>117.10889162345136</v>
      </c>
      <c r="C7" s="373">
        <v>150.16208688348468</v>
      </c>
      <c r="D7" s="199">
        <f t="shared" si="0"/>
        <v>0.28224325925918281</v>
      </c>
      <c r="E7" s="146"/>
      <c r="F7" s="146"/>
      <c r="G7" s="146"/>
      <c r="H7" s="146"/>
      <c r="I7" s="146"/>
      <c r="J7" s="146"/>
      <c r="K7" s="146"/>
      <c r="O7" s="388" t="s">
        <v>317</v>
      </c>
      <c r="P7" s="389">
        <v>0</v>
      </c>
      <c r="Q7" s="389">
        <v>0.99</v>
      </c>
      <c r="R7" s="389">
        <v>0</v>
      </c>
      <c r="S7" s="389">
        <v>1.9114359415305246E-2</v>
      </c>
      <c r="T7" s="389">
        <v>113.97587222178795</v>
      </c>
      <c r="U7" s="389">
        <v>7.1744464316423038</v>
      </c>
      <c r="V7" s="389">
        <v>17.623063691890987</v>
      </c>
      <c r="W7" s="389">
        <v>0</v>
      </c>
      <c r="X7" s="389">
        <v>0</v>
      </c>
      <c r="Y7" s="389"/>
      <c r="Z7" s="389">
        <v>139.78249670473656</v>
      </c>
      <c r="AB7" s="388" t="s">
        <v>317</v>
      </c>
      <c r="AC7" s="148">
        <v>0</v>
      </c>
      <c r="AD7" s="148">
        <v>0.99</v>
      </c>
      <c r="AE7" s="148">
        <v>0</v>
      </c>
      <c r="AF7" s="148">
        <v>1.9114359415305246E-2</v>
      </c>
      <c r="AG7" s="148">
        <v>65.629101087401921</v>
      </c>
      <c r="AH7" s="148">
        <v>29.4067067927773</v>
      </c>
      <c r="AI7" s="148">
        <v>27.620451982059638</v>
      </c>
      <c r="AJ7" s="148"/>
      <c r="AK7" s="148"/>
      <c r="AL7" s="148"/>
      <c r="AM7" s="148">
        <v>123.66537422165416</v>
      </c>
    </row>
    <row r="8" spans="1:39">
      <c r="A8" s="373" t="s">
        <v>135</v>
      </c>
      <c r="B8" s="373">
        <v>13.27604883605958</v>
      </c>
      <c r="C8" s="373">
        <v>15.077199382354873</v>
      </c>
      <c r="D8" s="199">
        <f t="shared" si="0"/>
        <v>0.13566917149348834</v>
      </c>
      <c r="E8" s="146"/>
      <c r="F8" s="146"/>
      <c r="G8" s="146"/>
      <c r="H8" s="146"/>
      <c r="I8" s="146"/>
      <c r="J8" s="146"/>
      <c r="K8" s="146"/>
      <c r="O8" s="388" t="s">
        <v>318</v>
      </c>
      <c r="P8" s="389">
        <v>8.8097723628054307</v>
      </c>
      <c r="Q8" s="389">
        <v>58.756</v>
      </c>
      <c r="R8" s="389">
        <v>41.304000000000002</v>
      </c>
      <c r="S8" s="389">
        <v>39.381556147893384</v>
      </c>
      <c r="T8" s="389">
        <v>0</v>
      </c>
      <c r="U8" s="389">
        <v>0</v>
      </c>
      <c r="V8" s="389">
        <v>0.60762719977070789</v>
      </c>
      <c r="W8" s="389">
        <v>0.85649183147033525</v>
      </c>
      <c r="X8" s="389">
        <v>0</v>
      </c>
      <c r="Y8" s="389"/>
      <c r="Z8" s="389">
        <v>149.71544754193985</v>
      </c>
      <c r="AB8" s="388" t="s">
        <v>318</v>
      </c>
      <c r="AC8" s="148">
        <v>6.8161630345237603</v>
      </c>
      <c r="AD8" s="148">
        <v>42.809999999999995</v>
      </c>
      <c r="AE8" s="148">
        <v>29.927936760066281</v>
      </c>
      <c r="AF8" s="148">
        <v>32.393258037963797</v>
      </c>
      <c r="AG8" s="148"/>
      <c r="AH8" s="148"/>
      <c r="AI8" s="148">
        <v>2.2777797160012732</v>
      </c>
      <c r="AJ8" s="398">
        <v>0</v>
      </c>
      <c r="AK8" s="148"/>
      <c r="AL8" s="148"/>
      <c r="AM8" s="148">
        <v>114.2251375485551</v>
      </c>
    </row>
    <row r="9" spans="1:39">
      <c r="A9" s="373" t="s">
        <v>136</v>
      </c>
      <c r="B9" s="373">
        <v>0</v>
      </c>
      <c r="C9" s="373">
        <v>8.6044727999999999</v>
      </c>
      <c r="D9" s="372">
        <v>1</v>
      </c>
      <c r="E9" s="146"/>
      <c r="F9" s="146"/>
      <c r="G9" s="146"/>
      <c r="H9" s="146"/>
      <c r="I9" s="146"/>
      <c r="J9" s="146"/>
      <c r="K9" s="146"/>
      <c r="O9" s="388" t="s">
        <v>319</v>
      </c>
      <c r="P9" s="389">
        <v>-0.129456001503714</v>
      </c>
      <c r="Q9" s="389">
        <v>-9.7000000000000003E-2</v>
      </c>
      <c r="R9" s="389">
        <v>-21.164999999999999</v>
      </c>
      <c r="S9" s="389">
        <v>-4.864952708512468</v>
      </c>
      <c r="T9" s="389">
        <v>0</v>
      </c>
      <c r="U9" s="389">
        <v>0</v>
      </c>
      <c r="V9" s="389">
        <v>-0.17842572847998472</v>
      </c>
      <c r="W9" s="389">
        <v>-6.3649183147033543</v>
      </c>
      <c r="X9" s="389">
        <v>0</v>
      </c>
      <c r="Y9" s="389"/>
      <c r="Z9" s="389">
        <v>-32.79975275319952</v>
      </c>
      <c r="AB9" s="388" t="s">
        <v>319</v>
      </c>
      <c r="AC9" s="148">
        <v>0</v>
      </c>
      <c r="AD9" s="148">
        <v>0</v>
      </c>
      <c r="AE9" s="148">
        <v>0</v>
      </c>
      <c r="AF9" s="148">
        <v>0</v>
      </c>
      <c r="AG9" s="148"/>
      <c r="AH9" s="148"/>
      <c r="AI9" s="148">
        <v>0</v>
      </c>
      <c r="AJ9" s="148">
        <v>-2.9650121854344036</v>
      </c>
      <c r="AK9" s="148"/>
      <c r="AL9" s="148"/>
      <c r="AM9" s="148">
        <v>-2.9650121854344036</v>
      </c>
    </row>
    <row r="10" spans="1:39">
      <c r="A10" s="356" t="s">
        <v>30</v>
      </c>
      <c r="B10" s="356">
        <v>304.54778254147948</v>
      </c>
      <c r="C10" s="356">
        <v>374.77014783362841</v>
      </c>
      <c r="D10" s="199">
        <f>C10/B10-1</f>
        <v>0.23057913837407318</v>
      </c>
      <c r="E10" s="146"/>
      <c r="F10" s="146"/>
      <c r="G10" s="146"/>
      <c r="H10" s="146"/>
      <c r="I10" s="146"/>
      <c r="J10" s="146"/>
      <c r="K10" s="146"/>
      <c r="O10" s="388" t="s">
        <v>320</v>
      </c>
      <c r="P10" s="389">
        <v>0</v>
      </c>
      <c r="Q10" s="389">
        <v>0</v>
      </c>
      <c r="R10" s="389">
        <v>-1.6180000000000001</v>
      </c>
      <c r="S10" s="389">
        <v>0</v>
      </c>
      <c r="T10" s="389">
        <v>0</v>
      </c>
      <c r="U10" s="389">
        <v>0</v>
      </c>
      <c r="V10" s="389">
        <v>0</v>
      </c>
      <c r="W10" s="389">
        <v>0</v>
      </c>
      <c r="X10" s="389">
        <v>0</v>
      </c>
      <c r="Y10" s="389"/>
      <c r="Z10" s="389">
        <v>-5.9379999999999997</v>
      </c>
      <c r="AB10" s="388" t="s">
        <v>320</v>
      </c>
      <c r="AC10" s="148"/>
      <c r="AD10" s="148"/>
      <c r="AE10" s="148">
        <v>-1.288</v>
      </c>
      <c r="AF10" s="148">
        <v>-0.11199999999999999</v>
      </c>
      <c r="AG10" s="148"/>
      <c r="AH10" s="148"/>
      <c r="AI10" s="148"/>
      <c r="AJ10" s="148"/>
      <c r="AK10" s="148"/>
      <c r="AL10" s="148"/>
      <c r="AM10" s="148">
        <v>-1.4</v>
      </c>
    </row>
    <row r="11" spans="1:39">
      <c r="E11" s="146"/>
      <c r="F11" s="146"/>
      <c r="G11" s="146"/>
      <c r="H11" s="146"/>
      <c r="I11" s="146"/>
      <c r="J11" s="146"/>
      <c r="K11" s="146"/>
      <c r="O11" s="388" t="s">
        <v>321</v>
      </c>
      <c r="P11" s="389">
        <v>0</v>
      </c>
      <c r="Q11" s="389">
        <v>0</v>
      </c>
      <c r="R11" s="389">
        <v>-5.9379999999999997</v>
      </c>
      <c r="S11" s="389">
        <v>0</v>
      </c>
      <c r="T11" s="389">
        <v>0</v>
      </c>
      <c r="U11" s="389">
        <v>0</v>
      </c>
      <c r="V11" s="389">
        <v>0</v>
      </c>
      <c r="W11" s="389">
        <v>0</v>
      </c>
      <c r="X11" s="389">
        <v>0</v>
      </c>
      <c r="Y11" s="389"/>
      <c r="Z11" s="389">
        <v>-1.6180000000000001</v>
      </c>
      <c r="AB11" s="388" t="s">
        <v>321</v>
      </c>
      <c r="AC11" s="148"/>
      <c r="AD11" s="148"/>
      <c r="AE11" s="148">
        <v>-7.9189579437951316</v>
      </c>
      <c r="AF11" s="148"/>
      <c r="AG11" s="148"/>
      <c r="AH11" s="148"/>
      <c r="AI11" s="148">
        <v>0</v>
      </c>
      <c r="AJ11" s="148"/>
      <c r="AK11" s="148"/>
      <c r="AL11" s="148"/>
      <c r="AM11" s="148">
        <v>-7.9189579437951316</v>
      </c>
    </row>
    <row r="12" spans="1:39">
      <c r="E12" s="146"/>
      <c r="F12" s="146"/>
      <c r="G12" s="146"/>
      <c r="H12" s="146"/>
      <c r="I12" s="146"/>
      <c r="J12" s="146"/>
      <c r="K12" s="146"/>
      <c r="O12" s="388" t="s">
        <v>322</v>
      </c>
      <c r="P12" s="389">
        <v>0.114672336797846</v>
      </c>
      <c r="Q12" s="389">
        <v>0.107</v>
      </c>
      <c r="R12" s="389">
        <v>-6.5000000000000002E-2</v>
      </c>
      <c r="S12" s="389">
        <v>0.50447579385934049</v>
      </c>
      <c r="T12" s="389">
        <v>0</v>
      </c>
      <c r="U12" s="389">
        <v>0</v>
      </c>
      <c r="V12" s="389">
        <v>0</v>
      </c>
      <c r="W12" s="389">
        <v>0</v>
      </c>
      <c r="X12" s="389">
        <v>0</v>
      </c>
      <c r="Y12" s="389"/>
      <c r="Z12" s="389">
        <v>0.66114813065718647</v>
      </c>
      <c r="AB12" s="388" t="s">
        <v>322</v>
      </c>
      <c r="AC12" s="148"/>
      <c r="AD12" s="148"/>
      <c r="AE12" s="148"/>
      <c r="AF12" s="148"/>
      <c r="AG12" s="148"/>
      <c r="AH12" s="148"/>
      <c r="AI12" s="148"/>
      <c r="AJ12" s="148"/>
      <c r="AK12" s="148"/>
      <c r="AL12" s="148"/>
      <c r="AM12" s="148">
        <v>0</v>
      </c>
    </row>
    <row r="13" spans="1:39" ht="15.75">
      <c r="E13" s="146"/>
      <c r="F13" s="146"/>
      <c r="G13" s="146"/>
      <c r="H13" s="146"/>
      <c r="I13" s="146"/>
      <c r="J13" s="146"/>
      <c r="K13" s="146"/>
      <c r="O13" s="147" t="s">
        <v>323</v>
      </c>
      <c r="P13" s="188">
        <v>8.7949886980995622</v>
      </c>
      <c r="Q13" s="188">
        <v>59.756</v>
      </c>
      <c r="R13" s="188">
        <v>12.518000000000004</v>
      </c>
      <c r="S13" s="188">
        <v>35.040193592655562</v>
      </c>
      <c r="T13" s="188">
        <v>113.97587222178795</v>
      </c>
      <c r="U13" s="188">
        <v>7.1744464316423038</v>
      </c>
      <c r="V13" s="188">
        <v>18.052265163181708</v>
      </c>
      <c r="W13" s="188">
        <v>-5.508426483233019</v>
      </c>
      <c r="X13" s="188">
        <v>0</v>
      </c>
      <c r="Y13" s="188"/>
      <c r="Z13" s="188">
        <v>249.80333962413408</v>
      </c>
      <c r="AB13" s="147" t="s">
        <v>323</v>
      </c>
      <c r="AC13" s="150">
        <v>6.8161630345237603</v>
      </c>
      <c r="AD13" s="150">
        <v>43.8</v>
      </c>
      <c r="AE13" s="150">
        <v>20.720978816271149</v>
      </c>
      <c r="AF13" s="150">
        <v>32.3003723973791</v>
      </c>
      <c r="AG13" s="150">
        <v>65.629101087401921</v>
      </c>
      <c r="AH13" s="150">
        <v>29.4067067927773</v>
      </c>
      <c r="AI13" s="150">
        <v>29.898231698060911</v>
      </c>
      <c r="AJ13" s="150">
        <v>-2.9650121854344036</v>
      </c>
      <c r="AK13" s="150">
        <v>0</v>
      </c>
      <c r="AL13" s="150"/>
      <c r="AM13" s="150">
        <v>225.60654164097971</v>
      </c>
    </row>
    <row r="14" spans="1:39" ht="15.75">
      <c r="E14" s="146"/>
      <c r="F14" s="146"/>
      <c r="G14" s="146"/>
      <c r="H14" s="146"/>
      <c r="I14" s="146"/>
      <c r="J14" s="146"/>
      <c r="K14" s="146"/>
      <c r="O14" s="386"/>
      <c r="P14" s="390"/>
      <c r="Q14" s="390"/>
      <c r="R14" s="390"/>
      <c r="S14" s="390"/>
      <c r="T14" s="390"/>
      <c r="U14" s="390"/>
      <c r="V14" s="390"/>
      <c r="W14" s="390"/>
      <c r="X14" s="390"/>
      <c r="Y14" s="390"/>
      <c r="Z14" s="390"/>
      <c r="AB14" s="386"/>
      <c r="AC14" s="399"/>
      <c r="AD14" s="399"/>
      <c r="AE14" s="399"/>
      <c r="AF14" s="399"/>
      <c r="AG14" s="399"/>
      <c r="AH14" s="399"/>
      <c r="AI14" s="399"/>
      <c r="AJ14" s="399"/>
      <c r="AK14" s="399"/>
      <c r="AL14" s="399"/>
      <c r="AM14" s="399"/>
    </row>
    <row r="15" spans="1:39">
      <c r="A15" s="574" t="s">
        <v>731</v>
      </c>
      <c r="B15" s="574"/>
      <c r="C15" s="574"/>
      <c r="D15" s="574"/>
      <c r="E15" s="146"/>
      <c r="F15" s="146"/>
      <c r="G15" s="146"/>
      <c r="H15" s="146"/>
      <c r="I15" s="146"/>
      <c r="J15" s="146"/>
      <c r="K15" s="146"/>
      <c r="O15" s="388" t="s">
        <v>324</v>
      </c>
      <c r="P15" s="389">
        <v>0</v>
      </c>
      <c r="Q15" s="389">
        <v>-0.32500000000000001</v>
      </c>
      <c r="R15" s="389">
        <v>0.25</v>
      </c>
      <c r="S15" s="389">
        <v>0</v>
      </c>
      <c r="T15" s="389">
        <v>0</v>
      </c>
      <c r="U15" s="389">
        <v>0</v>
      </c>
      <c r="V15" s="389">
        <v>0</v>
      </c>
      <c r="W15" s="389">
        <v>0</v>
      </c>
      <c r="X15" s="389">
        <v>0</v>
      </c>
      <c r="Y15" s="389"/>
      <c r="Z15" s="389">
        <v>-7.5000000000000011E-2</v>
      </c>
      <c r="AB15" s="388" t="s">
        <v>324</v>
      </c>
      <c r="AC15" s="148"/>
      <c r="AD15" s="148"/>
      <c r="AE15" s="148"/>
      <c r="AF15" s="148"/>
      <c r="AG15" s="148"/>
      <c r="AH15" s="148"/>
      <c r="AI15" s="148"/>
      <c r="AJ15" s="148"/>
      <c r="AK15" s="148"/>
      <c r="AL15" s="148"/>
      <c r="AM15" s="148">
        <v>0</v>
      </c>
    </row>
    <row r="16" spans="1:39">
      <c r="A16" s="146"/>
      <c r="B16" s="362">
        <v>2015</v>
      </c>
      <c r="C16" s="362">
        <v>2050</v>
      </c>
      <c r="D16" s="362" t="s">
        <v>735</v>
      </c>
      <c r="E16" s="146"/>
      <c r="F16" s="146"/>
      <c r="G16" s="146"/>
      <c r="H16" s="146"/>
      <c r="I16" s="146"/>
      <c r="J16" s="146"/>
      <c r="K16" s="146"/>
      <c r="O16" s="388" t="s">
        <v>325</v>
      </c>
      <c r="P16" s="389">
        <v>0.25449943513061157</v>
      </c>
      <c r="Q16" s="389">
        <v>9.6000000000003638E-2</v>
      </c>
      <c r="R16" s="389">
        <v>1.9070000000000071</v>
      </c>
      <c r="S16" s="389">
        <v>9.2719287991815946E-6</v>
      </c>
      <c r="T16" s="389">
        <v>0</v>
      </c>
      <c r="U16" s="389">
        <v>0</v>
      </c>
      <c r="V16" s="389">
        <v>2.3884589662749591E-5</v>
      </c>
      <c r="W16" s="389">
        <v>-9.6560619088564059E-2</v>
      </c>
      <c r="X16" s="389">
        <v>0</v>
      </c>
      <c r="Y16" s="389"/>
      <c r="Z16" s="389">
        <v>2.1609719725605201</v>
      </c>
      <c r="AB16" s="388" t="s">
        <v>325</v>
      </c>
      <c r="AC16" s="148"/>
      <c r="AD16" s="148"/>
      <c r="AE16" s="148"/>
      <c r="AF16" s="148"/>
      <c r="AG16" s="148"/>
      <c r="AH16" s="148"/>
      <c r="AI16" s="148"/>
      <c r="AJ16" s="148"/>
      <c r="AK16" s="148"/>
      <c r="AL16" s="148"/>
      <c r="AM16" s="148">
        <v>0</v>
      </c>
    </row>
    <row r="17" spans="1:39">
      <c r="A17" s="373" t="s">
        <v>11</v>
      </c>
      <c r="B17" s="373">
        <v>0.42756760655584669</v>
      </c>
      <c r="C17" s="373">
        <v>0</v>
      </c>
      <c r="D17" s="199">
        <f t="shared" ref="D17:D22" si="1">C17/B17-1</f>
        <v>-1</v>
      </c>
      <c r="E17" s="146"/>
      <c r="F17" s="146"/>
      <c r="G17" s="146"/>
      <c r="H17" s="146"/>
      <c r="I17" s="146"/>
      <c r="J17" s="146"/>
      <c r="K17" s="146"/>
      <c r="O17" s="388" t="s">
        <v>326</v>
      </c>
      <c r="P17" s="389">
        <v>2.8177717473010411</v>
      </c>
      <c r="Q17" s="389">
        <v>0</v>
      </c>
      <c r="R17" s="389">
        <v>0.46200000000000002</v>
      </c>
      <c r="S17" s="389">
        <v>1.748834832017226</v>
      </c>
      <c r="T17" s="389">
        <v>113.97587222178795</v>
      </c>
      <c r="U17" s="389">
        <v>7.1744464316423038</v>
      </c>
      <c r="V17" s="389">
        <v>1.3081350912391323</v>
      </c>
      <c r="W17" s="389">
        <v>-47.166809974204646</v>
      </c>
      <c r="X17" s="389">
        <v>0</v>
      </c>
      <c r="Y17" s="389"/>
      <c r="Z17" s="389">
        <v>80.320250349783009</v>
      </c>
      <c r="AB17" s="388" t="s">
        <v>326</v>
      </c>
      <c r="AC17" s="148">
        <v>2.9935125177223654</v>
      </c>
      <c r="AD17" s="148"/>
      <c r="AE17" s="148">
        <v>0</v>
      </c>
      <c r="AF17" s="148">
        <v>4.9102894812267124</v>
      </c>
      <c r="AG17" s="148">
        <v>65.629101087401921</v>
      </c>
      <c r="AH17" s="148">
        <v>29.4067067927773</v>
      </c>
      <c r="AI17" s="148">
        <v>6.6638005159071367</v>
      </c>
      <c r="AJ17" s="148">
        <v>-56.319862424763542</v>
      </c>
      <c r="AK17" s="148"/>
      <c r="AL17" s="148"/>
      <c r="AM17" s="148">
        <v>53.283547970271897</v>
      </c>
    </row>
    <row r="18" spans="1:39" ht="30">
      <c r="A18" s="402" t="s">
        <v>314</v>
      </c>
      <c r="B18" s="373">
        <v>77.633685630565125</v>
      </c>
      <c r="C18" s="373">
        <v>23.458665233101932</v>
      </c>
      <c r="D18" s="403">
        <f t="shared" si="1"/>
        <v>-0.69782878343900201</v>
      </c>
      <c r="E18" s="146"/>
      <c r="F18" s="146"/>
      <c r="G18" s="146"/>
      <c r="H18" s="146"/>
      <c r="I18" s="146"/>
      <c r="J18" s="146"/>
      <c r="K18" s="146"/>
      <c r="O18" s="388" t="s">
        <v>327</v>
      </c>
      <c r="P18" s="389">
        <v>0.17574077042132416</v>
      </c>
      <c r="Q18" s="389">
        <v>0</v>
      </c>
      <c r="R18" s="389">
        <v>0.24</v>
      </c>
      <c r="S18" s="389">
        <v>2.0854259827438875</v>
      </c>
      <c r="T18" s="389">
        <v>0</v>
      </c>
      <c r="U18" s="389">
        <v>0</v>
      </c>
      <c r="V18" s="389">
        <v>2.3690407948791439</v>
      </c>
      <c r="W18" s="389">
        <v>-1.4459157351676697</v>
      </c>
      <c r="X18" s="389">
        <v>-1.9220112484952707</v>
      </c>
      <c r="Y18" s="389"/>
      <c r="Z18" s="389">
        <v>1.502280564381415</v>
      </c>
      <c r="AB18" s="388" t="s">
        <v>327</v>
      </c>
      <c r="AC18" s="148"/>
      <c r="AD18" s="148"/>
      <c r="AE18" s="148"/>
      <c r="AF18" s="148"/>
      <c r="AG18" s="148"/>
      <c r="AH18" s="148"/>
      <c r="AI18" s="148"/>
      <c r="AJ18" s="148"/>
      <c r="AK18" s="148"/>
      <c r="AL18" s="148"/>
      <c r="AM18" s="148">
        <v>0</v>
      </c>
    </row>
    <row r="19" spans="1:39">
      <c r="A19" s="373" t="s">
        <v>132</v>
      </c>
      <c r="B19" s="373">
        <v>137.03098174643137</v>
      </c>
      <c r="C19" s="373">
        <v>83.41944380149387</v>
      </c>
      <c r="D19" s="199">
        <f t="shared" si="1"/>
        <v>-0.39123661862207793</v>
      </c>
      <c r="O19" s="388" t="s">
        <v>328</v>
      </c>
      <c r="P19" s="389">
        <v>0.18260499999999999</v>
      </c>
      <c r="Q19" s="389">
        <v>0</v>
      </c>
      <c r="R19" s="389">
        <v>7.0000000000000007E-2</v>
      </c>
      <c r="S19" s="389">
        <v>0.65908241891659469</v>
      </c>
      <c r="T19" s="389">
        <v>0</v>
      </c>
      <c r="U19" s="389">
        <v>0</v>
      </c>
      <c r="V19" s="389">
        <v>0.77558039552880487</v>
      </c>
      <c r="W19" s="389">
        <v>0</v>
      </c>
      <c r="X19" s="389">
        <v>-1.90296</v>
      </c>
      <c r="Y19" s="389"/>
      <c r="Z19" s="389">
        <v>-0.21569218555460057</v>
      </c>
      <c r="AB19" s="388" t="s">
        <v>328</v>
      </c>
      <c r="AC19" s="148">
        <v>1.453869993578329E-2</v>
      </c>
      <c r="AD19" s="148"/>
      <c r="AE19" s="148">
        <v>1.3517604095402416E-2</v>
      </c>
      <c r="AF19" s="148">
        <v>1.3186084604313582</v>
      </c>
      <c r="AG19" s="148"/>
      <c r="AH19" s="148"/>
      <c r="AI19" s="148">
        <v>2.2948126205679746</v>
      </c>
      <c r="AJ19" s="148"/>
      <c r="AK19" s="148">
        <v>-3.3469953113446063</v>
      </c>
      <c r="AL19" s="148"/>
      <c r="AM19" s="148">
        <v>0.29448207368591239</v>
      </c>
    </row>
    <row r="20" spans="1:39" ht="30">
      <c r="A20" s="402" t="s">
        <v>134</v>
      </c>
      <c r="B20" s="373">
        <v>102.79147321640156</v>
      </c>
      <c r="C20" s="373">
        <v>113.11848024425065</v>
      </c>
      <c r="D20" s="199">
        <f t="shared" si="1"/>
        <v>0.10046559996380422</v>
      </c>
      <c r="O20" s="388" t="s">
        <v>729</v>
      </c>
      <c r="P20" s="389">
        <v>0</v>
      </c>
      <c r="Q20" s="389">
        <v>0</v>
      </c>
      <c r="R20" s="389">
        <v>0</v>
      </c>
      <c r="S20" s="391">
        <v>-6.3456577815993124E-3</v>
      </c>
      <c r="T20" s="389">
        <v>0</v>
      </c>
      <c r="U20" s="389">
        <v>0</v>
      </c>
      <c r="V20" s="391">
        <v>6.3533008502913921E-3</v>
      </c>
      <c r="W20" s="389">
        <v>0</v>
      </c>
      <c r="X20" s="389">
        <v>0</v>
      </c>
      <c r="Y20" s="389"/>
      <c r="Z20" s="389">
        <v>7.6430686920796881E-6</v>
      </c>
      <c r="AB20" s="388" t="s">
        <v>88</v>
      </c>
      <c r="AC20" s="148"/>
      <c r="AD20" s="148"/>
      <c r="AE20" s="148"/>
      <c r="AF20" s="148">
        <v>-2.0349670392662649</v>
      </c>
      <c r="AG20" s="148"/>
      <c r="AH20" s="148"/>
      <c r="AI20" s="148">
        <v>2.5437087990828311</v>
      </c>
      <c r="AJ20" s="148"/>
      <c r="AK20" s="148"/>
      <c r="AL20" s="148"/>
      <c r="AM20" s="148">
        <v>0.50874175981656622</v>
      </c>
    </row>
    <row r="21" spans="1:39">
      <c r="A21" s="373" t="s">
        <v>316</v>
      </c>
      <c r="B21" s="373">
        <v>158.4048688861989</v>
      </c>
      <c r="C21" s="373">
        <v>177.78732524931328</v>
      </c>
      <c r="D21" s="199">
        <f t="shared" si="1"/>
        <v>0.12236023109263838</v>
      </c>
      <c r="O21" s="388" t="s">
        <v>329</v>
      </c>
      <c r="P21" s="389">
        <v>0</v>
      </c>
      <c r="Q21" s="389">
        <v>61.207000000000001</v>
      </c>
      <c r="R21" s="389">
        <v>-60.67</v>
      </c>
      <c r="S21" s="389">
        <v>0</v>
      </c>
      <c r="T21" s="389">
        <v>0</v>
      </c>
      <c r="U21" s="389">
        <v>0</v>
      </c>
      <c r="V21" s="389">
        <v>0</v>
      </c>
      <c r="W21" s="389">
        <v>0</v>
      </c>
      <c r="X21" s="389">
        <v>0</v>
      </c>
      <c r="Y21" s="389"/>
      <c r="Z21" s="389">
        <v>0.53699999999999903</v>
      </c>
      <c r="AB21" s="388" t="s">
        <v>329</v>
      </c>
      <c r="AC21" s="148"/>
      <c r="AD21" s="148">
        <v>43.8</v>
      </c>
      <c r="AE21" s="148">
        <v>-41.8</v>
      </c>
      <c r="AF21" s="148">
        <v>0.7</v>
      </c>
      <c r="AG21" s="148"/>
      <c r="AH21" s="148"/>
      <c r="AI21" s="148"/>
      <c r="AJ21" s="148"/>
      <c r="AK21" s="148"/>
      <c r="AL21" s="148"/>
      <c r="AM21" s="148">
        <v>2.7</v>
      </c>
    </row>
    <row r="22" spans="1:39">
      <c r="A22" s="373" t="s">
        <v>135</v>
      </c>
      <c r="B22" s="373">
        <v>14.09374994171168</v>
      </c>
      <c r="C22" s="373">
        <v>12.055217383225726</v>
      </c>
      <c r="D22" s="199">
        <f t="shared" si="1"/>
        <v>-0.14464089166593908</v>
      </c>
      <c r="O22" s="388" t="s">
        <v>330</v>
      </c>
      <c r="P22" s="389"/>
      <c r="Q22" s="389"/>
      <c r="R22" s="389"/>
      <c r="S22" s="389"/>
      <c r="T22" s="389"/>
      <c r="U22" s="389"/>
      <c r="V22" s="389"/>
      <c r="W22" s="389"/>
      <c r="X22" s="389"/>
      <c r="Y22" s="389"/>
      <c r="Z22" s="389"/>
      <c r="AB22" s="388" t="s">
        <v>330</v>
      </c>
      <c r="AC22" s="148"/>
      <c r="AD22" s="148"/>
      <c r="AE22" s="148"/>
      <c r="AF22" s="148"/>
      <c r="AG22" s="148"/>
      <c r="AH22" s="148"/>
      <c r="AI22" s="148"/>
      <c r="AJ22" s="148"/>
      <c r="AK22" s="148"/>
      <c r="AL22" s="148"/>
      <c r="AM22" s="148"/>
    </row>
    <row r="23" spans="1:39">
      <c r="A23" s="373" t="s">
        <v>136</v>
      </c>
      <c r="B23" s="373">
        <v>0</v>
      </c>
      <c r="C23" s="373">
        <v>0</v>
      </c>
      <c r="D23" s="372">
        <v>1</v>
      </c>
      <c r="O23" s="388" t="s">
        <v>331</v>
      </c>
      <c r="P23" s="389">
        <v>2.9093146706792772</v>
      </c>
      <c r="Q23" s="389">
        <v>-1.222</v>
      </c>
      <c r="R23" s="389">
        <v>1.208</v>
      </c>
      <c r="S23" s="389">
        <v>0</v>
      </c>
      <c r="T23" s="389">
        <v>0</v>
      </c>
      <c r="U23" s="389">
        <v>0</v>
      </c>
      <c r="V23" s="389">
        <v>0</v>
      </c>
      <c r="W23" s="389">
        <v>0</v>
      </c>
      <c r="X23" s="389">
        <v>0</v>
      </c>
      <c r="Y23" s="389"/>
      <c r="Z23" s="389">
        <v>2.8953146706792774</v>
      </c>
      <c r="AB23" s="388" t="s">
        <v>331</v>
      </c>
      <c r="AC23" s="148">
        <v>2.2968471180514451</v>
      </c>
      <c r="AD23" s="148"/>
      <c r="AE23" s="148"/>
      <c r="AF23" s="148"/>
      <c r="AG23" s="148"/>
      <c r="AH23" s="148"/>
      <c r="AI23" s="148"/>
      <c r="AJ23" s="148"/>
      <c r="AK23" s="148"/>
      <c r="AL23" s="148"/>
      <c r="AM23" s="148">
        <v>2.2968471180514451</v>
      </c>
    </row>
    <row r="24" spans="1:39">
      <c r="A24" s="356" t="s">
        <v>30</v>
      </c>
      <c r="B24" s="356">
        <v>490.38232702786451</v>
      </c>
      <c r="C24" s="356">
        <v>409.83913191138549</v>
      </c>
      <c r="D24" s="199">
        <f>C24/B24-1</f>
        <v>-0.16424571334909133</v>
      </c>
      <c r="O24" s="388" t="s">
        <v>332</v>
      </c>
      <c r="P24" s="389">
        <v>1.0374988057705168</v>
      </c>
      <c r="Q24" s="389">
        <v>0</v>
      </c>
      <c r="R24" s="389">
        <v>1.7969999999999999</v>
      </c>
      <c r="S24" s="389">
        <v>1.2420767288044043</v>
      </c>
      <c r="T24" s="389">
        <v>0</v>
      </c>
      <c r="U24" s="389">
        <v>0</v>
      </c>
      <c r="V24" s="389">
        <v>5.1017483519633131E-2</v>
      </c>
      <c r="W24" s="389">
        <v>2.7822871883061051</v>
      </c>
      <c r="X24" s="389">
        <v>5.632857184772793E-2</v>
      </c>
      <c r="Y24" s="389"/>
      <c r="Z24" s="389">
        <v>6.9662087782483875</v>
      </c>
      <c r="AB24" s="388" t="s">
        <v>332</v>
      </c>
      <c r="AC24" s="148">
        <v>1.0374988057705168</v>
      </c>
      <c r="AD24" s="148"/>
      <c r="AE24" s="148">
        <v>1.7969999999999999</v>
      </c>
      <c r="AF24" s="148">
        <v>1.2420767288044043</v>
      </c>
      <c r="AG24" s="148"/>
      <c r="AH24" s="148"/>
      <c r="AI24" s="148">
        <v>5.1017483519633131E-2</v>
      </c>
      <c r="AJ24" s="148">
        <v>2.7822871883061051</v>
      </c>
      <c r="AK24" s="148"/>
      <c r="AL24" s="148"/>
      <c r="AM24" s="148">
        <v>6.9098802064006595</v>
      </c>
    </row>
    <row r="25" spans="1:39">
      <c r="O25" s="388" t="s">
        <v>333</v>
      </c>
      <c r="P25" s="389">
        <v>0</v>
      </c>
      <c r="Q25" s="389">
        <v>0</v>
      </c>
      <c r="R25" s="389">
        <v>0</v>
      </c>
      <c r="S25" s="389">
        <v>0.46122098022355978</v>
      </c>
      <c r="T25" s="389">
        <v>0</v>
      </c>
      <c r="U25" s="389">
        <v>0</v>
      </c>
      <c r="V25" s="389">
        <v>0</v>
      </c>
      <c r="W25" s="389">
        <v>3.0435941530524504</v>
      </c>
      <c r="X25" s="389">
        <v>0.80882690971625104</v>
      </c>
      <c r="Y25" s="389"/>
      <c r="Z25" s="389">
        <v>4.3136420429922611</v>
      </c>
      <c r="AB25" s="388" t="s">
        <v>333</v>
      </c>
      <c r="AC25" s="148"/>
      <c r="AD25" s="148"/>
      <c r="AE25" s="148"/>
      <c r="AF25" s="148">
        <v>0.38984728173965927</v>
      </c>
      <c r="AG25" s="148"/>
      <c r="AH25" s="148"/>
      <c r="AI25" s="148"/>
      <c r="AJ25" s="148">
        <v>3.6528572872831524</v>
      </c>
      <c r="AK25" s="148">
        <v>0.69782200943712147</v>
      </c>
      <c r="AL25" s="148"/>
      <c r="AM25" s="148">
        <v>4.7405265784599333</v>
      </c>
    </row>
    <row r="26" spans="1:39" ht="15.75">
      <c r="O26" s="147" t="s">
        <v>334</v>
      </c>
      <c r="P26" s="188">
        <v>7.3774304293027715</v>
      </c>
      <c r="Q26" s="188">
        <v>59.756</v>
      </c>
      <c r="R26" s="188">
        <v>-54.735999999999997</v>
      </c>
      <c r="S26" s="188">
        <v>6.1903045568528725</v>
      </c>
      <c r="T26" s="188">
        <v>113.97587222178795</v>
      </c>
      <c r="U26" s="188">
        <v>7.1744464316423038</v>
      </c>
      <c r="V26" s="188">
        <v>4.5101509506066684</v>
      </c>
      <c r="W26" s="188">
        <v>-42.883404987102317</v>
      </c>
      <c r="X26" s="188">
        <v>-2.9598157669312917</v>
      </c>
      <c r="Y26" s="188"/>
      <c r="Z26" s="188">
        <v>98.404983836158948</v>
      </c>
      <c r="AB26" s="147" t="s">
        <v>334</v>
      </c>
      <c r="AC26" s="150">
        <v>6.3423971414801112</v>
      </c>
      <c r="AD26" s="150">
        <v>43.8</v>
      </c>
      <c r="AE26" s="150">
        <v>-39.989482395904595</v>
      </c>
      <c r="AF26" s="150">
        <v>6.5258549129358698</v>
      </c>
      <c r="AG26" s="150">
        <v>65.629101087401921</v>
      </c>
      <c r="AH26" s="150">
        <v>29.4067067927773</v>
      </c>
      <c r="AI26" s="150">
        <v>11.553339419077576</v>
      </c>
      <c r="AJ26" s="150">
        <v>-49.884717949174281</v>
      </c>
      <c r="AK26" s="150">
        <v>-2.649173301907485</v>
      </c>
      <c r="AL26" s="150"/>
      <c r="AM26" s="150">
        <v>70.734025706686424</v>
      </c>
    </row>
    <row r="27" spans="1:39" ht="15.75">
      <c r="O27" s="386"/>
      <c r="P27" s="390"/>
      <c r="Q27" s="390"/>
      <c r="R27" s="390"/>
      <c r="S27" s="390"/>
      <c r="T27" s="390"/>
      <c r="U27" s="390"/>
      <c r="V27" s="390"/>
      <c r="W27" s="390"/>
      <c r="X27" s="390"/>
      <c r="Y27" s="390"/>
      <c r="Z27" s="390"/>
      <c r="AB27" s="386"/>
      <c r="AC27" s="399"/>
      <c r="AD27" s="399"/>
      <c r="AE27" s="399"/>
      <c r="AF27" s="399"/>
      <c r="AG27" s="399"/>
      <c r="AH27" s="399"/>
      <c r="AI27" s="399"/>
      <c r="AJ27" s="399"/>
      <c r="AK27" s="399"/>
      <c r="AL27" s="399"/>
      <c r="AM27" s="399"/>
    </row>
    <row r="28" spans="1:39" ht="15.75">
      <c r="O28" s="392" t="s">
        <v>36</v>
      </c>
      <c r="P28" s="389">
        <v>1.0493092649428299</v>
      </c>
      <c r="Q28" s="389">
        <v>0</v>
      </c>
      <c r="R28" s="389">
        <v>2.3566094604778205</v>
      </c>
      <c r="S28" s="389">
        <v>10.203836493244836</v>
      </c>
      <c r="T28" s="389">
        <v>0</v>
      </c>
      <c r="U28" s="389">
        <v>0</v>
      </c>
      <c r="V28" s="389">
        <v>1.3655536447883825</v>
      </c>
      <c r="W28" s="389">
        <v>10.069552160227975</v>
      </c>
      <c r="X28" s="389">
        <v>1.1415347236508666</v>
      </c>
      <c r="Y28" s="389"/>
      <c r="Z28" s="393">
        <f>SUM(P28:X28)</f>
        <v>26.186395747332714</v>
      </c>
      <c r="AB28" s="392" t="s">
        <v>36</v>
      </c>
      <c r="AC28" s="148">
        <v>0</v>
      </c>
      <c r="AD28" s="148"/>
      <c r="AE28" s="148">
        <v>1.0730875511752636</v>
      </c>
      <c r="AF28" s="148">
        <v>13.294152227004508</v>
      </c>
      <c r="AG28" s="148"/>
      <c r="AH28" s="148"/>
      <c r="AI28" s="148">
        <v>3.649171362644728</v>
      </c>
      <c r="AJ28" s="148">
        <v>12.911615381211062</v>
      </c>
      <c r="AK28" s="148">
        <v>1.2964057938396278</v>
      </c>
      <c r="AL28" s="148"/>
      <c r="AM28" s="148">
        <v>32.224432315875184</v>
      </c>
    </row>
    <row r="29" spans="1:39" ht="15.75">
      <c r="A29" s="574" t="s">
        <v>732</v>
      </c>
      <c r="B29" s="574"/>
      <c r="C29" s="574"/>
      <c r="D29" s="574"/>
      <c r="O29" s="392" t="s">
        <v>137</v>
      </c>
      <c r="P29" s="389">
        <v>0</v>
      </c>
      <c r="Q29" s="389">
        <v>0</v>
      </c>
      <c r="R29" s="389">
        <v>39.807000000000002</v>
      </c>
      <c r="S29" s="389">
        <v>6.6215426095074262E-2</v>
      </c>
      <c r="T29" s="389">
        <v>0</v>
      </c>
      <c r="U29" s="389">
        <v>0</v>
      </c>
      <c r="V29" s="389">
        <v>2.9481554218018533</v>
      </c>
      <c r="W29" s="389">
        <v>0.9447119518486673</v>
      </c>
      <c r="X29" s="389">
        <v>0</v>
      </c>
      <c r="Y29" s="389"/>
      <c r="Z29" s="393">
        <f t="shared" ref="Z29:Z35" si="2">SUM(P29:X29)</f>
        <v>43.766082799745597</v>
      </c>
      <c r="AB29" s="392" t="s">
        <v>137</v>
      </c>
      <c r="AC29" s="148"/>
      <c r="AD29" s="148"/>
      <c r="AE29" s="148">
        <v>38.100409313607976</v>
      </c>
      <c r="AF29" s="148">
        <v>0.13735481837158875</v>
      </c>
      <c r="AG29" s="148"/>
      <c r="AH29" s="148"/>
      <c r="AI29" s="148">
        <v>2.677506933774958</v>
      </c>
      <c r="AJ29" s="148">
        <v>3.9999871042534281</v>
      </c>
      <c r="AK29" s="148"/>
      <c r="AL29" s="148"/>
      <c r="AM29" s="148">
        <v>44.915258170007952</v>
      </c>
    </row>
    <row r="30" spans="1:39">
      <c r="A30" s="146"/>
      <c r="B30" s="362">
        <v>2015</v>
      </c>
      <c r="C30" s="362">
        <v>2050</v>
      </c>
      <c r="D30" s="362" t="s">
        <v>735</v>
      </c>
      <c r="O30" s="388" t="s">
        <v>138</v>
      </c>
      <c r="P30" s="389">
        <v>3.6764196608413298E-2</v>
      </c>
      <c r="Q30" s="389">
        <v>0</v>
      </c>
      <c r="R30" s="389">
        <v>6.675295411054611</v>
      </c>
      <c r="S30" s="389">
        <v>11.782543572350074</v>
      </c>
      <c r="T30" s="389">
        <v>0</v>
      </c>
      <c r="U30" s="389">
        <v>0</v>
      </c>
      <c r="V30" s="389">
        <v>8.8384757709717583</v>
      </c>
      <c r="W30" s="389">
        <v>13.620367058142639</v>
      </c>
      <c r="X30" s="389">
        <v>1.211844363001864</v>
      </c>
      <c r="Y30" s="389"/>
      <c r="Z30" s="393">
        <f t="shared" si="2"/>
        <v>42.165290372129363</v>
      </c>
      <c r="AB30" s="388" t="s">
        <v>138</v>
      </c>
      <c r="AC30" s="148">
        <v>0</v>
      </c>
      <c r="AD30" s="148"/>
      <c r="AE30" s="148">
        <v>2.0170821352624189</v>
      </c>
      <c r="AF30" s="148">
        <v>7.1727810663365315</v>
      </c>
      <c r="AG30" s="148"/>
      <c r="AH30" s="148"/>
      <c r="AI30" s="148">
        <v>9.7264385420679833</v>
      </c>
      <c r="AJ30" s="148">
        <v>15.286958318943531</v>
      </c>
      <c r="AK30" s="148">
        <v>1.0365621137769325</v>
      </c>
      <c r="AL30" s="148"/>
      <c r="AM30" s="148">
        <v>35.239822176387399</v>
      </c>
    </row>
    <row r="31" spans="1:39">
      <c r="A31" s="373" t="s">
        <v>11</v>
      </c>
      <c r="B31" s="373">
        <v>0.50094355240087396</v>
      </c>
      <c r="C31" s="373">
        <v>0</v>
      </c>
      <c r="D31" s="199">
        <f t="shared" ref="D31:D36" si="3">C31/B31-1</f>
        <v>-1</v>
      </c>
      <c r="O31" s="388" t="s">
        <v>32</v>
      </c>
      <c r="P31" s="389">
        <v>4.3073392295861899E-2</v>
      </c>
      <c r="Q31" s="389">
        <v>0</v>
      </c>
      <c r="R31" s="389">
        <v>3.0154656446401722</v>
      </c>
      <c r="S31" s="389">
        <v>7.1387763292293327</v>
      </c>
      <c r="T31" s="389">
        <v>0</v>
      </c>
      <c r="U31" s="389">
        <v>0</v>
      </c>
      <c r="V31" s="389">
        <v>0.89658244032112444</v>
      </c>
      <c r="W31" s="389">
        <v>12.701365476499774</v>
      </c>
      <c r="X31" s="389">
        <v>0.710753475039681</v>
      </c>
      <c r="Y31" s="389"/>
      <c r="Z31" s="393">
        <f t="shared" si="2"/>
        <v>24.506016758025943</v>
      </c>
      <c r="AB31" s="388" t="s">
        <v>32</v>
      </c>
      <c r="AC31" s="148">
        <v>0</v>
      </c>
      <c r="AD31" s="148"/>
      <c r="AE31" s="148">
        <v>0.12488246649884401</v>
      </c>
      <c r="AF31" s="148">
        <v>3.8349408920734227</v>
      </c>
      <c r="AG31" s="148"/>
      <c r="AH31" s="148"/>
      <c r="AI31" s="148">
        <v>2.1322980353174916</v>
      </c>
      <c r="AJ31" s="148">
        <v>14.140138931424277</v>
      </c>
      <c r="AK31" s="148">
        <v>0.30975172323754574</v>
      </c>
      <c r="AL31" s="148"/>
      <c r="AM31" s="148">
        <v>20.542012048551584</v>
      </c>
    </row>
    <row r="32" spans="1:39" ht="30">
      <c r="A32" s="402" t="s">
        <v>314</v>
      </c>
      <c r="B32" s="373">
        <v>35.069865447165206</v>
      </c>
      <c r="C32" s="373">
        <v>1.4523830853815558</v>
      </c>
      <c r="D32" s="403">
        <f t="shared" si="3"/>
        <v>-0.95858600918872483</v>
      </c>
      <c r="O32" s="388" t="s">
        <v>34</v>
      </c>
      <c r="P32" s="389">
        <v>2.2137192704974398E-3</v>
      </c>
      <c r="Q32" s="389">
        <v>0</v>
      </c>
      <c r="R32" s="389">
        <v>3.371</v>
      </c>
      <c r="S32" s="389">
        <v>0.20038837309893262</v>
      </c>
      <c r="T32" s="389">
        <v>0</v>
      </c>
      <c r="U32" s="389">
        <v>0</v>
      </c>
      <c r="V32" s="389">
        <v>0.15947740517817902</v>
      </c>
      <c r="W32" s="389">
        <v>0.74651762682717115</v>
      </c>
      <c r="X32" s="389">
        <v>6.4536710533781346E-3</v>
      </c>
      <c r="Y32" s="389"/>
      <c r="Z32" s="393">
        <f t="shared" si="2"/>
        <v>4.4860507954281577</v>
      </c>
      <c r="AB32" s="388" t="s">
        <v>34</v>
      </c>
      <c r="AC32" s="148">
        <v>4.1273977321604864E-3</v>
      </c>
      <c r="AD32" s="148"/>
      <c r="AE32" s="148">
        <v>2.7793952558924033</v>
      </c>
      <c r="AF32" s="148">
        <v>0.19093704282845789</v>
      </c>
      <c r="AG32" s="148"/>
      <c r="AH32" s="148"/>
      <c r="AI32" s="148">
        <v>0.15947740517817902</v>
      </c>
      <c r="AJ32" s="148">
        <v>0.58100602790757705</v>
      </c>
      <c r="AK32" s="148">
        <v>6.4536710533781346E-3</v>
      </c>
      <c r="AL32" s="148"/>
      <c r="AM32" s="148">
        <v>3.7213968005921561</v>
      </c>
    </row>
    <row r="33" spans="1:39" ht="15.75">
      <c r="A33" s="373" t="s">
        <v>132</v>
      </c>
      <c r="B33" s="373">
        <v>83.023968708937147</v>
      </c>
      <c r="C33" s="373">
        <v>44.600362574813907</v>
      </c>
      <c r="D33" s="199">
        <f t="shared" si="3"/>
        <v>-0.46280136605884892</v>
      </c>
      <c r="O33" s="147" t="s">
        <v>139</v>
      </c>
      <c r="P33" s="188">
        <v>1.1313605731176026</v>
      </c>
      <c r="Q33" s="188">
        <v>0</v>
      </c>
      <c r="R33" s="188">
        <v>55.22537051617261</v>
      </c>
      <c r="S33" s="188">
        <v>29.391760194018246</v>
      </c>
      <c r="T33" s="188">
        <v>0</v>
      </c>
      <c r="U33" s="188">
        <v>0</v>
      </c>
      <c r="V33" s="188">
        <v>14.208244683061297</v>
      </c>
      <c r="W33" s="188">
        <v>38.082441502020473</v>
      </c>
      <c r="X33" s="188">
        <v>3.0705862327457898</v>
      </c>
      <c r="Y33" s="188"/>
      <c r="Z33" s="394">
        <f t="shared" si="2"/>
        <v>141.10976370113602</v>
      </c>
      <c r="AB33" s="147" t="s">
        <v>139</v>
      </c>
      <c r="AC33" s="150">
        <v>4.1273977321604864E-3</v>
      </c>
      <c r="AD33" s="150">
        <v>0</v>
      </c>
      <c r="AE33" s="150">
        <v>44.094856722436909</v>
      </c>
      <c r="AF33" s="150">
        <v>24.630166046614509</v>
      </c>
      <c r="AG33" s="150">
        <v>0</v>
      </c>
      <c r="AH33" s="150">
        <v>0</v>
      </c>
      <c r="AI33" s="150">
        <v>18.344892278983338</v>
      </c>
      <c r="AJ33" s="150">
        <v>46.919705763739877</v>
      </c>
      <c r="AK33" s="150">
        <v>2.6491733019074846</v>
      </c>
      <c r="AL33" s="150"/>
      <c r="AM33" s="150">
        <v>136.64292151141427</v>
      </c>
    </row>
    <row r="34" spans="1:39" ht="30">
      <c r="A34" s="402" t="s">
        <v>134</v>
      </c>
      <c r="B34" s="373">
        <v>10.427253780934677</v>
      </c>
      <c r="C34" s="373">
        <v>24.798626150742429</v>
      </c>
      <c r="D34" s="199">
        <f t="shared" si="3"/>
        <v>1.3782509442787854</v>
      </c>
      <c r="O34" s="388" t="s">
        <v>335</v>
      </c>
      <c r="P34" s="389">
        <v>0.30500413491505901</v>
      </c>
      <c r="Q34" s="389">
        <v>0</v>
      </c>
      <c r="R34" s="389">
        <v>12.452999999999999</v>
      </c>
      <c r="S34" s="389">
        <v>1.101586241324729</v>
      </c>
      <c r="T34" s="389">
        <v>0</v>
      </c>
      <c r="U34" s="389">
        <v>0</v>
      </c>
      <c r="V34" s="389">
        <v>0</v>
      </c>
      <c r="W34" s="389">
        <v>0</v>
      </c>
      <c r="X34" s="389">
        <v>0</v>
      </c>
      <c r="Y34" s="389"/>
      <c r="Z34" s="393">
        <f t="shared" si="2"/>
        <v>13.859590376239787</v>
      </c>
      <c r="AB34" s="388" t="s">
        <v>335</v>
      </c>
      <c r="AC34" s="149">
        <v>0.46963849531148855</v>
      </c>
      <c r="AD34" s="149"/>
      <c r="AE34" s="400">
        <v>16.615604489738832</v>
      </c>
      <c r="AF34" s="400">
        <v>1.1443514378287201</v>
      </c>
      <c r="AG34" s="149"/>
      <c r="AH34" s="149"/>
      <c r="AI34" s="149"/>
      <c r="AJ34" s="149"/>
      <c r="AK34" s="149"/>
      <c r="AL34" s="149"/>
      <c r="AM34" s="149">
        <v>18.229594422879043</v>
      </c>
    </row>
    <row r="35" spans="1:39" ht="15.75">
      <c r="A35" s="373" t="s">
        <v>316</v>
      </c>
      <c r="B35" s="373">
        <v>147.71688049169239</v>
      </c>
      <c r="C35" s="373">
        <v>164.44981577246435</v>
      </c>
      <c r="D35" s="199">
        <f t="shared" si="3"/>
        <v>0.11327706911406787</v>
      </c>
      <c r="O35" s="147" t="s">
        <v>336</v>
      </c>
      <c r="P35" s="188">
        <v>1.4363647080326616</v>
      </c>
      <c r="Q35" s="188">
        <v>0</v>
      </c>
      <c r="R35" s="188">
        <v>67.678370516172606</v>
      </c>
      <c r="S35" s="188">
        <v>30.493346435342975</v>
      </c>
      <c r="T35" s="188">
        <v>0</v>
      </c>
      <c r="U35" s="188">
        <v>0</v>
      </c>
      <c r="V35" s="188">
        <v>14.208244683061297</v>
      </c>
      <c r="W35" s="188">
        <v>38.082441502020473</v>
      </c>
      <c r="X35" s="188">
        <v>3.0705862327457898</v>
      </c>
      <c r="Y35" s="188"/>
      <c r="Z35" s="394">
        <f t="shared" si="2"/>
        <v>154.96935407737581</v>
      </c>
      <c r="AB35" s="147" t="s">
        <v>336</v>
      </c>
      <c r="AC35" s="150">
        <v>0.47376589304364902</v>
      </c>
      <c r="AD35" s="150">
        <v>0</v>
      </c>
      <c r="AE35" s="150">
        <v>60.710461212175744</v>
      </c>
      <c r="AF35" s="150">
        <v>25.77451748444323</v>
      </c>
      <c r="AG35" s="150">
        <v>0</v>
      </c>
      <c r="AH35" s="150">
        <v>0</v>
      </c>
      <c r="AI35" s="150">
        <v>18.344892278983338</v>
      </c>
      <c r="AJ35" s="150">
        <v>46.919705763739877</v>
      </c>
      <c r="AK35" s="150">
        <v>2.6491733019074846</v>
      </c>
      <c r="AL35" s="150"/>
      <c r="AM35" s="150">
        <v>154.87251593429332</v>
      </c>
    </row>
    <row r="36" spans="1:39">
      <c r="A36" s="373" t="s">
        <v>135</v>
      </c>
      <c r="B36" s="373">
        <v>8.2660629147114904</v>
      </c>
      <c r="C36" s="373">
        <v>3.6024125412526571</v>
      </c>
      <c r="D36" s="199">
        <f t="shared" si="3"/>
        <v>-0.56419246037417903</v>
      </c>
    </row>
    <row r="37" spans="1:39">
      <c r="A37" s="373" t="s">
        <v>136</v>
      </c>
      <c r="B37" s="373">
        <v>0</v>
      </c>
      <c r="C37" s="373">
        <v>0</v>
      </c>
      <c r="D37" s="372">
        <v>1</v>
      </c>
    </row>
    <row r="38" spans="1:39">
      <c r="A38" s="356" t="s">
        <v>30</v>
      </c>
      <c r="B38" s="356">
        <v>285.00497489584171</v>
      </c>
      <c r="C38" s="356">
        <v>238.90360012465493</v>
      </c>
      <c r="D38" s="199">
        <f>C38/B38-1</f>
        <v>-0.1617563861404</v>
      </c>
      <c r="P38" s="389">
        <f>11.63*P28</f>
        <v>12.203466751285113</v>
      </c>
      <c r="Q38" s="389">
        <f t="shared" ref="Q38:AM38" si="4">11.63*Q28</f>
        <v>0</v>
      </c>
      <c r="R38" s="389">
        <f t="shared" si="4"/>
        <v>27.407368025357055</v>
      </c>
      <c r="S38" s="389">
        <f t="shared" si="4"/>
        <v>118.67061841643745</v>
      </c>
      <c r="T38" s="389">
        <f t="shared" si="4"/>
        <v>0</v>
      </c>
      <c r="U38" s="389">
        <f t="shared" si="4"/>
        <v>0</v>
      </c>
      <c r="V38" s="389">
        <f t="shared" si="4"/>
        <v>15.881388888888889</v>
      </c>
      <c r="W38" s="389">
        <f t="shared" si="4"/>
        <v>117.10889162345136</v>
      </c>
      <c r="X38" s="389">
        <f t="shared" si="4"/>
        <v>13.27604883605958</v>
      </c>
      <c r="Y38" s="389">
        <f t="shared" si="4"/>
        <v>0</v>
      </c>
      <c r="Z38" s="389">
        <f t="shared" si="4"/>
        <v>304.54778254147948</v>
      </c>
      <c r="AA38" s="389"/>
      <c r="AB38" s="389"/>
      <c r="AC38" s="389">
        <f t="shared" si="4"/>
        <v>0</v>
      </c>
      <c r="AD38" s="389">
        <f t="shared" si="4"/>
        <v>0</v>
      </c>
      <c r="AE38" s="389">
        <f t="shared" si="4"/>
        <v>12.480008220168315</v>
      </c>
      <c r="AF38" s="389">
        <f t="shared" si="4"/>
        <v>154.61099040006243</v>
      </c>
      <c r="AG38" s="389">
        <f t="shared" si="4"/>
        <v>0</v>
      </c>
      <c r="AH38" s="389">
        <f t="shared" si="4"/>
        <v>0</v>
      </c>
      <c r="AI38" s="389">
        <f t="shared" si="4"/>
        <v>42.43986294755819</v>
      </c>
      <c r="AJ38" s="389">
        <f t="shared" si="4"/>
        <v>150.16208688348468</v>
      </c>
      <c r="AK38" s="389">
        <f t="shared" si="4"/>
        <v>15.077199382354873</v>
      </c>
      <c r="AL38" s="389">
        <f t="shared" si="4"/>
        <v>0</v>
      </c>
      <c r="AM38" s="389">
        <f t="shared" si="4"/>
        <v>374.77014783362841</v>
      </c>
    </row>
    <row r="39" spans="1:39">
      <c r="P39" s="389"/>
      <c r="Q39" s="389"/>
      <c r="R39" s="389"/>
      <c r="S39" s="389"/>
      <c r="T39" s="389"/>
      <c r="U39" s="389"/>
      <c r="V39" s="389"/>
      <c r="W39" s="389"/>
      <c r="X39" s="389"/>
      <c r="Y39" s="389"/>
      <c r="Z39" s="389"/>
      <c r="AC39" s="389"/>
      <c r="AD39" s="389"/>
      <c r="AE39" s="389"/>
      <c r="AF39" s="389"/>
      <c r="AG39" s="389"/>
      <c r="AH39" s="389"/>
      <c r="AI39" s="389"/>
      <c r="AJ39" s="389"/>
      <c r="AK39" s="389"/>
      <c r="AL39" s="389"/>
      <c r="AM39" s="389"/>
    </row>
    <row r="40" spans="1:39">
      <c r="P40" s="389">
        <f t="shared" ref="P40:Z41" si="5">11.63*P30</f>
        <v>0.42756760655584669</v>
      </c>
      <c r="Q40" s="389">
        <f t="shared" si="5"/>
        <v>0</v>
      </c>
      <c r="R40" s="389">
        <f t="shared" si="5"/>
        <v>77.633685630565125</v>
      </c>
      <c r="S40" s="389">
        <f t="shared" si="5"/>
        <v>137.03098174643137</v>
      </c>
      <c r="T40" s="389">
        <f t="shared" si="5"/>
        <v>0</v>
      </c>
      <c r="U40" s="389">
        <f t="shared" si="5"/>
        <v>0</v>
      </c>
      <c r="V40" s="389">
        <f t="shared" si="5"/>
        <v>102.79147321640156</v>
      </c>
      <c r="W40" s="389">
        <f t="shared" si="5"/>
        <v>158.4048688861989</v>
      </c>
      <c r="X40" s="389">
        <f t="shared" si="5"/>
        <v>14.09374994171168</v>
      </c>
      <c r="Y40" s="389">
        <f t="shared" si="5"/>
        <v>0</v>
      </c>
      <c r="Z40" s="389">
        <f t="shared" si="5"/>
        <v>490.38232702786451</v>
      </c>
      <c r="AC40" s="389">
        <f t="shared" ref="AC40:AM40" si="6">11.63*AC30</f>
        <v>0</v>
      </c>
      <c r="AD40" s="389">
        <f t="shared" si="6"/>
        <v>0</v>
      </c>
      <c r="AE40" s="389">
        <f t="shared" si="6"/>
        <v>23.458665233101932</v>
      </c>
      <c r="AF40" s="389">
        <f t="shared" si="6"/>
        <v>83.41944380149387</v>
      </c>
      <c r="AG40" s="389">
        <f t="shared" si="6"/>
        <v>0</v>
      </c>
      <c r="AH40" s="389">
        <f t="shared" si="6"/>
        <v>0</v>
      </c>
      <c r="AI40" s="389">
        <f t="shared" si="6"/>
        <v>113.11848024425065</v>
      </c>
      <c r="AJ40" s="389">
        <f t="shared" si="6"/>
        <v>177.78732524931328</v>
      </c>
      <c r="AK40" s="389">
        <f t="shared" si="6"/>
        <v>12.055217383225726</v>
      </c>
      <c r="AL40" s="389">
        <f t="shared" si="6"/>
        <v>0</v>
      </c>
      <c r="AM40" s="389">
        <f t="shared" si="6"/>
        <v>409.83913191138549</v>
      </c>
    </row>
    <row r="41" spans="1:39">
      <c r="P41" s="389">
        <f t="shared" si="5"/>
        <v>0.50094355240087396</v>
      </c>
      <c r="Q41" s="389">
        <f t="shared" si="5"/>
        <v>0</v>
      </c>
      <c r="R41" s="389">
        <f t="shared" si="5"/>
        <v>35.069865447165206</v>
      </c>
      <c r="S41" s="389">
        <f t="shared" si="5"/>
        <v>83.023968708937147</v>
      </c>
      <c r="T41" s="389">
        <f t="shared" si="5"/>
        <v>0</v>
      </c>
      <c r="U41" s="389">
        <f t="shared" si="5"/>
        <v>0</v>
      </c>
      <c r="V41" s="389">
        <f t="shared" si="5"/>
        <v>10.427253780934677</v>
      </c>
      <c r="W41" s="389">
        <f t="shared" si="5"/>
        <v>147.71688049169239</v>
      </c>
      <c r="X41" s="389">
        <f t="shared" si="5"/>
        <v>8.2660629147114904</v>
      </c>
      <c r="Y41" s="389">
        <f t="shared" si="5"/>
        <v>0</v>
      </c>
      <c r="Z41" s="389">
        <f t="shared" si="5"/>
        <v>285.00497489584171</v>
      </c>
      <c r="AC41" s="389">
        <f t="shared" ref="AC41:AM41" si="7">11.63*AC31</f>
        <v>0</v>
      </c>
      <c r="AD41" s="389">
        <f t="shared" si="7"/>
        <v>0</v>
      </c>
      <c r="AE41" s="389">
        <f t="shared" si="7"/>
        <v>1.4523830853815558</v>
      </c>
      <c r="AF41" s="389">
        <f t="shared" si="7"/>
        <v>44.600362574813907</v>
      </c>
      <c r="AG41" s="389">
        <f t="shared" si="7"/>
        <v>0</v>
      </c>
      <c r="AH41" s="389">
        <f t="shared" si="7"/>
        <v>0</v>
      </c>
      <c r="AI41" s="389">
        <f t="shared" si="7"/>
        <v>24.798626150742429</v>
      </c>
      <c r="AJ41" s="389">
        <f t="shared" si="7"/>
        <v>164.44981577246435</v>
      </c>
      <c r="AK41" s="389">
        <f t="shared" si="7"/>
        <v>3.6024125412526571</v>
      </c>
      <c r="AL41" s="389">
        <f t="shared" si="7"/>
        <v>0</v>
      </c>
      <c r="AM41" s="389">
        <f t="shared" si="7"/>
        <v>238.90360012465493</v>
      </c>
    </row>
    <row r="43" spans="1:39">
      <c r="P43" s="389">
        <v>12.203466751285113</v>
      </c>
      <c r="Q43" s="389">
        <v>0</v>
      </c>
      <c r="R43" s="389">
        <v>27.407368025357055</v>
      </c>
      <c r="S43" s="389">
        <v>118.67061841643745</v>
      </c>
      <c r="T43" s="389">
        <v>0</v>
      </c>
      <c r="U43" s="389">
        <v>0</v>
      </c>
      <c r="V43" s="389">
        <v>15.881388888888889</v>
      </c>
      <c r="W43" s="389">
        <v>117.10889162345136</v>
      </c>
      <c r="X43" s="389">
        <v>13.27604883605958</v>
      </c>
      <c r="Y43" s="389">
        <v>0</v>
      </c>
      <c r="Z43" s="389">
        <v>304.54778254147948</v>
      </c>
      <c r="AC43" s="395">
        <v>0</v>
      </c>
      <c r="AD43" s="395">
        <v>0</v>
      </c>
      <c r="AE43" s="395">
        <v>12.480008220168315</v>
      </c>
      <c r="AF43" s="395">
        <v>154.61099040006243</v>
      </c>
      <c r="AG43" s="395">
        <v>0</v>
      </c>
      <c r="AH43" s="395">
        <v>0</v>
      </c>
      <c r="AI43" s="395">
        <v>42.43986294755819</v>
      </c>
      <c r="AJ43" s="395">
        <v>150.16208688348468</v>
      </c>
      <c r="AK43" s="395">
        <v>15.077199382354873</v>
      </c>
      <c r="AL43" s="395">
        <v>0</v>
      </c>
      <c r="AM43" s="395">
        <v>374.77014783362841</v>
      </c>
    </row>
    <row r="44" spans="1:39">
      <c r="P44" s="389"/>
      <c r="Q44" s="389"/>
      <c r="R44" s="389"/>
      <c r="S44" s="389"/>
      <c r="T44" s="389"/>
      <c r="U44" s="389"/>
      <c r="V44" s="389"/>
      <c r="W44" s="389"/>
      <c r="X44" s="389"/>
      <c r="Y44" s="389"/>
      <c r="Z44" s="389"/>
      <c r="AC44" s="395"/>
      <c r="AD44" s="395"/>
      <c r="AE44" s="395"/>
      <c r="AF44" s="395"/>
      <c r="AG44" s="395"/>
      <c r="AH44" s="395"/>
      <c r="AI44" s="395"/>
      <c r="AJ44" s="395"/>
      <c r="AK44" s="395"/>
      <c r="AL44" s="395"/>
      <c r="AM44" s="395"/>
    </row>
    <row r="45" spans="1:39">
      <c r="P45" s="389">
        <v>0.42756760655584669</v>
      </c>
      <c r="Q45" s="389">
        <v>0</v>
      </c>
      <c r="R45" s="389">
        <v>77.633685630565125</v>
      </c>
      <c r="S45" s="389">
        <v>137.03098174643137</v>
      </c>
      <c r="T45" s="389">
        <v>0</v>
      </c>
      <c r="U45" s="389">
        <v>0</v>
      </c>
      <c r="V45" s="389">
        <v>102.79147321640156</v>
      </c>
      <c r="W45" s="389">
        <v>158.4048688861989</v>
      </c>
      <c r="X45" s="389">
        <v>14.09374994171168</v>
      </c>
      <c r="Y45" s="389">
        <v>0</v>
      </c>
      <c r="Z45" s="389">
        <v>490.38232702786451</v>
      </c>
      <c r="AC45" s="395">
        <v>0</v>
      </c>
      <c r="AD45" s="395">
        <v>0</v>
      </c>
      <c r="AE45" s="395">
        <v>23.458665233101932</v>
      </c>
      <c r="AF45" s="395">
        <v>83.41944380149387</v>
      </c>
      <c r="AG45" s="395">
        <v>0</v>
      </c>
      <c r="AH45" s="395">
        <v>0</v>
      </c>
      <c r="AI45" s="395">
        <v>113.11848024425065</v>
      </c>
      <c r="AJ45" s="395">
        <v>177.78732524931328</v>
      </c>
      <c r="AK45" s="395">
        <v>12.055217383225726</v>
      </c>
      <c r="AL45" s="395">
        <v>0</v>
      </c>
      <c r="AM45" s="395">
        <v>409.83913191138549</v>
      </c>
    </row>
    <row r="46" spans="1:39">
      <c r="P46" s="395">
        <v>0.50094355240087396</v>
      </c>
      <c r="Q46" s="395">
        <v>0</v>
      </c>
      <c r="R46" s="395">
        <v>35.069865447165206</v>
      </c>
      <c r="S46" s="395">
        <v>83.023968708937147</v>
      </c>
      <c r="T46" s="395">
        <v>0</v>
      </c>
      <c r="U46" s="395">
        <v>0</v>
      </c>
      <c r="V46" s="395">
        <v>10.427253780934677</v>
      </c>
      <c r="W46" s="395">
        <v>147.71688049169239</v>
      </c>
      <c r="X46" s="395">
        <v>8.2660629147114904</v>
      </c>
      <c r="Y46" s="395">
        <v>0</v>
      </c>
      <c r="Z46" s="395">
        <v>285.00497489584171</v>
      </c>
      <c r="AC46" s="395">
        <v>0</v>
      </c>
      <c r="AD46" s="395">
        <v>0</v>
      </c>
      <c r="AE46" s="395">
        <v>1.4523830853815558</v>
      </c>
      <c r="AF46" s="395">
        <v>44.600362574813907</v>
      </c>
      <c r="AG46" s="395">
        <v>0</v>
      </c>
      <c r="AH46" s="395">
        <v>0</v>
      </c>
      <c r="AI46" s="395">
        <v>24.798626150742429</v>
      </c>
      <c r="AJ46" s="395">
        <v>164.44981577246435</v>
      </c>
      <c r="AK46" s="395">
        <v>3.6024125412526571</v>
      </c>
      <c r="AL46" s="395">
        <v>0</v>
      </c>
      <c r="AM46" s="395">
        <v>238.90360012465493</v>
      </c>
    </row>
  </sheetData>
  <mergeCells count="3">
    <mergeCell ref="A1:D1"/>
    <mergeCell ref="A15:D15"/>
    <mergeCell ref="A29:D29"/>
  </mergeCells>
  <conditionalFormatting sqref="P35:Y35 P7:Z28 P29:Y33 Z29:Z35">
    <cfRule type="cellIs" dxfId="34" priority="43" operator="equal">
      <formula>0</formula>
    </cfRule>
  </conditionalFormatting>
  <conditionalFormatting sqref="P34:Y34">
    <cfRule type="cellIs" dxfId="33" priority="42" operator="equal">
      <formula>0</formula>
    </cfRule>
  </conditionalFormatting>
  <conditionalFormatting sqref="P6:Z6">
    <cfRule type="cellIs" dxfId="32" priority="41" operator="equal">
      <formula>0</formula>
    </cfRule>
  </conditionalFormatting>
  <conditionalFormatting sqref="A10:C10">
    <cfRule type="cellIs" dxfId="31" priority="7" operator="equal">
      <formula>0</formula>
    </cfRule>
  </conditionalFormatting>
  <conditionalFormatting sqref="P38:Z41 AA38:AM38 AC39:AM41">
    <cfRule type="cellIs" dxfId="30" priority="39" operator="equal">
      <formula>0</formula>
    </cfRule>
  </conditionalFormatting>
  <conditionalFormatting sqref="P43:Z45">
    <cfRule type="cellIs" dxfId="29" priority="37" operator="equal">
      <formula>0</formula>
    </cfRule>
  </conditionalFormatting>
  <conditionalFormatting sqref="AC6:AM6">
    <cfRule type="cellIs" dxfId="28" priority="30" operator="equal">
      <formula>0</formula>
    </cfRule>
  </conditionalFormatting>
  <conditionalFormatting sqref="AC35:AM35 AC7:AF7 AC18:AM19 AC17:AI17 AK17:AM17 AC10:AM16 AK8:AM9 AJ7:AM7 AD23:AM23 AC24:AM27 AC21:AM22 AC20:AH20 AJ20:AM20 AC33:AM33 AC28:AE32 AG28:AH32 AJ28:AM32">
    <cfRule type="cellIs" dxfId="27" priority="32" operator="equal">
      <formula>0</formula>
    </cfRule>
  </conditionalFormatting>
  <conditionalFormatting sqref="AC34:AL34">
    <cfRule type="cellIs" dxfId="26" priority="31" operator="equal">
      <formula>0</formula>
    </cfRule>
  </conditionalFormatting>
  <conditionalFormatting sqref="AM34">
    <cfRule type="cellIs" dxfId="25" priority="29" operator="equal">
      <formula>0</formula>
    </cfRule>
  </conditionalFormatting>
  <conditionalFormatting sqref="AJ17">
    <cfRule type="cellIs" dxfId="24" priority="28" operator="equal">
      <formula>0</formula>
    </cfRule>
  </conditionalFormatting>
  <conditionalFormatting sqref="AJ8:AJ9">
    <cfRule type="cellIs" dxfId="23" priority="27" operator="equal">
      <formula>0</formula>
    </cfRule>
  </conditionalFormatting>
  <conditionalFormatting sqref="AC8:AD9 AG8:AH9">
    <cfRule type="cellIs" dxfId="22" priority="26" operator="equal">
      <formula>0</formula>
    </cfRule>
  </conditionalFormatting>
  <conditionalFormatting sqref="AE8:AE9">
    <cfRule type="cellIs" dxfId="21" priority="25" operator="equal">
      <formula>0</formula>
    </cfRule>
  </conditionalFormatting>
  <conditionalFormatting sqref="AG7">
    <cfRule type="cellIs" dxfId="20" priority="24" operator="equal">
      <formula>0</formula>
    </cfRule>
  </conditionalFormatting>
  <conditionalFormatting sqref="AH7">
    <cfRule type="cellIs" dxfId="19" priority="23" operator="equal">
      <formula>0</formula>
    </cfRule>
  </conditionalFormatting>
  <conditionalFormatting sqref="AF8:AF9">
    <cfRule type="cellIs" dxfId="18" priority="22" operator="equal">
      <formula>0</formula>
    </cfRule>
  </conditionalFormatting>
  <conditionalFormatting sqref="AI8:AI9">
    <cfRule type="cellIs" dxfId="17" priority="21" operator="equal">
      <formula>0</formula>
    </cfRule>
  </conditionalFormatting>
  <conditionalFormatting sqref="AC23">
    <cfRule type="cellIs" dxfId="16" priority="20" operator="equal">
      <formula>0</formula>
    </cfRule>
  </conditionalFormatting>
  <conditionalFormatting sqref="AI20">
    <cfRule type="cellIs" dxfId="15" priority="19" operator="equal">
      <formula>0</formula>
    </cfRule>
  </conditionalFormatting>
  <conditionalFormatting sqref="AF28:AF32">
    <cfRule type="cellIs" dxfId="14" priority="18" operator="equal">
      <formula>0</formula>
    </cfRule>
  </conditionalFormatting>
  <conditionalFormatting sqref="AI28">
    <cfRule type="cellIs" dxfId="13" priority="17" operator="equal">
      <formula>0</formula>
    </cfRule>
  </conditionalFormatting>
  <conditionalFormatting sqref="AI29">
    <cfRule type="cellIs" dxfId="12" priority="16" operator="equal">
      <formula>0</formula>
    </cfRule>
  </conditionalFormatting>
  <conditionalFormatting sqref="AI30">
    <cfRule type="cellIs" dxfId="11" priority="15" operator="equal">
      <formula>0</formula>
    </cfRule>
  </conditionalFormatting>
  <conditionalFormatting sqref="AI31">
    <cfRule type="cellIs" dxfId="10" priority="14" operator="equal">
      <formula>0</formula>
    </cfRule>
  </conditionalFormatting>
  <conditionalFormatting sqref="AI32">
    <cfRule type="cellIs" dxfId="9" priority="13" operator="equal">
      <formula>0</formula>
    </cfRule>
  </conditionalFormatting>
  <conditionalFormatting sqref="AI7">
    <cfRule type="cellIs" dxfId="8" priority="12" operator="equal">
      <formula>0</formula>
    </cfRule>
  </conditionalFormatting>
  <conditionalFormatting sqref="D3:D10">
    <cfRule type="iconSet" priority="8">
      <iconSet iconSet="3Arrows">
        <cfvo type="percent" val="0"/>
        <cfvo type="num" val="-0.05"/>
        <cfvo type="num" val="0.05"/>
      </iconSet>
    </cfRule>
  </conditionalFormatting>
  <conditionalFormatting sqref="A24:C24">
    <cfRule type="cellIs" dxfId="7" priority="3" operator="equal">
      <formula>0</formula>
    </cfRule>
  </conditionalFormatting>
  <conditionalFormatting sqref="D17:D24">
    <cfRule type="iconSet" priority="4">
      <iconSet iconSet="3Arrows">
        <cfvo type="percent" val="0"/>
        <cfvo type="num" val="-0.05"/>
        <cfvo type="num" val="0.05"/>
      </iconSet>
    </cfRule>
  </conditionalFormatting>
  <conditionalFormatting sqref="A38:C38">
    <cfRule type="cellIs" dxfId="6" priority="1" operator="equal">
      <formula>0</formula>
    </cfRule>
  </conditionalFormatting>
  <conditionalFormatting sqref="D31:D38">
    <cfRule type="iconSet" priority="2">
      <iconSet iconSet="3Arrows">
        <cfvo type="percent" val="0"/>
        <cfvo type="num" val="-0.05"/>
        <cfvo type="num" val="0.05"/>
      </iconSet>
    </cfRule>
  </conditionalFormatting>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I53"/>
  <sheetViews>
    <sheetView topLeftCell="A4" workbookViewId="0">
      <selection activeCell="F33" sqref="F33"/>
    </sheetView>
  </sheetViews>
  <sheetFormatPr baseColWidth="10" defaultRowHeight="15"/>
  <cols>
    <col min="1" max="1" width="44.140625" customWidth="1"/>
    <col min="3" max="3" width="14.140625" customWidth="1"/>
    <col min="4" max="4" width="15" customWidth="1"/>
    <col min="5" max="5" width="15.28515625" customWidth="1"/>
    <col min="6" max="6" width="14.28515625" customWidth="1"/>
    <col min="7" max="7" width="12.42578125" customWidth="1"/>
    <col min="8" max="8" width="11.85546875" customWidth="1"/>
  </cols>
  <sheetData>
    <row r="1" spans="1:8" ht="15.75" thickBot="1">
      <c r="A1" s="197" t="s">
        <v>616</v>
      </c>
    </row>
    <row r="2" spans="1:8">
      <c r="B2" s="582" t="s">
        <v>418</v>
      </c>
      <c r="C2" s="582"/>
      <c r="D2" s="195" t="s">
        <v>266</v>
      </c>
      <c r="E2" s="580" t="s">
        <v>564</v>
      </c>
      <c r="F2" s="146"/>
    </row>
    <row r="3" spans="1:8">
      <c r="B3" s="196">
        <v>2015</v>
      </c>
      <c r="C3" s="196">
        <v>2050</v>
      </c>
      <c r="D3" s="195">
        <v>2050</v>
      </c>
      <c r="E3" s="581"/>
      <c r="F3" s="146"/>
    </row>
    <row r="4" spans="1:8">
      <c r="A4" s="188" t="str">
        <f>'Bilan Energétique'!A25</f>
        <v>Consommation nette de la branche énergie</v>
      </c>
      <c r="B4" s="192">
        <v>1144.4499620145286</v>
      </c>
      <c r="C4" s="193">
        <v>822.63671896876315</v>
      </c>
      <c r="D4" s="193">
        <f>'Bilan Energétique'!B25</f>
        <v>1090.8923325822207</v>
      </c>
      <c r="E4" s="199">
        <f>D4/B4-1</f>
        <v>-4.6797703010127867E-2</v>
      </c>
      <c r="H4" s="146"/>
    </row>
    <row r="5" spans="1:8">
      <c r="A5" s="191" t="str">
        <f>'Bilan Energétique'!A27</f>
        <v>Industrie</v>
      </c>
      <c r="B5" s="189">
        <v>304.54778254147948</v>
      </c>
      <c r="C5" s="148">
        <v>374.77014783362841</v>
      </c>
      <c r="D5" s="148">
        <f>'Bilan Energétique'!B27</f>
        <v>383.37462063362841</v>
      </c>
      <c r="E5" s="199">
        <f t="shared" ref="E5:E12" si="0">D5/B5-1</f>
        <v>0.25883241517745303</v>
      </c>
      <c r="G5" s="146"/>
      <c r="H5" s="146"/>
    </row>
    <row r="6" spans="1:8">
      <c r="A6" s="191" t="str">
        <f>'Bilan Energétique'!A28</f>
        <v xml:space="preserve">Résidentiel </v>
      </c>
      <c r="B6" s="189">
        <v>490.38232702786451</v>
      </c>
      <c r="C6" s="148">
        <v>409.83913191138549</v>
      </c>
      <c r="D6" s="148">
        <f>'Bilan Energétique'!B28</f>
        <v>409.83913191138544</v>
      </c>
      <c r="E6" s="199">
        <f t="shared" si="0"/>
        <v>-0.16424571334909144</v>
      </c>
      <c r="G6" s="146"/>
      <c r="H6" s="146"/>
    </row>
    <row r="7" spans="1:8">
      <c r="A7" s="191" t="str">
        <f>'Bilan Energétique'!A29</f>
        <v>Tertiaire</v>
      </c>
      <c r="B7" s="189">
        <v>285.00497489584171</v>
      </c>
      <c r="C7" s="148">
        <v>238.90360012465493</v>
      </c>
      <c r="D7" s="148">
        <f>'Bilan Energétique'!B29</f>
        <v>238.90360012465487</v>
      </c>
      <c r="E7" s="199">
        <f t="shared" si="0"/>
        <v>-0.16175638614040022</v>
      </c>
      <c r="G7" s="146"/>
      <c r="H7" s="146"/>
    </row>
    <row r="8" spans="1:8">
      <c r="A8" s="191" t="str">
        <f>'Bilan Energétique'!A30</f>
        <v>Transports</v>
      </c>
      <c r="B8" s="189">
        <v>508.9995429610413</v>
      </c>
      <c r="C8" s="148">
        <v>522.36445251719249</v>
      </c>
      <c r="D8" s="148">
        <f>'Bilan Energétique'!B30</f>
        <v>480.72564142637162</v>
      </c>
      <c r="E8" s="199">
        <f t="shared" si="0"/>
        <v>-5.5547990024096605E-2</v>
      </c>
      <c r="G8" s="146"/>
      <c r="H8" s="146"/>
    </row>
    <row r="9" spans="1:8">
      <c r="A9" s="191" t="str">
        <f>'Bilan Energétique'!A31</f>
        <v>Agriculture</v>
      </c>
      <c r="B9" s="189">
        <v>52.172770750829478</v>
      </c>
      <c r="C9" s="148">
        <v>43.279844790886777</v>
      </c>
      <c r="D9" s="148">
        <f>'Bilan Energétique'!B31</f>
        <v>60.563629406720729</v>
      </c>
      <c r="E9" s="199">
        <f t="shared" si="0"/>
        <v>0.16082831207038861</v>
      </c>
      <c r="G9" s="146"/>
      <c r="H9" s="146"/>
    </row>
    <row r="10" spans="1:8">
      <c r="A10" s="188" t="str">
        <f>'Bilan Energétique'!A32</f>
        <v>Consommation finale énergétique</v>
      </c>
      <c r="B10" s="190">
        <v>1641.1065518442119</v>
      </c>
      <c r="C10" s="150">
        <v>1589.1571771777481</v>
      </c>
      <c r="D10" s="150">
        <f>'Bilan Energétique'!B32</f>
        <v>1573.4066235027612</v>
      </c>
      <c r="E10" s="199">
        <f t="shared" si="0"/>
        <v>-4.1252609871901491E-2</v>
      </c>
      <c r="G10" s="146"/>
      <c r="H10" s="146"/>
    </row>
    <row r="11" spans="1:8">
      <c r="A11" s="191" t="str">
        <f>'Bilan Energétique'!A33</f>
        <v>Consommation finale non énergétique</v>
      </c>
      <c r="B11" s="189">
        <v>161.18703607566874</v>
      </c>
      <c r="C11" s="149">
        <v>212.01018313808328</v>
      </c>
      <c r="D11" s="149">
        <f>'Bilan Energétique'!B33</f>
        <v>221.58236543761063</v>
      </c>
      <c r="E11" s="199">
        <f t="shared" si="0"/>
        <v>0.37469098528239875</v>
      </c>
      <c r="G11" s="146"/>
      <c r="H11" s="146"/>
    </row>
    <row r="12" spans="1:8">
      <c r="A12" s="188" t="str">
        <f>'Bilan Energétique'!A34</f>
        <v>Consommation finale</v>
      </c>
      <c r="B12" s="190">
        <v>1802.2935879198808</v>
      </c>
      <c r="C12" s="150">
        <v>1801.1673603158315</v>
      </c>
      <c r="D12" s="150">
        <f>'Bilan Energétique'!B34</f>
        <v>1794.9889889403719</v>
      </c>
      <c r="E12" s="199">
        <f t="shared" si="0"/>
        <v>-4.0529462172361752E-3</v>
      </c>
      <c r="G12" s="146"/>
      <c r="H12" s="146"/>
    </row>
    <row r="15" spans="1:8" ht="15.75" thickBot="1">
      <c r="A15" s="197" t="s">
        <v>419</v>
      </c>
    </row>
    <row r="16" spans="1:8" s="146" customFormat="1">
      <c r="A16" s="282"/>
      <c r="B16" s="283"/>
      <c r="C16" s="587" t="s">
        <v>417</v>
      </c>
      <c r="D16" s="587"/>
      <c r="E16" s="587"/>
      <c r="F16" s="290" t="s">
        <v>266</v>
      </c>
    </row>
    <row r="17" spans="1:9">
      <c r="C17" s="588" t="s">
        <v>416</v>
      </c>
      <c r="D17" s="588"/>
      <c r="E17" s="588"/>
      <c r="F17" s="291" t="s">
        <v>416</v>
      </c>
      <c r="G17" s="578" t="s">
        <v>563</v>
      </c>
      <c r="H17" s="579"/>
    </row>
    <row r="18" spans="1:9" s="146" customFormat="1">
      <c r="C18" s="123">
        <v>1990</v>
      </c>
      <c r="D18" s="123">
        <v>2015</v>
      </c>
      <c r="E18" s="123" t="s">
        <v>565</v>
      </c>
      <c r="F18" s="123" t="s">
        <v>472</v>
      </c>
      <c r="G18" s="123">
        <v>1990</v>
      </c>
      <c r="H18" s="123">
        <v>2015</v>
      </c>
    </row>
    <row r="19" spans="1:9" ht="16.5" thickBot="1">
      <c r="A19" s="262" t="s">
        <v>560</v>
      </c>
      <c r="B19" s="263" t="s">
        <v>533</v>
      </c>
      <c r="C19" s="278">
        <v>511205.56433053385</v>
      </c>
      <c r="D19" s="264">
        <v>400891.81830714655</v>
      </c>
      <c r="E19" s="285">
        <v>345800.81368483615</v>
      </c>
      <c r="F19" s="285">
        <f>F36</f>
        <v>276596.48906585923</v>
      </c>
      <c r="G19" s="284">
        <f>F19/C19-1</f>
        <v>-0.45893294524662442</v>
      </c>
      <c r="H19" s="284">
        <f>F19/D19-1</f>
        <v>-0.31004705899499663</v>
      </c>
      <c r="I19" s="146"/>
    </row>
    <row r="20" spans="1:9">
      <c r="A20" s="265" t="s">
        <v>534</v>
      </c>
      <c r="B20" s="266">
        <v>1</v>
      </c>
      <c r="C20" s="279">
        <v>373910.50112322799</v>
      </c>
      <c r="D20" s="267">
        <v>309210.74438325135</v>
      </c>
      <c r="E20" s="286">
        <v>258367.22401271446</v>
      </c>
      <c r="F20" s="286">
        <f>F21+F29</f>
        <v>199718.94873307689</v>
      </c>
      <c r="G20" s="284">
        <f t="shared" ref="G20:G36" si="1">F20/C20-1</f>
        <v>-0.4658642960464584</v>
      </c>
      <c r="H20" s="284">
        <f t="shared" ref="H20:H36" si="2">F20/D20-1</f>
        <v>-0.3541008766321031</v>
      </c>
      <c r="I20" s="146"/>
    </row>
    <row r="21" spans="1:9">
      <c r="A21" s="137" t="s">
        <v>535</v>
      </c>
      <c r="B21" s="268" t="s">
        <v>536</v>
      </c>
      <c r="C21" s="280">
        <v>362926.45346920926</v>
      </c>
      <c r="D21" s="269">
        <v>305055.16396309767</v>
      </c>
      <c r="E21" s="287">
        <v>255045.88747361861</v>
      </c>
      <c r="F21" s="287">
        <f>SUM(F22:F25)</f>
        <v>196397.61219398101</v>
      </c>
      <c r="G21" s="284">
        <f t="shared" si="1"/>
        <v>-0.45885010498237655</v>
      </c>
      <c r="H21" s="284">
        <f t="shared" si="2"/>
        <v>-0.35618984565775424</v>
      </c>
      <c r="I21" s="146"/>
    </row>
    <row r="22" spans="1:9">
      <c r="A22" s="270" t="s">
        <v>537</v>
      </c>
      <c r="B22" s="271" t="s">
        <v>538</v>
      </c>
      <c r="C22" s="280">
        <v>64740.287540047248</v>
      </c>
      <c r="D22" s="269">
        <v>36823.8525908437</v>
      </c>
      <c r="E22" s="287">
        <v>47278.266130991789</v>
      </c>
      <c r="F22" s="287">
        <f>1000*GES!C13</f>
        <v>39234.269018053055</v>
      </c>
      <c r="G22" s="284">
        <f t="shared" si="1"/>
        <v>-0.39397443989133663</v>
      </c>
      <c r="H22" s="284">
        <f t="shared" si="2"/>
        <v>6.5458018583550048E-2</v>
      </c>
      <c r="I22" s="146"/>
    </row>
    <row r="23" spans="1:9">
      <c r="A23" s="270" t="s">
        <v>539</v>
      </c>
      <c r="B23" s="271" t="s">
        <v>540</v>
      </c>
      <c r="C23" s="280">
        <v>77862.585646933192</v>
      </c>
      <c r="D23" s="269">
        <v>52100.062311656562</v>
      </c>
      <c r="E23" s="287">
        <v>46125.65286400482</v>
      </c>
      <c r="F23" s="287">
        <f>1000*GES!C3</f>
        <v>28636.94874676393</v>
      </c>
      <c r="G23" s="284">
        <f t="shared" si="1"/>
        <v>-0.6322116905208135</v>
      </c>
      <c r="H23" s="284">
        <f t="shared" si="2"/>
        <v>-0.45034713057614006</v>
      </c>
      <c r="I23" s="146"/>
    </row>
    <row r="24" spans="1:9">
      <c r="A24" s="270" t="s">
        <v>541</v>
      </c>
      <c r="B24" s="271" t="s">
        <v>542</v>
      </c>
      <c r="C24" s="280">
        <v>117672.4353510807</v>
      </c>
      <c r="D24" s="269">
        <v>127829.74831110329</v>
      </c>
      <c r="E24" s="287">
        <v>119398.57415464144</v>
      </c>
      <c r="F24" s="287">
        <f>1000*GES!C9</f>
        <v>91200.809667069523</v>
      </c>
      <c r="G24" s="284">
        <f t="shared" si="1"/>
        <v>-0.22496029426969844</v>
      </c>
      <c r="H24" s="284">
        <f t="shared" si="2"/>
        <v>-0.28654471379298008</v>
      </c>
      <c r="I24" s="146"/>
    </row>
    <row r="25" spans="1:9">
      <c r="A25" s="270" t="s">
        <v>543</v>
      </c>
      <c r="B25" s="271" t="s">
        <v>544</v>
      </c>
      <c r="C25" s="280">
        <v>102651.14493114811</v>
      </c>
      <c r="D25" s="269">
        <v>88301.500749494109</v>
      </c>
      <c r="E25" s="287">
        <v>42243.394323980508</v>
      </c>
      <c r="F25" s="287">
        <f>SUM(F26:F28)</f>
        <v>37325.584762094477</v>
      </c>
      <c r="G25" s="284">
        <f t="shared" si="1"/>
        <v>-0.63638413592824405</v>
      </c>
      <c r="H25" s="284">
        <f t="shared" si="2"/>
        <v>-0.57729388011213023</v>
      </c>
      <c r="I25" s="146"/>
    </row>
    <row r="26" spans="1:9">
      <c r="A26" s="270" t="s">
        <v>545</v>
      </c>
      <c r="B26" s="272" t="s">
        <v>546</v>
      </c>
      <c r="C26" s="280">
        <v>30708.859593814708</v>
      </c>
      <c r="D26" s="269">
        <v>26038.638947774598</v>
      </c>
      <c r="E26" s="287">
        <v>9017.7908850890617</v>
      </c>
      <c r="F26" s="287">
        <f>1000*GES!C7</f>
        <v>7677.1049238223177</v>
      </c>
      <c r="G26" s="284">
        <f t="shared" si="1"/>
        <v>-0.75000358120206401</v>
      </c>
      <c r="H26" s="284">
        <f t="shared" si="2"/>
        <v>-0.70516489209669531</v>
      </c>
      <c r="I26" s="146"/>
    </row>
    <row r="27" spans="1:9">
      <c r="A27" s="270" t="s">
        <v>547</v>
      </c>
      <c r="B27" s="272" t="s">
        <v>548</v>
      </c>
      <c r="C27" s="280">
        <v>59719.983477465612</v>
      </c>
      <c r="D27" s="269">
        <v>50239.38185211263</v>
      </c>
      <c r="E27" s="287">
        <v>24117.163620708176</v>
      </c>
      <c r="F27" s="287">
        <f>1000*GES!C5</f>
        <v>19996.791994265022</v>
      </c>
      <c r="G27" s="284">
        <f t="shared" si="1"/>
        <v>-0.66515744262035015</v>
      </c>
      <c r="H27" s="284">
        <f t="shared" si="2"/>
        <v>-0.60196978431922865</v>
      </c>
      <c r="I27" s="146"/>
    </row>
    <row r="28" spans="1:9">
      <c r="A28" s="270" t="s">
        <v>549</v>
      </c>
      <c r="B28" s="272" t="s">
        <v>550</v>
      </c>
      <c r="C28" s="280">
        <v>12222.301859867795</v>
      </c>
      <c r="D28" s="269">
        <v>12023.479949606894</v>
      </c>
      <c r="E28" s="287">
        <v>9108.4398181832712</v>
      </c>
      <c r="F28" s="287">
        <f>1000*GES!C11</f>
        <v>9651.6878440071359</v>
      </c>
      <c r="G28" s="284">
        <f t="shared" si="1"/>
        <v>-0.21032159451905941</v>
      </c>
      <c r="H28" s="284">
        <f t="shared" si="2"/>
        <v>-0.19726336431220171</v>
      </c>
      <c r="I28" s="146"/>
    </row>
    <row r="29" spans="1:9">
      <c r="A29" s="137" t="s">
        <v>551</v>
      </c>
      <c r="B29" s="268" t="s">
        <v>552</v>
      </c>
      <c r="C29" s="281">
        <v>10984.047654018706</v>
      </c>
      <c r="D29" s="269">
        <v>4155.5804201536621</v>
      </c>
      <c r="E29" s="287">
        <v>3321.3365390958693</v>
      </c>
      <c r="F29" s="287">
        <f>1000*GES!C14</f>
        <v>3321.3365390958693</v>
      </c>
      <c r="G29" s="284">
        <f t="shared" si="1"/>
        <v>-0.69762180175167932</v>
      </c>
      <c r="H29" s="284">
        <f t="shared" si="2"/>
        <v>-0.20075267392537788</v>
      </c>
      <c r="I29" s="146"/>
    </row>
    <row r="30" spans="1:9" ht="15.75" thickBot="1">
      <c r="A30" s="273" t="s">
        <v>553</v>
      </c>
      <c r="B30" s="274" t="s">
        <v>554</v>
      </c>
      <c r="C30" s="281">
        <v>66991.708049569075</v>
      </c>
      <c r="D30" s="269">
        <v>43089.003330372558</v>
      </c>
      <c r="E30" s="287">
        <v>26603.832233141198</v>
      </c>
      <c r="F30" s="287">
        <f>1000*GES!C4</f>
        <v>26603.832233141202</v>
      </c>
      <c r="G30" s="284">
        <f t="shared" si="1"/>
        <v>-0.60287872920845265</v>
      </c>
      <c r="H30" s="284">
        <f t="shared" si="2"/>
        <v>-0.38258418211338152</v>
      </c>
      <c r="I30" s="146"/>
    </row>
    <row r="31" spans="1:9">
      <c r="A31" s="275" t="s">
        <v>555</v>
      </c>
      <c r="B31" s="266" t="s">
        <v>556</v>
      </c>
      <c r="C31" s="281">
        <v>82299.682349533105</v>
      </c>
      <c r="D31" s="267">
        <v>77302.834172241128</v>
      </c>
      <c r="E31" s="286">
        <v>69519.186693885975</v>
      </c>
      <c r="F31" s="286">
        <f>1000*GES!C12</f>
        <v>86900</v>
      </c>
      <c r="G31" s="284">
        <f t="shared" si="1"/>
        <v>5.5897149528828072E-2</v>
      </c>
      <c r="H31" s="284">
        <f t="shared" si="2"/>
        <v>0.12415024533738439</v>
      </c>
      <c r="I31" s="146"/>
    </row>
    <row r="32" spans="1:9" ht="15.75" thickBot="1">
      <c r="A32" s="136" t="s">
        <v>702</v>
      </c>
      <c r="B32" s="274" t="s">
        <v>557</v>
      </c>
      <c r="C32" s="280">
        <v>-28838.282978536707</v>
      </c>
      <c r="D32" s="269">
        <v>-44830.895244924439</v>
      </c>
      <c r="E32" s="287">
        <v>-17689.442466286866</v>
      </c>
      <c r="F32" s="287">
        <f>-1000*GES!C25</f>
        <v>-45626.305111740192</v>
      </c>
      <c r="G32" s="284">
        <f t="shared" si="1"/>
        <v>0.58214360909414076</v>
      </c>
      <c r="H32" s="284">
        <f t="shared" si="2"/>
        <v>1.774244887304155E-2</v>
      </c>
      <c r="I32" s="146"/>
    </row>
    <row r="33" spans="1:9">
      <c r="A33" s="265" t="s">
        <v>558</v>
      </c>
      <c r="B33" s="266" t="s">
        <v>559</v>
      </c>
      <c r="C33" s="281">
        <v>16841.955786740367</v>
      </c>
      <c r="D33" s="267">
        <v>16120.131666205913</v>
      </c>
      <c r="E33" s="286">
        <v>9000.0132113813579</v>
      </c>
      <c r="F33" s="286">
        <f>1000*GES!C15</f>
        <v>9000.0132113813579</v>
      </c>
      <c r="G33" s="284">
        <f t="shared" si="1"/>
        <v>-0.46561947286032856</v>
      </c>
      <c r="H33" s="284">
        <f t="shared" si="2"/>
        <v>-0.44169108554808534</v>
      </c>
      <c r="I33" s="146"/>
    </row>
    <row r="34" spans="1:9" ht="15.75" thickBot="1">
      <c r="A34" s="146"/>
      <c r="B34" s="146"/>
      <c r="C34" s="146"/>
      <c r="D34" s="142"/>
      <c r="E34" s="146"/>
      <c r="F34" s="146"/>
      <c r="G34" s="284"/>
      <c r="H34" s="284"/>
      <c r="I34" s="146"/>
    </row>
    <row r="35" spans="1:9">
      <c r="A35" s="583" t="s">
        <v>561</v>
      </c>
      <c r="B35" s="584"/>
      <c r="C35" s="276">
        <v>540043.84730907052</v>
      </c>
      <c r="D35" s="276">
        <v>445722.71355207101</v>
      </c>
      <c r="E35" s="288">
        <v>363490.25615112303</v>
      </c>
      <c r="F35" s="288">
        <f>SUM(F20,F30:F31,F33)</f>
        <v>322222.79417759943</v>
      </c>
      <c r="G35" s="284">
        <f t="shared" si="1"/>
        <v>-0.40333956995682752</v>
      </c>
      <c r="H35" s="284">
        <f t="shared" si="2"/>
        <v>-0.27707791328440756</v>
      </c>
      <c r="I35" s="146"/>
    </row>
    <row r="36" spans="1:9" ht="15.75" thickBot="1">
      <c r="A36" s="585" t="s">
        <v>562</v>
      </c>
      <c r="B36" s="586"/>
      <c r="C36" s="277">
        <v>511205.56433053379</v>
      </c>
      <c r="D36" s="277">
        <v>400891.81830714655</v>
      </c>
      <c r="E36" s="289">
        <v>345800.81368483615</v>
      </c>
      <c r="F36" s="289">
        <f>F35+F32</f>
        <v>276596.48906585923</v>
      </c>
      <c r="G36" s="284">
        <f t="shared" si="1"/>
        <v>-0.45893294524662431</v>
      </c>
      <c r="H36" s="284">
        <f t="shared" si="2"/>
        <v>-0.31004705899499663</v>
      </c>
      <c r="I36" s="146"/>
    </row>
    <row r="37" spans="1:9">
      <c r="C37" s="146"/>
      <c r="D37" s="146"/>
      <c r="E37" s="146"/>
      <c r="F37" s="146"/>
      <c r="G37" s="146"/>
      <c r="H37" s="146"/>
      <c r="I37" s="146"/>
    </row>
    <row r="38" spans="1:9">
      <c r="C38" s="146"/>
      <c r="D38" s="146"/>
      <c r="E38" s="146"/>
      <c r="F38" s="146"/>
      <c r="G38" s="146"/>
      <c r="H38" s="146"/>
      <c r="I38" s="146"/>
    </row>
    <row r="39" spans="1:9">
      <c r="C39" s="146"/>
      <c r="D39" s="146"/>
      <c r="E39" s="146"/>
      <c r="F39" s="146"/>
      <c r="G39" s="146"/>
      <c r="H39" s="146"/>
      <c r="I39" s="146"/>
    </row>
    <row r="40" spans="1:9">
      <c r="C40" s="146"/>
      <c r="D40" s="146"/>
      <c r="E40" s="146"/>
      <c r="F40" s="146"/>
      <c r="G40" s="146"/>
      <c r="H40" s="146"/>
      <c r="I40" s="146"/>
    </row>
    <row r="41" spans="1:9">
      <c r="C41" s="146"/>
      <c r="D41" s="146"/>
      <c r="E41" s="146"/>
      <c r="F41" s="146"/>
      <c r="G41" s="146"/>
      <c r="H41" s="146"/>
      <c r="I41" s="146"/>
    </row>
    <row r="42" spans="1:9">
      <c r="C42" s="146"/>
      <c r="D42" s="146"/>
      <c r="E42" s="146"/>
      <c r="F42" s="146"/>
      <c r="G42" s="146"/>
      <c r="H42" s="146"/>
      <c r="I42" s="146"/>
    </row>
    <row r="43" spans="1:9">
      <c r="C43" s="146"/>
      <c r="D43" s="146"/>
      <c r="E43" s="146"/>
      <c r="F43" s="146"/>
      <c r="G43" s="146"/>
      <c r="H43" s="146"/>
      <c r="I43" s="146"/>
    </row>
    <row r="44" spans="1:9">
      <c r="C44" s="146"/>
      <c r="D44" s="146"/>
      <c r="E44" s="146"/>
      <c r="F44" s="146"/>
      <c r="G44" s="146"/>
      <c r="H44" s="146"/>
      <c r="I44" s="146"/>
    </row>
    <row r="45" spans="1:9">
      <c r="C45" s="146"/>
      <c r="D45" s="146"/>
      <c r="E45" s="146"/>
      <c r="F45" s="146"/>
      <c r="G45" s="146"/>
      <c r="H45" s="146"/>
      <c r="I45" s="146"/>
    </row>
    <row r="46" spans="1:9">
      <c r="C46" s="146"/>
      <c r="D46" s="146"/>
      <c r="E46" s="146"/>
      <c r="F46" s="146"/>
      <c r="G46" s="146"/>
      <c r="H46" s="146"/>
      <c r="I46" s="146"/>
    </row>
    <row r="47" spans="1:9">
      <c r="C47" s="146"/>
      <c r="D47" s="146"/>
      <c r="E47" s="146"/>
      <c r="F47" s="146"/>
      <c r="G47" s="146"/>
      <c r="H47" s="146"/>
      <c r="I47" s="146"/>
    </row>
    <row r="48" spans="1:9">
      <c r="C48" s="146"/>
      <c r="D48" s="146"/>
      <c r="E48" s="146"/>
      <c r="F48" s="146"/>
      <c r="G48" s="146"/>
      <c r="H48" s="146"/>
      <c r="I48" s="146"/>
    </row>
    <row r="49" spans="3:9">
      <c r="C49" s="146"/>
      <c r="D49" s="146"/>
      <c r="E49" s="146"/>
      <c r="F49" s="146"/>
      <c r="G49" s="146"/>
      <c r="H49" s="146"/>
      <c r="I49" s="146"/>
    </row>
    <row r="50" spans="3:9">
      <c r="C50" s="146"/>
      <c r="D50" s="146"/>
      <c r="E50" s="146"/>
      <c r="F50" s="146"/>
      <c r="G50" s="146"/>
      <c r="H50" s="146"/>
      <c r="I50" s="146"/>
    </row>
    <row r="51" spans="3:9">
      <c r="C51" s="146"/>
      <c r="D51" s="146"/>
      <c r="E51" s="146"/>
      <c r="F51" s="146"/>
      <c r="G51" s="146"/>
      <c r="H51" s="146"/>
      <c r="I51" s="146"/>
    </row>
    <row r="52" spans="3:9">
      <c r="C52" s="146"/>
      <c r="D52" s="146"/>
      <c r="E52" s="146"/>
      <c r="F52" s="146"/>
      <c r="G52" s="146"/>
      <c r="H52" s="146"/>
      <c r="I52" s="146"/>
    </row>
    <row r="53" spans="3:9">
      <c r="C53" s="146"/>
      <c r="D53" s="146"/>
      <c r="E53" s="146"/>
      <c r="F53" s="146"/>
      <c r="G53" s="146"/>
      <c r="H53" s="146"/>
      <c r="I53" s="146"/>
    </row>
  </sheetData>
  <mergeCells count="7">
    <mergeCell ref="G17:H17"/>
    <mergeCell ref="E2:E3"/>
    <mergeCell ref="B2:C2"/>
    <mergeCell ref="A35:B35"/>
    <mergeCell ref="A36:B36"/>
    <mergeCell ref="C16:E16"/>
    <mergeCell ref="C17:E17"/>
  </mergeCells>
  <conditionalFormatting sqref="C12 C9:C10 B4:C8 B9:B12">
    <cfRule type="cellIs" dxfId="5" priority="9" operator="equal">
      <formula>0</formula>
    </cfRule>
  </conditionalFormatting>
  <conditionalFormatting sqref="C11">
    <cfRule type="cellIs" dxfId="4" priority="8" operator="equal">
      <formula>0</formula>
    </cfRule>
  </conditionalFormatting>
  <conditionalFormatting sqref="D12 D4:D10">
    <cfRule type="cellIs" dxfId="3" priority="6" operator="equal">
      <formula>0</formula>
    </cfRule>
  </conditionalFormatting>
  <conditionalFormatting sqref="D11">
    <cfRule type="cellIs" dxfId="2" priority="5" operator="equal">
      <formula>0</formula>
    </cfRule>
  </conditionalFormatting>
  <conditionalFormatting sqref="A4:A12">
    <cfRule type="cellIs" dxfId="1" priority="4" operator="equal">
      <formula>0</formula>
    </cfRule>
  </conditionalFormatting>
  <conditionalFormatting sqref="E4:E12">
    <cfRule type="iconSet" priority="3">
      <iconSet iconSet="3Arrows">
        <cfvo type="percent" val="0"/>
        <cfvo type="num" val="-0.05"/>
        <cfvo type="num" val="0.05"/>
      </iconSet>
    </cfRule>
  </conditionalFormatting>
  <conditionalFormatting sqref="G19:H36">
    <cfRule type="iconSet" priority="1">
      <iconSet iconSet="3Arrows">
        <cfvo type="percent" val="0"/>
        <cfvo type="num" val="-0.05"/>
        <cfvo type="num" val="0.05"/>
      </iconSet>
    </cfRule>
  </conditionalFormatting>
  <dataValidations count="1">
    <dataValidation allowBlank="1" showInputMessage="1" showErrorMessage="1" sqref="A19:B33"/>
  </dataValidation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29"/>
  <sheetViews>
    <sheetView workbookViewId="0">
      <selection activeCell="B16" sqref="B16"/>
    </sheetView>
  </sheetViews>
  <sheetFormatPr baseColWidth="10" defaultColWidth="11.5703125" defaultRowHeight="15"/>
  <cols>
    <col min="1" max="1" width="45.140625" style="260" customWidth="1"/>
    <col min="2" max="2" width="57.28515625" style="260" customWidth="1"/>
    <col min="3" max="3" width="35.42578125" style="260" customWidth="1"/>
    <col min="4" max="4" width="44" style="260" customWidth="1"/>
    <col min="5" max="5" width="15.7109375" style="260" customWidth="1"/>
    <col min="6" max="6" width="42.28515625" style="260" customWidth="1"/>
    <col min="7" max="7" width="40.5703125" style="260" customWidth="1"/>
    <col min="8" max="16384" width="11.5703125" style="260"/>
  </cols>
  <sheetData>
    <row r="1" spans="1:6">
      <c r="A1" s="295" t="s">
        <v>572</v>
      </c>
      <c r="B1" s="300" t="s">
        <v>605</v>
      </c>
      <c r="C1" s="301">
        <f>ReadMe!B2</f>
        <v>43962</v>
      </c>
    </row>
    <row r="2" spans="1:6">
      <c r="A2" s="296"/>
    </row>
    <row r="3" spans="1:6">
      <c r="A3" s="295" t="s">
        <v>573</v>
      </c>
    </row>
    <row r="4" spans="1:6">
      <c r="A4" s="303" t="s">
        <v>576</v>
      </c>
      <c r="B4" s="303" t="s">
        <v>577</v>
      </c>
      <c r="C4" s="303" t="s">
        <v>575</v>
      </c>
      <c r="D4" s="303" t="s">
        <v>501</v>
      </c>
      <c r="E4" s="303" t="s">
        <v>503</v>
      </c>
      <c r="F4" s="303" t="s">
        <v>519</v>
      </c>
    </row>
    <row r="5" spans="1:6" ht="30">
      <c r="A5" s="293" t="s">
        <v>578</v>
      </c>
      <c r="B5" s="293" t="s">
        <v>584</v>
      </c>
      <c r="C5" s="293" t="s">
        <v>581</v>
      </c>
      <c r="D5" s="293" t="s">
        <v>582</v>
      </c>
      <c r="E5" s="293" t="s">
        <v>520</v>
      </c>
      <c r="F5" s="293" t="s">
        <v>522</v>
      </c>
    </row>
    <row r="6" spans="1:6" ht="45">
      <c r="A6" s="294" t="s">
        <v>579</v>
      </c>
      <c r="B6" s="294" t="s">
        <v>584</v>
      </c>
      <c r="C6" s="294" t="s">
        <v>260</v>
      </c>
      <c r="D6" s="294" t="s">
        <v>512</v>
      </c>
      <c r="E6" s="294" t="s">
        <v>521</v>
      </c>
      <c r="F6" s="294" t="s">
        <v>609</v>
      </c>
    </row>
    <row r="7" spans="1:6" ht="30">
      <c r="A7" s="293" t="s">
        <v>580</v>
      </c>
      <c r="B7" s="293" t="s">
        <v>584</v>
      </c>
      <c r="C7" s="293"/>
      <c r="D7" s="293" t="s">
        <v>512</v>
      </c>
      <c r="E7" s="293" t="s">
        <v>521</v>
      </c>
      <c r="F7" s="294" t="s">
        <v>608</v>
      </c>
    </row>
    <row r="8" spans="1:6" ht="60">
      <c r="A8" s="294" t="s">
        <v>176</v>
      </c>
      <c r="B8" s="294" t="s">
        <v>583</v>
      </c>
      <c r="C8" s="294"/>
      <c r="D8" s="294" t="s">
        <v>585</v>
      </c>
      <c r="E8" s="294" t="s">
        <v>610</v>
      </c>
      <c r="F8" s="294"/>
    </row>
    <row r="9" spans="1:6" ht="30">
      <c r="A9" s="293" t="s">
        <v>586</v>
      </c>
      <c r="B9" s="293" t="s">
        <v>628</v>
      </c>
      <c r="C9" s="293"/>
      <c r="D9" s="293" t="s">
        <v>514</v>
      </c>
      <c r="E9" s="293" t="s">
        <v>524</v>
      </c>
      <c r="F9" s="293" t="s">
        <v>522</v>
      </c>
    </row>
    <row r="11" spans="1:6">
      <c r="A11" s="297" t="s">
        <v>603</v>
      </c>
    </row>
    <row r="12" spans="1:6" ht="45">
      <c r="A12" s="260" t="s">
        <v>588</v>
      </c>
      <c r="B12" s="260" t="s">
        <v>628</v>
      </c>
      <c r="D12" s="260" t="s">
        <v>516</v>
      </c>
      <c r="E12" s="260" t="s">
        <v>521</v>
      </c>
      <c r="F12" s="294" t="s">
        <v>609</v>
      </c>
    </row>
    <row r="13" spans="1:6" ht="30">
      <c r="A13" s="260" t="s">
        <v>589</v>
      </c>
      <c r="B13" s="260" t="s">
        <v>628</v>
      </c>
      <c r="D13" s="260" t="s">
        <v>516</v>
      </c>
      <c r="E13" s="260" t="s">
        <v>521</v>
      </c>
      <c r="F13" s="294" t="s">
        <v>608</v>
      </c>
    </row>
    <row r="14" spans="1:6" ht="30">
      <c r="A14" s="260" t="s">
        <v>590</v>
      </c>
      <c r="B14" s="260" t="s">
        <v>628</v>
      </c>
      <c r="D14" s="260" t="s">
        <v>516</v>
      </c>
      <c r="E14" s="260" t="s">
        <v>523</v>
      </c>
    </row>
    <row r="15" spans="1:6" ht="30">
      <c r="A15" s="260" t="s">
        <v>591</v>
      </c>
      <c r="B15" s="260" t="s">
        <v>628</v>
      </c>
      <c r="D15" s="260" t="s">
        <v>514</v>
      </c>
      <c r="E15" s="260" t="s">
        <v>587</v>
      </c>
    </row>
    <row r="16" spans="1:6" ht="45">
      <c r="A16" s="260" t="s">
        <v>592</v>
      </c>
      <c r="B16" s="260" t="s">
        <v>629</v>
      </c>
      <c r="D16" s="260" t="s">
        <v>516</v>
      </c>
      <c r="E16" s="260" t="s">
        <v>525</v>
      </c>
    </row>
    <row r="17" spans="1:6" ht="30">
      <c r="A17" s="260" t="s">
        <v>335</v>
      </c>
      <c r="B17" s="260" t="s">
        <v>593</v>
      </c>
      <c r="D17" s="260" t="s">
        <v>512</v>
      </c>
      <c r="E17" s="260" t="s">
        <v>520</v>
      </c>
      <c r="F17" s="260" t="s">
        <v>606</v>
      </c>
    </row>
    <row r="18" spans="1:6" ht="30">
      <c r="A18" s="260" t="s">
        <v>627</v>
      </c>
      <c r="B18" s="260" t="s">
        <v>594</v>
      </c>
      <c r="C18" s="260" t="s">
        <v>595</v>
      </c>
      <c r="D18" s="260" t="s">
        <v>517</v>
      </c>
      <c r="E18" s="260" t="s">
        <v>526</v>
      </c>
    </row>
    <row r="19" spans="1:6" ht="30">
      <c r="A19" s="260" t="s">
        <v>613</v>
      </c>
      <c r="B19" s="260" t="s">
        <v>594</v>
      </c>
      <c r="D19" s="260" t="s">
        <v>518</v>
      </c>
      <c r="E19" s="260" t="s">
        <v>520</v>
      </c>
      <c r="F19" s="260" t="s">
        <v>611</v>
      </c>
    </row>
    <row r="20" spans="1:6" ht="30">
      <c r="A20" s="260" t="s">
        <v>612</v>
      </c>
      <c r="B20" s="260" t="s">
        <v>594</v>
      </c>
      <c r="D20" s="260" t="s">
        <v>516</v>
      </c>
      <c r="E20" s="260" t="s">
        <v>527</v>
      </c>
    </row>
    <row r="22" spans="1:6">
      <c r="A22" s="295" t="s">
        <v>574</v>
      </c>
    </row>
    <row r="23" spans="1:6" ht="30">
      <c r="A23" s="260" t="s">
        <v>508</v>
      </c>
      <c r="B23" s="260" t="s">
        <v>509</v>
      </c>
      <c r="D23" s="260" t="s">
        <v>596</v>
      </c>
      <c r="E23" s="260" t="s">
        <v>520</v>
      </c>
      <c r="F23" s="260" t="s">
        <v>607</v>
      </c>
    </row>
    <row r="24" spans="1:6" ht="45">
      <c r="A24" s="260" t="s">
        <v>504</v>
      </c>
      <c r="B24" s="260" t="s">
        <v>597</v>
      </c>
      <c r="D24" s="260" t="s">
        <v>505</v>
      </c>
      <c r="E24" s="260" t="s">
        <v>587</v>
      </c>
    </row>
    <row r="25" spans="1:6" ht="30">
      <c r="A25" s="260" t="s">
        <v>506</v>
      </c>
      <c r="B25" s="260" t="s">
        <v>598</v>
      </c>
      <c r="D25" s="260" t="s">
        <v>505</v>
      </c>
      <c r="E25" s="260" t="s">
        <v>587</v>
      </c>
    </row>
    <row r="26" spans="1:6" ht="30">
      <c r="A26" s="260" t="s">
        <v>507</v>
      </c>
      <c r="B26" s="260" t="s">
        <v>599</v>
      </c>
      <c r="D26" s="260" t="s">
        <v>505</v>
      </c>
    </row>
    <row r="27" spans="1:6" ht="60">
      <c r="A27" s="260" t="s">
        <v>502</v>
      </c>
      <c r="B27" s="260" t="s">
        <v>601</v>
      </c>
      <c r="D27" s="260" t="s">
        <v>600</v>
      </c>
    </row>
    <row r="28" spans="1:6" ht="30">
      <c r="A28" s="260" t="s">
        <v>510</v>
      </c>
      <c r="B28" s="260" t="s">
        <v>602</v>
      </c>
      <c r="D28" s="260" t="s">
        <v>511</v>
      </c>
      <c r="E28" s="260" t="s">
        <v>587</v>
      </c>
    </row>
    <row r="29" spans="1:6" ht="30">
      <c r="A29" s="260" t="s">
        <v>513</v>
      </c>
      <c r="B29" s="260" t="s">
        <v>515</v>
      </c>
      <c r="D29" s="260" t="s">
        <v>514</v>
      </c>
    </row>
  </sheetData>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N26"/>
  <sheetViews>
    <sheetView workbookViewId="0">
      <selection activeCell="E16" sqref="E16"/>
    </sheetView>
  </sheetViews>
  <sheetFormatPr baseColWidth="10" defaultRowHeight="15" outlineLevelCol="1"/>
  <cols>
    <col min="1" max="1" width="20.7109375" customWidth="1"/>
    <col min="2" max="2" width="16.28515625" customWidth="1"/>
    <col min="3" max="3" width="30" bestFit="1" customWidth="1"/>
    <col min="4" max="4" width="14.85546875" customWidth="1"/>
    <col min="5" max="5" width="25.140625" customWidth="1"/>
    <col min="6" max="6" width="36.140625" customWidth="1"/>
    <col min="11" max="11" width="23.7109375" hidden="1" customWidth="1" outlineLevel="1"/>
    <col min="12" max="13" width="11.5703125" hidden="1" customWidth="1" outlineLevel="1"/>
    <col min="14" max="14" width="11.5703125" collapsed="1"/>
  </cols>
  <sheetData>
    <row r="1" spans="1:13" s="54" customFormat="1" ht="30">
      <c r="D1" s="206" t="s">
        <v>293</v>
      </c>
      <c r="K1" s="54" t="s">
        <v>311</v>
      </c>
    </row>
    <row r="2" spans="1:13" s="54" customFormat="1">
      <c r="A2" s="578" t="s">
        <v>296</v>
      </c>
      <c r="B2" s="589"/>
      <c r="C2" s="589"/>
      <c r="D2" s="123" t="s">
        <v>291</v>
      </c>
      <c r="E2" s="123" t="s">
        <v>292</v>
      </c>
      <c r="F2" s="207" t="s">
        <v>462</v>
      </c>
      <c r="K2" s="54" t="s">
        <v>306</v>
      </c>
    </row>
    <row r="3" spans="1:13" s="54" customFormat="1">
      <c r="A3" s="590" t="s">
        <v>30</v>
      </c>
      <c r="B3" s="591"/>
      <c r="C3" s="591"/>
      <c r="D3" s="228">
        <f>SUM(D4,D14,D19,D22)</f>
        <v>45.626305111740194</v>
      </c>
      <c r="E3" s="123"/>
      <c r="F3" s="215"/>
    </row>
    <row r="4" spans="1:13">
      <c r="A4" s="126" t="s">
        <v>288</v>
      </c>
      <c r="B4" s="133"/>
      <c r="C4" s="134"/>
      <c r="D4" s="232">
        <f>D5+D11</f>
        <v>45.626305111740194</v>
      </c>
      <c r="E4" s="124"/>
      <c r="F4" s="121"/>
      <c r="L4" t="s">
        <v>309</v>
      </c>
      <c r="M4" t="s">
        <v>310</v>
      </c>
    </row>
    <row r="5" spans="1:13" ht="18.75" thickBot="1">
      <c r="A5" s="135"/>
      <c r="B5" s="130" t="s">
        <v>276</v>
      </c>
      <c r="C5" s="121"/>
      <c r="D5" s="185">
        <f>SUM(D6:D10)</f>
        <v>-10.300439074306308</v>
      </c>
      <c r="E5" s="124"/>
      <c r="F5" s="121"/>
      <c r="L5" s="141" t="s">
        <v>307</v>
      </c>
      <c r="M5" t="s">
        <v>308</v>
      </c>
    </row>
    <row r="6" spans="1:13" ht="15.75" thickTop="1">
      <c r="A6" s="135"/>
      <c r="B6" s="130"/>
      <c r="C6" s="121" t="s">
        <v>277</v>
      </c>
      <c r="D6" s="229">
        <f>M8+M12</f>
        <v>-10.349848191115735</v>
      </c>
      <c r="E6" s="124" t="s">
        <v>311</v>
      </c>
      <c r="F6" s="592" t="s">
        <v>289</v>
      </c>
      <c r="K6" s="136" t="s">
        <v>297</v>
      </c>
      <c r="L6" s="139">
        <v>-17689.442466286866</v>
      </c>
      <c r="M6" s="142">
        <f>-L6/1000</f>
        <v>17.689442466286867</v>
      </c>
    </row>
    <row r="7" spans="1:13">
      <c r="A7" s="135"/>
      <c r="B7" s="130"/>
      <c r="C7" s="121" t="s">
        <v>278</v>
      </c>
      <c r="D7" s="229">
        <f>M9</f>
        <v>8.9198705206295195</v>
      </c>
      <c r="E7" s="124" t="s">
        <v>311</v>
      </c>
      <c r="F7" s="592"/>
      <c r="K7" s="137" t="s">
        <v>298</v>
      </c>
      <c r="L7" s="139">
        <v>-27570.936590397534</v>
      </c>
      <c r="M7" s="142">
        <f t="shared" ref="M7:M14" si="0">-L7/1000</f>
        <v>27.570936590397533</v>
      </c>
    </row>
    <row r="8" spans="1:13">
      <c r="A8" s="135"/>
      <c r="B8" s="130"/>
      <c r="C8" s="121" t="s">
        <v>279</v>
      </c>
      <c r="D8" s="230">
        <v>0</v>
      </c>
      <c r="E8" s="124" t="s">
        <v>625</v>
      </c>
      <c r="F8" s="592"/>
      <c r="G8" s="54"/>
      <c r="K8" s="137" t="s">
        <v>299</v>
      </c>
      <c r="L8" s="139">
        <v>10349.848191115734</v>
      </c>
      <c r="M8" s="142">
        <f t="shared" si="0"/>
        <v>-10.349848191115735</v>
      </c>
    </row>
    <row r="9" spans="1:13">
      <c r="A9" s="135"/>
      <c r="B9" s="130"/>
      <c r="C9" s="121" t="s">
        <v>280</v>
      </c>
      <c r="D9" s="229">
        <f>M10</f>
        <v>-0.2656308751621887</v>
      </c>
      <c r="E9" s="124" t="s">
        <v>311</v>
      </c>
      <c r="F9" s="592"/>
      <c r="K9" s="137" t="s">
        <v>300</v>
      </c>
      <c r="L9" s="139">
        <v>-8919.8705206295199</v>
      </c>
      <c r="M9" s="142">
        <f t="shared" si="0"/>
        <v>8.9198705206295195</v>
      </c>
    </row>
    <row r="10" spans="1:13">
      <c r="A10" s="135"/>
      <c r="B10" s="131"/>
      <c r="C10" s="132" t="s">
        <v>281</v>
      </c>
      <c r="D10" s="229">
        <f>M11</f>
        <v>-8.604830528657903</v>
      </c>
      <c r="E10" s="124" t="s">
        <v>311</v>
      </c>
      <c r="F10" s="592"/>
      <c r="K10" s="137" t="s">
        <v>301</v>
      </c>
      <c r="L10" s="139">
        <v>265.63087516218872</v>
      </c>
      <c r="M10" s="142">
        <f t="shared" si="0"/>
        <v>-0.2656308751621887</v>
      </c>
    </row>
    <row r="11" spans="1:13">
      <c r="A11" s="135"/>
      <c r="B11" s="130" t="s">
        <v>282</v>
      </c>
      <c r="C11" s="121"/>
      <c r="D11" s="185">
        <f>SUM(D12:D13)</f>
        <v>55.926744186046506</v>
      </c>
      <c r="E11" s="124"/>
      <c r="F11" s="121"/>
      <c r="K11" s="137" t="s">
        <v>302</v>
      </c>
      <c r="L11" s="139">
        <v>8604.8305286579034</v>
      </c>
      <c r="M11" s="142">
        <f t="shared" si="0"/>
        <v>-8.604830528657903</v>
      </c>
    </row>
    <row r="12" spans="1:13">
      <c r="A12" s="135"/>
      <c r="B12" s="130"/>
      <c r="C12" s="121" t="s">
        <v>283</v>
      </c>
      <c r="D12" s="124"/>
      <c r="E12" s="124" t="s">
        <v>312</v>
      </c>
      <c r="F12" s="592" t="s">
        <v>289</v>
      </c>
      <c r="K12" s="138" t="s">
        <v>303</v>
      </c>
      <c r="L12" s="139">
        <v>0</v>
      </c>
      <c r="M12" s="142">
        <f t="shared" si="0"/>
        <v>0</v>
      </c>
    </row>
    <row r="13" spans="1:13">
      <c r="A13" s="128"/>
      <c r="B13" s="120"/>
      <c r="C13" s="122" t="s">
        <v>279</v>
      </c>
      <c r="D13" s="230">
        <v>55.926744186046506</v>
      </c>
      <c r="E13" s="125" t="s">
        <v>626</v>
      </c>
      <c r="F13" s="593"/>
      <c r="K13" s="138" t="s">
        <v>304</v>
      </c>
      <c r="L13" s="139">
        <v>-418.94495019563749</v>
      </c>
      <c r="M13" s="142">
        <f t="shared" si="0"/>
        <v>0.41894495019563749</v>
      </c>
    </row>
    <row r="14" spans="1:13" ht="15.75" thickBot="1">
      <c r="A14" s="135" t="s">
        <v>269</v>
      </c>
      <c r="B14" s="133"/>
      <c r="C14" s="134"/>
      <c r="D14" s="232">
        <f>SUM(D15,D18)</f>
        <v>0</v>
      </c>
      <c r="E14" s="124"/>
      <c r="F14" s="121"/>
      <c r="K14" s="138" t="s">
        <v>305</v>
      </c>
      <c r="L14" s="140">
        <v>0</v>
      </c>
      <c r="M14" s="142">
        <f t="shared" si="0"/>
        <v>0</v>
      </c>
    </row>
    <row r="15" spans="1:13">
      <c r="A15" s="135"/>
      <c r="B15" s="130" t="s">
        <v>275</v>
      </c>
      <c r="C15" s="121"/>
      <c r="D15" s="305">
        <v>0</v>
      </c>
      <c r="E15" s="124" t="s">
        <v>630</v>
      </c>
      <c r="F15" s="121"/>
    </row>
    <row r="16" spans="1:13">
      <c r="A16" s="135"/>
      <c r="B16" s="130"/>
      <c r="C16" s="121" t="s">
        <v>294</v>
      </c>
      <c r="D16" s="160"/>
      <c r="E16" s="124"/>
      <c r="F16" s="594" t="s">
        <v>290</v>
      </c>
    </row>
    <row r="17" spans="1:6">
      <c r="A17" s="135"/>
      <c r="B17" s="131"/>
      <c r="C17" s="132" t="s">
        <v>295</v>
      </c>
      <c r="D17" s="160"/>
      <c r="E17" s="124"/>
      <c r="F17" s="595"/>
    </row>
    <row r="18" spans="1:6">
      <c r="A18" s="128"/>
      <c r="B18" s="120" t="s">
        <v>284</v>
      </c>
      <c r="C18" s="122"/>
      <c r="D18" s="58"/>
      <c r="E18" s="124"/>
      <c r="F18" s="121"/>
    </row>
    <row r="19" spans="1:6" s="54" customFormat="1">
      <c r="A19" s="135" t="s">
        <v>287</v>
      </c>
      <c r="B19" s="130"/>
      <c r="C19" s="121"/>
      <c r="D19" s="233">
        <f>SUM(D20:D21)</f>
        <v>0</v>
      </c>
      <c r="E19" s="129"/>
      <c r="F19" s="218"/>
    </row>
    <row r="20" spans="1:6" s="54" customFormat="1">
      <c r="A20" s="135"/>
      <c r="B20" s="130" t="s">
        <v>285</v>
      </c>
      <c r="C20" s="121"/>
      <c r="D20" s="304"/>
      <c r="E20" s="124"/>
      <c r="F20" s="121"/>
    </row>
    <row r="21" spans="1:6" s="54" customFormat="1">
      <c r="A21" s="128"/>
      <c r="B21" s="120" t="s">
        <v>286</v>
      </c>
      <c r="C21" s="122"/>
      <c r="D21" s="304"/>
      <c r="E21" s="125"/>
      <c r="F21" s="122"/>
    </row>
    <row r="22" spans="1:6">
      <c r="A22" s="135" t="s">
        <v>270</v>
      </c>
      <c r="B22" s="130"/>
      <c r="C22" s="121"/>
      <c r="D22" s="233">
        <f>SUM(D23:D25)</f>
        <v>0</v>
      </c>
      <c r="E22" s="124"/>
      <c r="F22" s="121"/>
    </row>
    <row r="23" spans="1:6">
      <c r="A23" s="135"/>
      <c r="B23" s="130" t="s">
        <v>271</v>
      </c>
      <c r="C23" s="121"/>
      <c r="D23" s="230">
        <v>0</v>
      </c>
      <c r="E23" s="124"/>
      <c r="F23" s="121"/>
    </row>
    <row r="24" spans="1:6">
      <c r="A24" s="135"/>
      <c r="B24" s="130" t="s">
        <v>272</v>
      </c>
      <c r="C24" s="121"/>
      <c r="D24" s="230">
        <v>0</v>
      </c>
      <c r="E24" s="124"/>
      <c r="F24" s="121"/>
    </row>
    <row r="25" spans="1:6">
      <c r="A25" s="128"/>
      <c r="B25" s="120" t="s">
        <v>273</v>
      </c>
      <c r="C25" s="122"/>
      <c r="D25" s="231">
        <v>0</v>
      </c>
      <c r="E25" s="125"/>
      <c r="F25" s="122"/>
    </row>
    <row r="26" spans="1:6">
      <c r="C26" s="127"/>
    </row>
  </sheetData>
  <mergeCells count="5">
    <mergeCell ref="A2:C2"/>
    <mergeCell ref="A3:C3"/>
    <mergeCell ref="F6:F10"/>
    <mergeCell ref="F12:F13"/>
    <mergeCell ref="F16:F17"/>
  </mergeCells>
  <dataValidations disablePrompts="1" count="1">
    <dataValidation allowBlank="1" showInputMessage="1" showErrorMessage="1" sqref="K6:K14 L5"/>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N36"/>
  <sheetViews>
    <sheetView workbookViewId="0">
      <selection activeCell="C12" sqref="C12"/>
    </sheetView>
  </sheetViews>
  <sheetFormatPr baseColWidth="10" defaultRowHeight="15"/>
  <cols>
    <col min="1" max="1" width="26.85546875" bestFit="1" customWidth="1"/>
    <col min="2" max="2" width="26.7109375" bestFit="1" customWidth="1"/>
    <col min="3" max="3" width="22.85546875" bestFit="1" customWidth="1"/>
    <col min="4" max="4" width="10.7109375" bestFit="1" customWidth="1"/>
    <col min="5" max="5" width="10.28515625" customWidth="1"/>
  </cols>
  <sheetData>
    <row r="1" spans="1:13">
      <c r="A1" s="194" t="s">
        <v>620</v>
      </c>
      <c r="B1" s="194" t="s">
        <v>352</v>
      </c>
      <c r="C1" s="194" t="s">
        <v>641</v>
      </c>
      <c r="D1" s="504" t="s">
        <v>642</v>
      </c>
      <c r="E1" s="504"/>
      <c r="H1" s="484" t="s">
        <v>463</v>
      </c>
      <c r="I1" s="484"/>
      <c r="J1" s="484"/>
      <c r="L1" s="146"/>
      <c r="M1" s="146" t="s">
        <v>637</v>
      </c>
    </row>
    <row r="2" spans="1:13" s="146" customFormat="1">
      <c r="A2" s="578"/>
      <c r="B2" s="579"/>
      <c r="C2" s="123" t="s">
        <v>10</v>
      </c>
      <c r="D2" s="123" t="s">
        <v>313</v>
      </c>
      <c r="E2" s="123" t="s">
        <v>132</v>
      </c>
      <c r="I2" s="129" t="s">
        <v>389</v>
      </c>
      <c r="J2" s="123" t="s">
        <v>390</v>
      </c>
      <c r="L2" s="146" t="s">
        <v>28</v>
      </c>
      <c r="M2" s="146">
        <v>33.33</v>
      </c>
    </row>
    <row r="3" spans="1:13">
      <c r="A3" s="123" t="s">
        <v>349</v>
      </c>
      <c r="B3" s="223">
        <v>0.99</v>
      </c>
      <c r="C3" s="198">
        <f>-SUM('Bilan Energétique'!F20:J20)</f>
        <v>704.28831237911754</v>
      </c>
      <c r="D3" s="198">
        <f>C3*J3/B3</f>
        <v>700.21173719680735</v>
      </c>
      <c r="E3" s="198">
        <f>C3*J4/B3</f>
        <v>11.190598539675003</v>
      </c>
      <c r="H3" s="123" t="s">
        <v>313</v>
      </c>
      <c r="I3" s="223">
        <v>43.8</v>
      </c>
      <c r="J3" s="236">
        <f>I3/I5</f>
        <v>0.98426966292134821</v>
      </c>
      <c r="L3" s="146" t="s">
        <v>124</v>
      </c>
      <c r="M3" s="146"/>
    </row>
    <row r="4" spans="1:13" s="146" customFormat="1">
      <c r="A4" s="578"/>
      <c r="B4" s="579"/>
      <c r="C4" s="198" t="s">
        <v>28</v>
      </c>
      <c r="D4" s="198" t="s">
        <v>399</v>
      </c>
      <c r="E4" s="123"/>
      <c r="H4" s="123" t="s">
        <v>132</v>
      </c>
      <c r="I4" s="223">
        <v>0.7</v>
      </c>
      <c r="J4" s="236">
        <f>I4/I5</f>
        <v>1.5730337078651683E-2</v>
      </c>
    </row>
    <row r="5" spans="1:13">
      <c r="A5" s="123" t="s">
        <v>350</v>
      </c>
      <c r="B5" s="225">
        <v>0.8</v>
      </c>
      <c r="C5" s="198">
        <f>'Bilan Energétique'!Q30+'H2 Industrie'!D6</f>
        <v>14.939570251973677</v>
      </c>
      <c r="D5" s="198">
        <f>C5/B5</f>
        <v>18.674462814967097</v>
      </c>
      <c r="E5" s="123"/>
      <c r="H5" s="123" t="s">
        <v>30</v>
      </c>
      <c r="I5" s="235">
        <f>SUM(I3:I4)</f>
        <v>44.5</v>
      </c>
    </row>
    <row r="6" spans="1:13">
      <c r="A6" s="123" t="s">
        <v>351</v>
      </c>
      <c r="B6" s="311">
        <v>0.48</v>
      </c>
      <c r="C6" s="123"/>
      <c r="D6" s="123"/>
      <c r="E6" s="123"/>
    </row>
    <row r="7" spans="1:13" s="146" customFormat="1">
      <c r="A7" s="578"/>
      <c r="B7" s="579"/>
      <c r="C7" s="313" t="s">
        <v>28</v>
      </c>
      <c r="D7" s="123" t="s">
        <v>124</v>
      </c>
      <c r="E7" s="123"/>
    </row>
    <row r="8" spans="1:13" s="146" customFormat="1">
      <c r="A8" s="312" t="s">
        <v>636</v>
      </c>
      <c r="B8" s="123">
        <v>0.83</v>
      </c>
      <c r="C8" s="198">
        <f>'H2 Industrie'!D5</f>
        <v>7.6825649999999994</v>
      </c>
      <c r="D8" s="198">
        <f>C8/B8</f>
        <v>9.2561024096385545</v>
      </c>
      <c r="E8" s="123"/>
    </row>
    <row r="9" spans="1:13" s="146" customFormat="1">
      <c r="A9" s="578"/>
      <c r="B9" s="579"/>
      <c r="C9" s="123" t="s">
        <v>391</v>
      </c>
      <c r="D9" s="123" t="s">
        <v>191</v>
      </c>
      <c r="E9" s="123"/>
    </row>
    <row r="10" spans="1:13" ht="15" customHeight="1">
      <c r="A10" s="123" t="s">
        <v>353</v>
      </c>
      <c r="B10" s="223">
        <v>0.8</v>
      </c>
      <c r="C10" s="198">
        <f>-'Bilan Energétique'!S18</f>
        <v>31.768920956379109</v>
      </c>
      <c r="D10" s="198">
        <f>C10/B10</f>
        <v>39.711151195473882</v>
      </c>
      <c r="E10" s="123"/>
    </row>
    <row r="11" spans="1:13" s="146" customFormat="1" ht="15" customHeight="1">
      <c r="A11" s="578"/>
      <c r="B11" s="579"/>
      <c r="C11" s="198" t="s">
        <v>397</v>
      </c>
      <c r="D11" s="123" t="s">
        <v>191</v>
      </c>
      <c r="E11" s="123"/>
    </row>
    <row r="12" spans="1:13">
      <c r="A12" s="123" t="s">
        <v>354</v>
      </c>
      <c r="B12" s="223">
        <v>0.7</v>
      </c>
      <c r="C12" s="198">
        <f>-'Bilan Energétique'!U19</f>
        <v>29.518500844542732</v>
      </c>
      <c r="D12" s="198">
        <f>C12/B12</f>
        <v>42.169286920775335</v>
      </c>
      <c r="E12" s="123"/>
    </row>
    <row r="18" spans="7:14">
      <c r="H18" s="146"/>
      <c r="I18" s="146"/>
      <c r="J18" s="146"/>
      <c r="K18" s="146"/>
      <c r="L18" s="146"/>
      <c r="M18" s="146"/>
      <c r="N18" s="146"/>
    </row>
    <row r="19" spans="7:14">
      <c r="H19" s="146"/>
      <c r="I19" s="146"/>
      <c r="J19" s="146"/>
      <c r="K19" s="146"/>
      <c r="L19" s="146"/>
      <c r="M19" s="146"/>
      <c r="N19" s="146"/>
    </row>
    <row r="20" spans="7:14">
      <c r="H20" s="146"/>
      <c r="I20" s="146"/>
      <c r="J20" s="146"/>
      <c r="K20" s="146"/>
      <c r="L20" s="146"/>
      <c r="M20" s="146"/>
      <c r="N20" s="146"/>
    </row>
    <row r="21" spans="7:14">
      <c r="H21" s="146"/>
      <c r="I21" s="146"/>
      <c r="J21" s="146"/>
      <c r="K21" s="146"/>
      <c r="L21" s="146"/>
      <c r="M21" s="146"/>
      <c r="N21" s="146"/>
    </row>
    <row r="22" spans="7:14">
      <c r="H22" s="146"/>
      <c r="I22" s="146"/>
      <c r="J22" s="146"/>
      <c r="K22" s="146"/>
      <c r="L22" s="146"/>
      <c r="M22" s="146"/>
      <c r="N22" s="146"/>
    </row>
    <row r="23" spans="7:14">
      <c r="H23" s="146"/>
      <c r="I23" s="146"/>
      <c r="J23" s="146"/>
      <c r="K23" s="146"/>
      <c r="L23" s="146"/>
      <c r="M23" s="146"/>
      <c r="N23" s="146"/>
    </row>
    <row r="24" spans="7:14">
      <c r="H24" s="146"/>
      <c r="I24" s="146"/>
      <c r="J24" s="146"/>
      <c r="K24" s="146"/>
      <c r="L24" s="146"/>
      <c r="M24" s="146"/>
      <c r="N24" s="146"/>
    </row>
    <row r="25" spans="7:14">
      <c r="H25" s="146"/>
      <c r="I25" s="146"/>
      <c r="J25" s="146"/>
      <c r="K25" s="146"/>
      <c r="L25" s="146"/>
      <c r="M25" s="146"/>
      <c r="N25" s="146"/>
    </row>
    <row r="26" spans="7:14">
      <c r="H26" s="146"/>
      <c r="I26" s="146"/>
      <c r="J26" s="146"/>
      <c r="K26" s="146"/>
      <c r="L26" s="146"/>
      <c r="M26" s="146"/>
      <c r="N26" s="146"/>
    </row>
    <row r="27" spans="7:14">
      <c r="H27" s="146"/>
      <c r="I27" s="146"/>
      <c r="J27" s="146"/>
      <c r="K27" s="146"/>
      <c r="L27" s="146"/>
      <c r="M27" s="146"/>
      <c r="N27" s="146"/>
    </row>
    <row r="28" spans="7:14">
      <c r="H28" s="146"/>
      <c r="I28" s="146"/>
      <c r="J28" s="146"/>
      <c r="K28" s="146"/>
      <c r="L28" s="146"/>
      <c r="M28" s="146"/>
      <c r="N28" s="146"/>
    </row>
    <row r="29" spans="7:14">
      <c r="G29" s="146"/>
      <c r="H29" s="146"/>
      <c r="I29" s="146"/>
      <c r="J29" s="146"/>
      <c r="K29" s="146"/>
      <c r="L29" s="146"/>
      <c r="M29" s="146"/>
      <c r="N29" s="146"/>
    </row>
    <row r="30" spans="7:14">
      <c r="G30" s="146"/>
      <c r="H30" s="146"/>
      <c r="I30" s="146"/>
      <c r="J30" s="146"/>
      <c r="K30" s="146"/>
      <c r="L30" s="146"/>
      <c r="M30" s="146"/>
      <c r="N30" s="146"/>
    </row>
    <row r="31" spans="7:14">
      <c r="G31" s="146"/>
      <c r="H31" s="146"/>
      <c r="I31" s="146"/>
      <c r="J31" s="146"/>
      <c r="K31" s="146"/>
      <c r="L31" s="146"/>
      <c r="M31" s="146"/>
      <c r="N31" s="146"/>
    </row>
    <row r="32" spans="7:14">
      <c r="G32" s="146"/>
      <c r="H32" s="146"/>
      <c r="I32" s="146"/>
      <c r="J32" s="146"/>
      <c r="K32" s="146"/>
      <c r="L32" s="146"/>
      <c r="M32" s="146"/>
      <c r="N32" s="146"/>
    </row>
    <row r="33" spans="7:14">
      <c r="G33" s="146"/>
      <c r="H33" s="146"/>
      <c r="I33" s="146"/>
      <c r="J33" s="146"/>
      <c r="K33" s="146"/>
      <c r="L33" s="146"/>
      <c r="M33" s="146"/>
      <c r="N33" s="146"/>
    </row>
    <row r="34" spans="7:14">
      <c r="G34" s="146"/>
      <c r="H34" s="146"/>
      <c r="I34" s="146"/>
      <c r="J34" s="146"/>
      <c r="K34" s="146"/>
      <c r="L34" s="146"/>
      <c r="M34" s="146"/>
      <c r="N34" s="146"/>
    </row>
    <row r="35" spans="7:14">
      <c r="G35" s="146"/>
      <c r="H35" s="146"/>
      <c r="I35" s="146"/>
      <c r="J35" s="146"/>
      <c r="K35" s="146"/>
      <c r="L35" s="146"/>
      <c r="M35" s="146"/>
      <c r="N35" s="146"/>
    </row>
    <row r="36" spans="7:14">
      <c r="G36" s="146"/>
      <c r="H36" s="146"/>
      <c r="I36" s="146"/>
      <c r="J36" s="146"/>
      <c r="K36" s="146"/>
      <c r="L36" s="146"/>
      <c r="M36" s="146"/>
      <c r="N36" s="146"/>
    </row>
  </sheetData>
  <mergeCells count="7">
    <mergeCell ref="A11:B11"/>
    <mergeCell ref="H1:J1"/>
    <mergeCell ref="D1:E1"/>
    <mergeCell ref="A2:B2"/>
    <mergeCell ref="A4:B4"/>
    <mergeCell ref="A9:B9"/>
    <mergeCell ref="A7:B7"/>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F4"/>
  <sheetViews>
    <sheetView tabSelected="1" workbookViewId="0">
      <selection activeCell="F17" sqref="F17"/>
    </sheetView>
  </sheetViews>
  <sheetFormatPr baseColWidth="10" defaultRowHeight="15"/>
  <cols>
    <col min="1" max="1" width="21.42578125" customWidth="1"/>
    <col min="5" max="6" width="15.5703125" customWidth="1"/>
  </cols>
  <sheetData>
    <row r="1" spans="1:6">
      <c r="A1" s="234" t="s">
        <v>1072</v>
      </c>
      <c r="B1" s="146"/>
      <c r="C1" s="146"/>
      <c r="D1" s="146"/>
      <c r="E1" s="146"/>
      <c r="F1" s="146"/>
    </row>
    <row r="2" spans="1:6">
      <c r="A2" s="146"/>
      <c r="B2" s="123" t="s">
        <v>617</v>
      </c>
      <c r="C2" s="123" t="s">
        <v>341</v>
      </c>
      <c r="D2" s="123" t="s">
        <v>618</v>
      </c>
      <c r="E2" s="123" t="s">
        <v>395</v>
      </c>
      <c r="F2" s="123" t="s">
        <v>619</v>
      </c>
    </row>
    <row r="3" spans="1:6" ht="30">
      <c r="A3" s="206" t="s">
        <v>314</v>
      </c>
      <c r="B3" s="198"/>
      <c r="C3" s="237"/>
      <c r="D3" s="198">
        <f>SUM('Bilan Energétique'!F32:J32)</f>
        <v>382.86677592272684</v>
      </c>
      <c r="E3" s="199">
        <f>D3/(D3+D4)</f>
        <v>0.92842009036806239</v>
      </c>
      <c r="F3" s="223"/>
    </row>
    <row r="4" spans="1:6">
      <c r="A4" s="123" t="s">
        <v>413</v>
      </c>
      <c r="B4" s="198"/>
      <c r="C4" s="237"/>
      <c r="D4" s="198">
        <f>'Bilan Energétique'!U32</f>
        <v>29.518500844542732</v>
      </c>
      <c r="E4" s="199">
        <f>D4/(D4+D3)</f>
        <v>7.1579909631937597E-2</v>
      </c>
      <c r="F4" s="223"/>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O27"/>
  <sheetViews>
    <sheetView workbookViewId="0">
      <selection activeCell="E30" sqref="E30"/>
    </sheetView>
  </sheetViews>
  <sheetFormatPr baseColWidth="10" defaultColWidth="11.5703125" defaultRowHeight="15"/>
  <cols>
    <col min="1" max="1" width="17.7109375" style="146" bestFit="1" customWidth="1"/>
    <col min="2" max="2" width="20.28515625" style="146" bestFit="1" customWidth="1"/>
    <col min="3" max="3" width="10.28515625" style="146" bestFit="1" customWidth="1"/>
    <col min="4" max="4" width="18" style="146" bestFit="1" customWidth="1"/>
    <col min="5" max="5" width="18.42578125" style="146" bestFit="1" customWidth="1"/>
    <col min="6" max="6" width="16.7109375" style="146" customWidth="1"/>
    <col min="7" max="7" width="11.5703125" style="146"/>
    <col min="8" max="8" width="13.28515625" style="146" customWidth="1"/>
    <col min="9" max="9" width="32" style="146" bestFit="1" customWidth="1"/>
    <col min="10" max="16384" width="11.5703125" style="146"/>
  </cols>
  <sheetData>
    <row r="1" spans="1:11">
      <c r="A1" s="234" t="s">
        <v>392</v>
      </c>
      <c r="H1" s="130"/>
      <c r="I1" s="596" t="s">
        <v>465</v>
      </c>
      <c r="J1" s="596"/>
      <c r="K1" s="130"/>
    </row>
    <row r="2" spans="1:11">
      <c r="B2" s="123" t="s">
        <v>617</v>
      </c>
      <c r="C2" s="123" t="s">
        <v>341</v>
      </c>
      <c r="D2" s="123" t="s">
        <v>618</v>
      </c>
      <c r="E2" s="123" t="s">
        <v>395</v>
      </c>
      <c r="F2" s="123" t="s">
        <v>619</v>
      </c>
      <c r="H2" s="130"/>
      <c r="I2" s="129" t="s">
        <v>464</v>
      </c>
      <c r="J2" s="175">
        <f>J4</f>
        <v>38.85049927658698</v>
      </c>
      <c r="K2" s="130"/>
    </row>
    <row r="3" spans="1:11">
      <c r="A3" s="123" t="s">
        <v>11</v>
      </c>
      <c r="B3" s="198">
        <f>D3/C3</f>
        <v>0.22158814428279086</v>
      </c>
      <c r="C3" s="237">
        <v>0.7</v>
      </c>
      <c r="D3" s="198">
        <f>J2*E3</f>
        <v>0.1551117009979536</v>
      </c>
      <c r="E3" s="199">
        <f>F3/F7</f>
        <v>3.9925278667250165E-3</v>
      </c>
      <c r="F3" s="223">
        <v>0.16908508025315966</v>
      </c>
      <c r="H3" s="130"/>
      <c r="I3" s="124" t="s">
        <v>343</v>
      </c>
      <c r="J3" s="124"/>
      <c r="K3" s="130"/>
    </row>
    <row r="4" spans="1:11" ht="15.75" thickBot="1">
      <c r="A4" s="123" t="s">
        <v>394</v>
      </c>
      <c r="B4" s="198">
        <f>D4/C4</f>
        <v>0.20602535439069147</v>
      </c>
      <c r="C4" s="237">
        <v>0.7</v>
      </c>
      <c r="D4" s="198">
        <f>J2*E4</f>
        <v>0.14421774807348403</v>
      </c>
      <c r="E4" s="199">
        <f>F4/F7</f>
        <v>3.7121208416591956E-3</v>
      </c>
      <c r="F4" s="223">
        <v>0.15720973562953011</v>
      </c>
      <c r="H4" s="130"/>
      <c r="I4" s="124" t="s">
        <v>393</v>
      </c>
      <c r="J4" s="239">
        <f>SUM('Bilan Energétique'!P13:P16,'Bilan Energétique'!P18:P24,'Bilan Energétique'!P34)</f>
        <v>38.85049927658698</v>
      </c>
      <c r="K4" s="130"/>
    </row>
    <row r="5" spans="1:11" ht="16.5" thickTop="1" thickBot="1">
      <c r="A5" s="123" t="s">
        <v>132</v>
      </c>
      <c r="B5" s="198">
        <f>D5/C5</f>
        <v>20.097257875405116</v>
      </c>
      <c r="C5" s="237">
        <v>0.7</v>
      </c>
      <c r="D5" s="198">
        <f>J2*E5</f>
        <v>14.068080512783581</v>
      </c>
      <c r="E5" s="199">
        <f>F5/F7</f>
        <v>0.36210810091858009</v>
      </c>
      <c r="F5" s="223">
        <v>15.335416394816697</v>
      </c>
      <c r="H5" s="130"/>
      <c r="I5" s="124" t="s">
        <v>347</v>
      </c>
      <c r="J5" s="239">
        <f>IF(J3&gt;J4,J4-J3,0)</f>
        <v>0</v>
      </c>
      <c r="K5" s="130"/>
    </row>
    <row r="6" spans="1:11" ht="15.75" thickTop="1">
      <c r="A6" s="123" t="s">
        <v>176</v>
      </c>
      <c r="B6" s="198">
        <f>D6/C6</f>
        <v>44.514707844967191</v>
      </c>
      <c r="C6" s="237">
        <v>0.55000000000000004</v>
      </c>
      <c r="D6" s="198">
        <f>J2*E6</f>
        <v>24.483089314731956</v>
      </c>
      <c r="E6" s="199">
        <f>F6/F7</f>
        <v>0.63018725037303558</v>
      </c>
      <c r="F6" s="223">
        <v>26.688670777205548</v>
      </c>
      <c r="H6" s="130"/>
      <c r="I6" s="125" t="s">
        <v>348</v>
      </c>
      <c r="J6" s="240">
        <f>IF(J4&gt;J3,J4-J3,0)</f>
        <v>38.85049927658698</v>
      </c>
      <c r="K6" s="130"/>
    </row>
    <row r="7" spans="1:11">
      <c r="A7" s="123" t="s">
        <v>179</v>
      </c>
      <c r="B7" s="198">
        <f>SUM(B3:B6)</f>
        <v>65.039579219045791</v>
      </c>
      <c r="C7" s="184"/>
      <c r="D7" s="198">
        <f>SUM(D3:D6)</f>
        <v>38.850499276586973</v>
      </c>
      <c r="E7" s="199">
        <f>SUM(E3:E6)</f>
        <v>0.99999999999999989</v>
      </c>
      <c r="F7" s="238">
        <f>SUM(F3:F6)</f>
        <v>42.350381987904939</v>
      </c>
    </row>
    <row r="10" spans="1:11">
      <c r="A10" s="234" t="s">
        <v>1066</v>
      </c>
    </row>
    <row r="11" spans="1:11">
      <c r="B11" s="123" t="s">
        <v>617</v>
      </c>
      <c r="C11" s="123" t="s">
        <v>341</v>
      </c>
      <c r="D11" s="123" t="s">
        <v>618</v>
      </c>
      <c r="E11" s="123" t="s">
        <v>395</v>
      </c>
      <c r="F11" s="123" t="s">
        <v>619</v>
      </c>
    </row>
    <row r="12" spans="1:11">
      <c r="A12" s="123" t="s">
        <v>132</v>
      </c>
      <c r="B12" s="198">
        <f>B5</f>
        <v>20.097257875405116</v>
      </c>
      <c r="C12" s="198">
        <f t="shared" ref="C12:F12" si="0">C5</f>
        <v>0.7</v>
      </c>
      <c r="D12" s="198">
        <f t="shared" si="0"/>
        <v>14.068080512783581</v>
      </c>
      <c r="E12" s="198">
        <f t="shared" si="0"/>
        <v>0.36210810091858009</v>
      </c>
      <c r="F12" s="198">
        <f t="shared" si="0"/>
        <v>15.335416394816697</v>
      </c>
    </row>
    <row r="13" spans="1:11">
      <c r="A13" s="123" t="s">
        <v>991</v>
      </c>
      <c r="B13" s="198"/>
      <c r="C13" s="237"/>
      <c r="D13" s="198"/>
      <c r="E13" s="199"/>
      <c r="F13" s="223"/>
    </row>
    <row r="14" spans="1:11">
      <c r="A14" s="123" t="s">
        <v>25</v>
      </c>
      <c r="B14" s="198"/>
      <c r="C14" s="237"/>
      <c r="D14" s="198"/>
      <c r="E14" s="199"/>
      <c r="F14" s="223"/>
    </row>
    <row r="15" spans="1:11">
      <c r="A15" s="123" t="s">
        <v>26</v>
      </c>
      <c r="B15" s="198"/>
      <c r="C15" s="237"/>
      <c r="D15" s="198"/>
      <c r="E15" s="199"/>
      <c r="F15" s="223"/>
    </row>
    <row r="16" spans="1:11">
      <c r="A16" s="123" t="s">
        <v>373</v>
      </c>
      <c r="B16" s="198"/>
      <c r="C16" s="615"/>
      <c r="D16" s="198"/>
      <c r="E16" s="199"/>
      <c r="F16" s="223"/>
    </row>
    <row r="17" spans="1:15">
      <c r="A17" s="123" t="s">
        <v>1065</v>
      </c>
      <c r="B17" s="198"/>
      <c r="C17" s="615"/>
      <c r="D17" s="198"/>
      <c r="E17" s="199"/>
      <c r="F17" s="223"/>
    </row>
    <row r="18" spans="1:15">
      <c r="A18" s="123" t="s">
        <v>179</v>
      </c>
      <c r="B18" s="198">
        <f>SUM(B12:B17)</f>
        <v>20.097257875405116</v>
      </c>
      <c r="C18" s="184"/>
      <c r="D18" s="198">
        <f>SUM(D12:D17)</f>
        <v>14.068080512783581</v>
      </c>
      <c r="E18" s="199">
        <f t="shared" ref="E18:F18" si="1">SUM(E12:E17)</f>
        <v>0.36210810091858009</v>
      </c>
      <c r="F18" s="198">
        <f t="shared" si="1"/>
        <v>15.335416394816697</v>
      </c>
    </row>
    <row r="27" spans="1:15">
      <c r="F27" s="143"/>
      <c r="G27" s="143"/>
      <c r="H27" s="143"/>
      <c r="I27" s="143"/>
      <c r="K27" s="143"/>
      <c r="L27" s="143"/>
      <c r="M27" s="143"/>
      <c r="N27" s="143"/>
      <c r="O27" s="143"/>
    </row>
  </sheetData>
  <mergeCells count="1">
    <mergeCell ref="I1:J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I24"/>
  <sheetViews>
    <sheetView workbookViewId="0">
      <selection activeCell="E33" sqref="E33"/>
    </sheetView>
  </sheetViews>
  <sheetFormatPr baseColWidth="10" defaultRowHeight="15"/>
  <cols>
    <col min="1" max="1" width="17.7109375" customWidth="1"/>
    <col min="2" max="2" width="20.28515625" bestFit="1" customWidth="1"/>
    <col min="3" max="3" width="10.28515625" bestFit="1" customWidth="1"/>
    <col min="4" max="4" width="18" bestFit="1" customWidth="1"/>
    <col min="5" max="5" width="14.140625" bestFit="1" customWidth="1"/>
    <col min="8" max="8" width="45.7109375" customWidth="1"/>
    <col min="9" max="9" width="12.85546875" customWidth="1"/>
  </cols>
  <sheetData>
    <row r="1" spans="1:9">
      <c r="A1" s="234" t="s">
        <v>167</v>
      </c>
      <c r="B1" s="54"/>
      <c r="H1" s="597" t="s">
        <v>465</v>
      </c>
      <c r="I1" s="598"/>
    </row>
    <row r="2" spans="1:9">
      <c r="A2" s="54"/>
      <c r="B2" s="123" t="s">
        <v>617</v>
      </c>
      <c r="C2" s="123" t="s">
        <v>341</v>
      </c>
      <c r="D2" s="123" t="s">
        <v>618</v>
      </c>
      <c r="E2" s="123" t="s">
        <v>342</v>
      </c>
      <c r="H2" s="129" t="s">
        <v>346</v>
      </c>
      <c r="I2" s="176">
        <f>I3</f>
        <v>590.38460514642998</v>
      </c>
    </row>
    <row r="3" spans="1:9">
      <c r="A3" s="123" t="s">
        <v>133</v>
      </c>
      <c r="B3" s="198">
        <f>D3/C3</f>
        <v>1057.9335927827237</v>
      </c>
      <c r="C3" s="237">
        <v>0.26</v>
      </c>
      <c r="D3" s="198">
        <f>I2*E3</f>
        <v>275.06273412350816</v>
      </c>
      <c r="E3" s="242">
        <v>0.4659043134352831</v>
      </c>
      <c r="F3" s="146"/>
      <c r="H3" s="124" t="s">
        <v>343</v>
      </c>
      <c r="I3" s="243">
        <v>590.38460514642998</v>
      </c>
    </row>
    <row r="4" spans="1:9" ht="15.75" thickBot="1">
      <c r="A4" s="123" t="s">
        <v>172</v>
      </c>
      <c r="B4" s="198">
        <f t="shared" ref="B4:B9" si="0">D4/C4</f>
        <v>109.49999999999999</v>
      </c>
      <c r="C4" s="237">
        <v>1</v>
      </c>
      <c r="D4" s="198">
        <f>I2*E4</f>
        <v>109.49999999999999</v>
      </c>
      <c r="E4" s="242">
        <v>0.18547231591996083</v>
      </c>
      <c r="F4" s="146"/>
      <c r="H4" s="124" t="s">
        <v>345</v>
      </c>
      <c r="I4" s="244">
        <f>'Bilan Energétique'!O34+SUM('Bilan Energétique'!O13:O14) + SUM('Bilan Energétique'!O17:O24)</f>
        <v>701.72337322311159</v>
      </c>
    </row>
    <row r="5" spans="1:9" ht="16.5" thickTop="1" thickBot="1">
      <c r="A5" s="123" t="s">
        <v>174</v>
      </c>
      <c r="B5" s="198">
        <f t="shared" si="0"/>
        <v>84.096000000000004</v>
      </c>
      <c r="C5" s="237">
        <v>1</v>
      </c>
      <c r="D5" s="198">
        <f>I2*E5</f>
        <v>84.096000000000004</v>
      </c>
      <c r="E5" s="242">
        <v>0.14244273862652992</v>
      </c>
      <c r="F5" s="146"/>
      <c r="H5" s="124" t="s">
        <v>347</v>
      </c>
      <c r="I5" s="244">
        <f>IF(I3&gt;I4,I4-I3,0)</f>
        <v>0</v>
      </c>
    </row>
    <row r="6" spans="1:9" ht="15.75" thickTop="1">
      <c r="A6" s="123" t="s">
        <v>176</v>
      </c>
      <c r="B6" s="198">
        <f t="shared" si="0"/>
        <v>94.315088724814672</v>
      </c>
      <c r="C6" s="237">
        <v>0.3</v>
      </c>
      <c r="D6" s="198">
        <f>I2*E6</f>
        <v>28.294526617444401</v>
      </c>
      <c r="E6" s="242">
        <v>4.7925583375309486E-2</v>
      </c>
      <c r="F6" s="146"/>
      <c r="H6" s="125" t="s">
        <v>348</v>
      </c>
      <c r="I6" s="245">
        <f>IF(I4&gt;I3,I4-I3,0)</f>
        <v>111.33876807668162</v>
      </c>
    </row>
    <row r="7" spans="1:9">
      <c r="A7" s="123" t="s">
        <v>177</v>
      </c>
      <c r="B7" s="198">
        <f t="shared" si="0"/>
        <v>69</v>
      </c>
      <c r="C7" s="237">
        <v>1</v>
      </c>
      <c r="D7" s="198">
        <f>I2*E7</f>
        <v>69</v>
      </c>
      <c r="E7" s="242">
        <v>0.11687296619613971</v>
      </c>
      <c r="F7" s="146"/>
    </row>
    <row r="8" spans="1:9">
      <c r="A8" s="123" t="s">
        <v>132</v>
      </c>
      <c r="B8" s="198">
        <f t="shared" si="0"/>
        <v>40.71890734246238</v>
      </c>
      <c r="C8" s="237">
        <v>0.6</v>
      </c>
      <c r="D8" s="198">
        <f>I2*E8</f>
        <v>24.431344405477429</v>
      </c>
      <c r="E8" s="242">
        <v>4.1382082446776963E-2</v>
      </c>
      <c r="F8" s="146"/>
    </row>
    <row r="9" spans="1:9">
      <c r="A9" s="123" t="s">
        <v>11</v>
      </c>
      <c r="B9" s="198">
        <f t="shared" si="0"/>
        <v>0</v>
      </c>
      <c r="C9" s="237">
        <v>0.22</v>
      </c>
      <c r="D9" s="198">
        <f>I2*E9</f>
        <v>0</v>
      </c>
      <c r="E9" s="242">
        <v>0</v>
      </c>
      <c r="F9" s="146"/>
    </row>
    <row r="10" spans="1:9">
      <c r="A10" s="123" t="s">
        <v>179</v>
      </c>
      <c r="B10" s="198">
        <f>SUM(B3:B9)</f>
        <v>1455.5635888500008</v>
      </c>
      <c r="C10" s="184"/>
      <c r="D10" s="198">
        <f>SUM(D3:D9)</f>
        <v>590.38460514642998</v>
      </c>
      <c r="E10" s="210">
        <f>SUM(E3:E9)</f>
        <v>1</v>
      </c>
    </row>
    <row r="11" spans="1:9">
      <c r="A11" s="54"/>
      <c r="D11" s="54"/>
    </row>
    <row r="12" spans="1:9">
      <c r="A12" s="114"/>
      <c r="D12" s="146"/>
    </row>
    <row r="13" spans="1:9">
      <c r="A13" s="54"/>
      <c r="D13" s="143"/>
    </row>
    <row r="14" spans="1:9">
      <c r="A14" s="234" t="s">
        <v>1067</v>
      </c>
      <c r="B14" s="146"/>
      <c r="C14" s="146"/>
      <c r="D14" s="146"/>
      <c r="E14" s="146"/>
    </row>
    <row r="15" spans="1:9">
      <c r="A15" s="146"/>
      <c r="B15" s="123" t="s">
        <v>617</v>
      </c>
      <c r="C15" s="123" t="s">
        <v>341</v>
      </c>
      <c r="D15" s="123" t="s">
        <v>618</v>
      </c>
      <c r="E15" s="123" t="s">
        <v>342</v>
      </c>
    </row>
    <row r="16" spans="1:9">
      <c r="A16" s="123" t="s">
        <v>133</v>
      </c>
      <c r="B16" s="198">
        <f>B3</f>
        <v>1057.9335927827237</v>
      </c>
      <c r="C16" s="237">
        <f t="shared" ref="C16:E16" si="1">C3</f>
        <v>0.26</v>
      </c>
      <c r="D16" s="198">
        <f t="shared" si="1"/>
        <v>275.06273412350816</v>
      </c>
      <c r="E16" s="242">
        <f t="shared" si="1"/>
        <v>0.4659043134352831</v>
      </c>
    </row>
    <row r="17" spans="1:5" s="146" customFormat="1">
      <c r="A17" s="123" t="s">
        <v>394</v>
      </c>
      <c r="B17" s="198">
        <v>0</v>
      </c>
      <c r="C17" s="237">
        <v>0</v>
      </c>
      <c r="D17" s="198">
        <v>0</v>
      </c>
      <c r="E17" s="242">
        <v>0</v>
      </c>
    </row>
    <row r="18" spans="1:5">
      <c r="A18" s="123" t="s">
        <v>1068</v>
      </c>
      <c r="B18" s="198">
        <f>B8</f>
        <v>40.71890734246238</v>
      </c>
      <c r="C18" s="237">
        <f t="shared" ref="C18:E18" si="2">C8</f>
        <v>0.6</v>
      </c>
      <c r="D18" s="198">
        <f t="shared" si="2"/>
        <v>24.431344405477429</v>
      </c>
      <c r="E18" s="242">
        <f t="shared" si="2"/>
        <v>4.1382082446776963E-2</v>
      </c>
    </row>
    <row r="19" spans="1:5">
      <c r="A19" s="123" t="s">
        <v>11</v>
      </c>
      <c r="B19" s="198">
        <f>B9</f>
        <v>0</v>
      </c>
      <c r="C19" s="237">
        <f t="shared" ref="C19:E19" si="3">C9</f>
        <v>0.22</v>
      </c>
      <c r="D19" s="198">
        <f t="shared" si="3"/>
        <v>0</v>
      </c>
      <c r="E19" s="242">
        <f t="shared" si="3"/>
        <v>0</v>
      </c>
    </row>
    <row r="20" spans="1:5">
      <c r="A20" s="616" t="s">
        <v>1069</v>
      </c>
      <c r="B20" s="198">
        <f>B4</f>
        <v>109.49999999999999</v>
      </c>
      <c r="C20" s="237">
        <f t="shared" ref="C20:E20" si="4">C4</f>
        <v>1</v>
      </c>
      <c r="D20" s="198">
        <f t="shared" si="4"/>
        <v>109.49999999999999</v>
      </c>
      <c r="E20" s="242">
        <f t="shared" si="4"/>
        <v>0.18547231591996083</v>
      </c>
    </row>
    <row r="21" spans="1:5">
      <c r="A21" s="123" t="s">
        <v>1070</v>
      </c>
      <c r="B21" s="198">
        <f>B5</f>
        <v>84.096000000000004</v>
      </c>
      <c r="C21" s="237">
        <f>C5</f>
        <v>1</v>
      </c>
      <c r="D21" s="198">
        <f>D5</f>
        <v>84.096000000000004</v>
      </c>
      <c r="E21" s="242">
        <f>E5</f>
        <v>0.14244273862652992</v>
      </c>
    </row>
    <row r="22" spans="1:5">
      <c r="A22" s="123" t="s">
        <v>1071</v>
      </c>
      <c r="B22" s="198">
        <f>B7</f>
        <v>69</v>
      </c>
      <c r="C22" s="237">
        <f t="shared" ref="C22:E22" si="5">C7</f>
        <v>1</v>
      </c>
      <c r="D22" s="198">
        <f t="shared" si="5"/>
        <v>69</v>
      </c>
      <c r="E22" s="242">
        <f t="shared" si="5"/>
        <v>0.11687296619613971</v>
      </c>
    </row>
    <row r="23" spans="1:5">
      <c r="A23" s="123" t="s">
        <v>1065</v>
      </c>
      <c r="B23" s="198">
        <f>B6</f>
        <v>94.315088724814672</v>
      </c>
      <c r="C23" s="237">
        <f t="shared" ref="C23:E23" si="6">C6</f>
        <v>0.3</v>
      </c>
      <c r="D23" s="198">
        <f t="shared" si="6"/>
        <v>28.294526617444401</v>
      </c>
      <c r="E23" s="242">
        <f t="shared" si="6"/>
        <v>4.7925583375309486E-2</v>
      </c>
    </row>
    <row r="24" spans="1:5">
      <c r="A24" s="123" t="s">
        <v>179</v>
      </c>
      <c r="B24" s="198">
        <f>SUM(B16:B23)</f>
        <v>1455.5635888500008</v>
      </c>
      <c r="C24" s="184"/>
      <c r="D24" s="198">
        <f>SUM(D16:D23)</f>
        <v>590.38460514642998</v>
      </c>
      <c r="E24" s="210">
        <f>SUM(E16:E23)</f>
        <v>1</v>
      </c>
    </row>
  </sheetData>
  <mergeCells count="1">
    <mergeCell ref="H1:I1"/>
  </mergeCell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H12"/>
  <sheetViews>
    <sheetView workbookViewId="0">
      <selection activeCell="G14" sqref="G14"/>
    </sheetView>
  </sheetViews>
  <sheetFormatPr baseColWidth="10" defaultRowHeight="15"/>
  <cols>
    <col min="1" max="1" width="36.28515625" customWidth="1"/>
    <col min="2" max="2" width="13.5703125" customWidth="1"/>
    <col min="3" max="3" width="21" customWidth="1"/>
    <col min="4" max="4" width="21.7109375" customWidth="1"/>
    <col min="8" max="8" width="20.28515625" customWidth="1"/>
  </cols>
  <sheetData>
    <row r="1" spans="1:8" s="146" customFormat="1">
      <c r="A1" s="319" t="s">
        <v>644</v>
      </c>
    </row>
    <row r="2" spans="1:8" ht="45">
      <c r="A2" s="125"/>
      <c r="B2" s="206" t="s">
        <v>632</v>
      </c>
      <c r="C2" s="206" t="s">
        <v>633</v>
      </c>
      <c r="D2" s="206" t="s">
        <v>640</v>
      </c>
      <c r="H2" s="206" t="s">
        <v>639</v>
      </c>
    </row>
    <row r="3" spans="1:8">
      <c r="A3" s="123" t="s">
        <v>648</v>
      </c>
      <c r="B3" s="210">
        <v>0.32</v>
      </c>
      <c r="C3" s="123">
        <f>C7*B3</f>
        <v>295.04000000000002</v>
      </c>
      <c r="D3" s="198">
        <f>C3*PCI_H2*0.001</f>
        <v>9.8336831999999994</v>
      </c>
      <c r="G3" s="123" t="s">
        <v>28</v>
      </c>
      <c r="H3" s="225">
        <v>33.33</v>
      </c>
    </row>
    <row r="4" spans="1:8" s="146" customFormat="1">
      <c r="A4" s="123" t="s">
        <v>649</v>
      </c>
      <c r="B4" s="210">
        <f>60%-B3</f>
        <v>0.27999999999999997</v>
      </c>
      <c r="C4" s="123">
        <f>C7*B4</f>
        <v>258.15999999999997</v>
      </c>
      <c r="D4" s="198">
        <f>C4*PCI_H2*0.001</f>
        <v>8.6044727999999981</v>
      </c>
      <c r="G4" s="130"/>
    </row>
    <row r="5" spans="1:8">
      <c r="A5" s="123" t="s">
        <v>634</v>
      </c>
      <c r="B5" s="318">
        <f>40%-B6</f>
        <v>0.25</v>
      </c>
      <c r="C5" s="123">
        <f>C7*B5</f>
        <v>230.5</v>
      </c>
      <c r="D5" s="198">
        <f>C5*PCI_H2*0.001</f>
        <v>7.6825649999999994</v>
      </c>
    </row>
    <row r="6" spans="1:8">
      <c r="A6" s="123" t="s">
        <v>635</v>
      </c>
      <c r="B6" s="242">
        <v>0.15</v>
      </c>
      <c r="C6" s="123">
        <f>C7*B6</f>
        <v>138.29999999999998</v>
      </c>
      <c r="D6" s="198">
        <f>C6*PCI_H2*0.001</f>
        <v>4.6095389999999989</v>
      </c>
    </row>
    <row r="7" spans="1:8">
      <c r="A7" s="123" t="s">
        <v>179</v>
      </c>
      <c r="B7" s="210">
        <f>SUM(B3:B6)</f>
        <v>1</v>
      </c>
      <c r="C7" s="123">
        <v>922</v>
      </c>
      <c r="D7" s="198">
        <f>C7*PCI_H2*0.001</f>
        <v>30.730259999999998</v>
      </c>
    </row>
    <row r="8" spans="1:8">
      <c r="D8" s="11"/>
    </row>
    <row r="9" spans="1:8">
      <c r="A9" s="123" t="s">
        <v>645</v>
      </c>
      <c r="B9" s="210">
        <v>0.28000000000000003</v>
      </c>
      <c r="C9" s="123">
        <f>B9*C12</f>
        <v>258.16000000000003</v>
      </c>
      <c r="D9" s="198">
        <f>C9*PCI_H2*0.001</f>
        <v>8.6044727999999999</v>
      </c>
    </row>
    <row r="10" spans="1:8">
      <c r="A10" s="123" t="s">
        <v>646</v>
      </c>
      <c r="B10" s="210">
        <f>100%-B9-B11</f>
        <v>0.3</v>
      </c>
      <c r="C10" s="123">
        <f>B10*C12</f>
        <v>276.59999999999997</v>
      </c>
      <c r="D10" s="198">
        <f>C10*PCI_H2*0.001</f>
        <v>9.2190779999999979</v>
      </c>
    </row>
    <row r="11" spans="1:8" s="146" customFormat="1">
      <c r="A11" s="123" t="s">
        <v>647</v>
      </c>
      <c r="B11" s="210">
        <v>0.42</v>
      </c>
      <c r="C11" s="123">
        <f>B11*C12</f>
        <v>387.24</v>
      </c>
      <c r="D11" s="198">
        <f>C11*PCI_H2*0.001</f>
        <v>12.9067092</v>
      </c>
    </row>
    <row r="12" spans="1:8">
      <c r="A12" s="123" t="s">
        <v>643</v>
      </c>
      <c r="B12" s="210">
        <f>SUM(B9:B11)</f>
        <v>1</v>
      </c>
      <c r="C12" s="123">
        <f>C7</f>
        <v>922</v>
      </c>
      <c r="D12" s="198">
        <f>C12*PCI_H2*0.001</f>
        <v>30.730259999999998</v>
      </c>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A38"/>
  <sheetViews>
    <sheetView zoomScale="85" zoomScaleNormal="85" workbookViewId="0">
      <selection activeCell="A26" sqref="A26"/>
    </sheetView>
  </sheetViews>
  <sheetFormatPr baseColWidth="10" defaultRowHeight="15"/>
  <cols>
    <col min="1" max="1" width="39.42578125" customWidth="1"/>
    <col min="2" max="2" width="17" customWidth="1"/>
    <col min="3" max="3" width="18.7109375" customWidth="1"/>
  </cols>
  <sheetData>
    <row r="1" spans="1:27" ht="15.75" thickBot="1">
      <c r="A1" s="557" t="s">
        <v>209</v>
      </c>
      <c r="B1" s="599"/>
    </row>
    <row r="3" spans="1:27">
      <c r="A3" s="146" t="s">
        <v>436</v>
      </c>
      <c r="B3" s="146"/>
    </row>
    <row r="5" spans="1:27">
      <c r="A5" s="292" t="s">
        <v>435</v>
      </c>
      <c r="B5" s="146"/>
      <c r="E5" s="146"/>
      <c r="F5" s="146"/>
      <c r="G5" s="146"/>
      <c r="H5" s="146"/>
      <c r="I5" s="146"/>
      <c r="J5" s="146"/>
      <c r="K5" s="146"/>
      <c r="L5" s="146"/>
      <c r="M5" s="146"/>
      <c r="N5" s="146"/>
      <c r="O5" s="146"/>
      <c r="P5" s="146"/>
      <c r="Q5" s="146"/>
      <c r="R5" s="146"/>
      <c r="S5" s="146"/>
      <c r="T5" s="146"/>
      <c r="U5" s="146"/>
      <c r="V5" s="146"/>
      <c r="X5" s="146"/>
      <c r="Y5" s="146"/>
      <c r="Z5" s="146"/>
      <c r="AA5" s="146"/>
    </row>
    <row r="6" spans="1:27" ht="45">
      <c r="A6" s="146"/>
      <c r="B6" s="206" t="s">
        <v>432</v>
      </c>
      <c r="C6" s="206" t="s">
        <v>433</v>
      </c>
      <c r="D6" s="206" t="s">
        <v>434</v>
      </c>
      <c r="E6" s="146"/>
      <c r="F6" s="146"/>
      <c r="G6" s="146"/>
      <c r="H6" s="146"/>
      <c r="I6" s="146"/>
      <c r="J6" s="146"/>
      <c r="K6" s="146"/>
      <c r="L6" s="146"/>
      <c r="M6" s="146"/>
      <c r="N6" s="146"/>
      <c r="O6" s="146"/>
      <c r="P6" s="146"/>
      <c r="Q6" s="146"/>
      <c r="R6" s="146"/>
      <c r="S6" s="146"/>
      <c r="T6" s="146"/>
      <c r="U6" s="146"/>
      <c r="V6" s="146"/>
      <c r="W6" s="146"/>
    </row>
    <row r="7" spans="1:27">
      <c r="A7" s="123" t="str">
        <f>'Bilan Energétique'!A25</f>
        <v>Consommation nette de la branche énergie</v>
      </c>
      <c r="B7" s="198">
        <f>'Bilan Energétique'!B25</f>
        <v>1090.8923325822207</v>
      </c>
      <c r="C7" s="198">
        <f>SUMPRODUCT('Bilan Energétique'!C25:Y25,EstDecarbone)</f>
        <v>934.62159876199962</v>
      </c>
      <c r="D7" s="199">
        <f>C7/B7</f>
        <v>0.85674962674793309</v>
      </c>
      <c r="E7" s="146"/>
      <c r="F7" s="146"/>
      <c r="G7" s="146"/>
      <c r="H7" s="146"/>
      <c r="I7" s="146"/>
      <c r="J7" s="146"/>
      <c r="K7" s="146"/>
      <c r="L7" s="146"/>
      <c r="M7" s="146"/>
      <c r="N7" s="146"/>
      <c r="O7" s="146"/>
      <c r="P7" s="146"/>
      <c r="Q7" s="146"/>
      <c r="R7" s="146"/>
      <c r="S7" s="146"/>
      <c r="T7" s="146"/>
      <c r="U7" s="146"/>
      <c r="V7" s="146"/>
      <c r="W7" s="146"/>
    </row>
    <row r="8" spans="1:27">
      <c r="A8" s="123" t="str">
        <f>'Bilan Energétique'!$A$32</f>
        <v>Consommation finale énergétique</v>
      </c>
      <c r="B8" s="198">
        <f>'Bilan Energétique'!B32</f>
        <v>1573.4066235027612</v>
      </c>
      <c r="C8" s="198">
        <f>SUMPRODUCT('Bilan Energétique'!C32:Y32,EstDecarbone)</f>
        <v>927.15597871422017</v>
      </c>
      <c r="D8" s="199">
        <f>C8/B8</f>
        <v>0.58926660461753999</v>
      </c>
    </row>
    <row r="9" spans="1:27">
      <c r="A9" s="123" t="s">
        <v>431</v>
      </c>
      <c r="B9" s="198">
        <f>SUM(B7:B8)</f>
        <v>2664.2989560849819</v>
      </c>
      <c r="C9" s="198">
        <f>SUM(C7:C8)</f>
        <v>1861.7775774762199</v>
      </c>
      <c r="D9" s="209">
        <f>C9/B9</f>
        <v>0.69878703860319935</v>
      </c>
    </row>
    <row r="11" spans="1:27">
      <c r="A11" s="292" t="s">
        <v>439</v>
      </c>
      <c r="B11" s="146"/>
    </row>
    <row r="12" spans="1:27" ht="45">
      <c r="A12" s="146"/>
      <c r="B12" s="206" t="s">
        <v>432</v>
      </c>
      <c r="C12" s="206" t="s">
        <v>433</v>
      </c>
      <c r="D12" s="206" t="s">
        <v>434</v>
      </c>
    </row>
    <row r="13" spans="1:27">
      <c r="A13" s="123" t="str">
        <f>A19</f>
        <v>Consommation nette de la branche énergie</v>
      </c>
      <c r="B13" s="198">
        <f>L19</f>
        <v>98.404983836158948</v>
      </c>
      <c r="C13" s="198">
        <f>SUMPRODUCT(B19:K19,B21:K21)</f>
        <v>79.817248850003324</v>
      </c>
      <c r="D13" s="199">
        <f>C13/B13</f>
        <v>0.81110982125556175</v>
      </c>
    </row>
    <row r="14" spans="1:27">
      <c r="A14" s="123" t="str">
        <f>A20</f>
        <v>Consommation finale énergétique</v>
      </c>
      <c r="B14" s="198">
        <f>L20</f>
        <v>141.10976370113602</v>
      </c>
      <c r="C14" s="198">
        <f>SUMPRODUCT(B20:K20,B21:K21)</f>
        <v>55.361272417827557</v>
      </c>
      <c r="D14" s="199">
        <f>C14/B14</f>
        <v>0.3923277239346824</v>
      </c>
    </row>
    <row r="15" spans="1:27">
      <c r="A15" s="123" t="s">
        <v>431</v>
      </c>
      <c r="B15" s="198">
        <f>SUM(B13:B14)</f>
        <v>239.51474753729497</v>
      </c>
      <c r="C15" s="198">
        <f>SUM(C13:C14)</f>
        <v>135.17852126783089</v>
      </c>
      <c r="D15" s="209">
        <f>C15/B15</f>
        <v>0.56438496024877205</v>
      </c>
    </row>
    <row r="16" spans="1:27" s="146" customFormat="1">
      <c r="B16" s="11"/>
      <c r="C16" s="11"/>
      <c r="D16" s="157"/>
    </row>
    <row r="17" spans="1:12" ht="15.75">
      <c r="A17" s="200" t="s">
        <v>437</v>
      </c>
      <c r="B17" s="201"/>
      <c r="C17" s="201"/>
      <c r="D17" s="201"/>
      <c r="E17" s="201"/>
      <c r="F17" s="201"/>
      <c r="G17" s="202"/>
      <c r="H17" s="201"/>
      <c r="I17" s="201"/>
      <c r="J17" s="201"/>
      <c r="K17" s="201"/>
      <c r="L17" s="201"/>
    </row>
    <row r="18" spans="1:12" ht="45">
      <c r="A18" s="203" t="s">
        <v>57</v>
      </c>
      <c r="B18" s="204" t="s">
        <v>11</v>
      </c>
      <c r="C18" s="204" t="s">
        <v>313</v>
      </c>
      <c r="D18" s="204" t="s">
        <v>314</v>
      </c>
      <c r="E18" s="205" t="s">
        <v>132</v>
      </c>
      <c r="F18" s="205" t="s">
        <v>133</v>
      </c>
      <c r="G18" s="205" t="s">
        <v>315</v>
      </c>
      <c r="H18" s="204" t="s">
        <v>134</v>
      </c>
      <c r="I18" s="204" t="s">
        <v>316</v>
      </c>
      <c r="J18" s="204" t="s">
        <v>135</v>
      </c>
      <c r="K18" s="204" t="s">
        <v>136</v>
      </c>
      <c r="L18" s="204" t="s">
        <v>30</v>
      </c>
    </row>
    <row r="19" spans="1:12" ht="15.75">
      <c r="A19" s="147" t="s">
        <v>334</v>
      </c>
      <c r="B19" s="188">
        <v>7.3774304293027715</v>
      </c>
      <c r="C19" s="188">
        <v>59.756</v>
      </c>
      <c r="D19" s="188">
        <v>-54.735999999999997</v>
      </c>
      <c r="E19" s="188">
        <v>6.1903045568528725</v>
      </c>
      <c r="F19" s="188">
        <v>113.97587222178795</v>
      </c>
      <c r="G19" s="188">
        <v>7.1744464316423038</v>
      </c>
      <c r="H19" s="188">
        <v>4.5101509506066684</v>
      </c>
      <c r="I19" s="188">
        <v>-42.883404987102317</v>
      </c>
      <c r="J19" s="188">
        <v>-2.9598157669312917</v>
      </c>
      <c r="K19" s="188"/>
      <c r="L19" s="188">
        <v>98.404983836158948</v>
      </c>
    </row>
    <row r="20" spans="1:12" ht="15.75">
      <c r="A20" s="147" t="s">
        <v>139</v>
      </c>
      <c r="B20" s="188">
        <v>1.1313605731176026</v>
      </c>
      <c r="C20" s="188">
        <v>0</v>
      </c>
      <c r="D20" s="188">
        <v>55.22537051617261</v>
      </c>
      <c r="E20" s="188">
        <v>29.391760194018246</v>
      </c>
      <c r="F20" s="188">
        <v>0</v>
      </c>
      <c r="G20" s="188">
        <v>0</v>
      </c>
      <c r="H20" s="188">
        <v>14.208244683061297</v>
      </c>
      <c r="I20" s="188">
        <v>38.082441502020473</v>
      </c>
      <c r="J20" s="188">
        <v>3.0705862327457898</v>
      </c>
      <c r="K20" s="188"/>
      <c r="L20" s="190">
        <f>SUM(B20:J20)</f>
        <v>141.10976370113602</v>
      </c>
    </row>
    <row r="21" spans="1:12">
      <c r="A21" s="123" t="s">
        <v>438</v>
      </c>
      <c r="B21" s="123">
        <v>0</v>
      </c>
      <c r="C21" s="123">
        <v>0</v>
      </c>
      <c r="D21" s="123">
        <v>0</v>
      </c>
      <c r="E21" s="123">
        <v>0</v>
      </c>
      <c r="F21" s="123">
        <v>1</v>
      </c>
      <c r="G21" s="123">
        <v>1</v>
      </c>
      <c r="H21" s="123">
        <v>1</v>
      </c>
      <c r="I21" s="123">
        <v>1</v>
      </c>
      <c r="J21" s="123">
        <v>1</v>
      </c>
      <c r="K21" s="123">
        <v>1</v>
      </c>
      <c r="L21" s="123"/>
    </row>
    <row r="22" spans="1:12" ht="15.75" thickBot="1">
      <c r="A22" s="146"/>
      <c r="B22" s="146"/>
    </row>
    <row r="23" spans="1:12" ht="14.45" customHeight="1">
      <c r="A23" s="600" t="s">
        <v>220</v>
      </c>
      <c r="B23" s="601"/>
    </row>
    <row r="24" spans="1:12">
      <c r="A24" s="555" t="s">
        <v>221</v>
      </c>
      <c r="B24" s="602"/>
    </row>
    <row r="25" spans="1:12" s="146" customFormat="1"/>
    <row r="26" spans="1:12">
      <c r="A26" s="123" t="s">
        <v>446</v>
      </c>
      <c r="B26" s="209">
        <f>SUMPRODUCT(B30:B36,C30:C36)</f>
        <v>0.49271360411793996</v>
      </c>
    </row>
    <row r="28" spans="1:12">
      <c r="A28" s="292" t="s">
        <v>444</v>
      </c>
    </row>
    <row r="29" spans="1:12" ht="30">
      <c r="B29" s="123" t="str">
        <f>Electricité!E2</f>
        <v>Mix énergétique</v>
      </c>
      <c r="C29" s="206" t="s">
        <v>447</v>
      </c>
    </row>
    <row r="30" spans="1:12">
      <c r="A30" s="123" t="str">
        <f>Electricité!A3</f>
        <v>Nucléaire</v>
      </c>
      <c r="B30" s="241">
        <f>Electricité!E3</f>
        <v>0.4659043134352831</v>
      </c>
      <c r="C30" s="123">
        <v>0</v>
      </c>
    </row>
    <row r="31" spans="1:12">
      <c r="A31" s="123" t="str">
        <f>Electricité!A4</f>
        <v>Eolien</v>
      </c>
      <c r="B31" s="241">
        <f>Electricité!E4</f>
        <v>0.18547231591996083</v>
      </c>
      <c r="C31" s="123">
        <v>1</v>
      </c>
    </row>
    <row r="32" spans="1:12">
      <c r="A32" s="123" t="str">
        <f>Electricité!A5</f>
        <v>PV</v>
      </c>
      <c r="B32" s="241">
        <f>Electricité!E5</f>
        <v>0.14244273862652992</v>
      </c>
      <c r="C32" s="123">
        <v>1</v>
      </c>
    </row>
    <row r="33" spans="1:3">
      <c r="A33" s="123" t="str">
        <f>Electricité!A6</f>
        <v>Biomasse et déchets</v>
      </c>
      <c r="B33" s="241">
        <f>Electricité!E6</f>
        <v>4.7925583375309486E-2</v>
      </c>
      <c r="C33" s="123">
        <v>1</v>
      </c>
    </row>
    <row r="34" spans="1:3">
      <c r="A34" s="123" t="str">
        <f>Electricité!A7</f>
        <v>Hydro</v>
      </c>
      <c r="B34" s="241">
        <f>Electricité!E7</f>
        <v>0.11687296619613971</v>
      </c>
      <c r="C34" s="123">
        <v>1</v>
      </c>
    </row>
    <row r="35" spans="1:3">
      <c r="A35" s="123" t="str">
        <f>Electricité!A8</f>
        <v>Gaz</v>
      </c>
      <c r="B35" s="241">
        <f>Electricité!E8</f>
        <v>4.1382082446776963E-2</v>
      </c>
      <c r="C35" s="123">
        <v>0</v>
      </c>
    </row>
    <row r="36" spans="1:3">
      <c r="A36" s="123" t="str">
        <f>Electricité!A9</f>
        <v>Charbon</v>
      </c>
      <c r="B36" s="241">
        <f>Electricité!E9</f>
        <v>0</v>
      </c>
      <c r="C36" s="123">
        <v>0</v>
      </c>
    </row>
    <row r="37" spans="1:3">
      <c r="A37" s="123" t="str">
        <f>Electricité!A10</f>
        <v>Production totale</v>
      </c>
      <c r="B37" s="123">
        <f>Electricité!E10</f>
        <v>1</v>
      </c>
    </row>
    <row r="38" spans="1:3" s="146" customFormat="1"/>
  </sheetData>
  <mergeCells count="3">
    <mergeCell ref="A1:B1"/>
    <mergeCell ref="A23:B23"/>
    <mergeCell ref="A24:B24"/>
  </mergeCells>
  <conditionalFormatting sqref="B19:L20">
    <cfRule type="cellIs" dxfId="0" priority="4"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topLeftCell="A13" workbookViewId="0">
      <selection activeCell="C52" sqref="C52"/>
    </sheetView>
  </sheetViews>
  <sheetFormatPr baseColWidth="10" defaultColWidth="11.5703125" defaultRowHeight="14.25"/>
  <cols>
    <col min="1" max="16384" width="11.5703125" style="1"/>
  </cols>
  <sheetData>
    <row r="1" spans="1:3">
      <c r="A1" s="1" t="s">
        <v>0</v>
      </c>
      <c r="B1" s="2">
        <v>43892</v>
      </c>
      <c r="C1" s="1" t="s">
        <v>1</v>
      </c>
    </row>
    <row r="2" spans="1:3">
      <c r="C2" s="1" t="s">
        <v>2</v>
      </c>
    </row>
    <row r="3" spans="1:3">
      <c r="C3" s="1" t="s">
        <v>3</v>
      </c>
    </row>
    <row r="4" spans="1:3">
      <c r="C4" s="1" t="s">
        <v>4</v>
      </c>
    </row>
    <row r="6" spans="1:3">
      <c r="A6" s="1" t="s">
        <v>5</v>
      </c>
      <c r="B6" s="2">
        <v>43893</v>
      </c>
      <c r="C6" s="1" t="s">
        <v>6</v>
      </c>
    </row>
    <row r="7" spans="1:3">
      <c r="C7" s="1" t="s">
        <v>7</v>
      </c>
    </row>
    <row r="8" spans="1:3">
      <c r="C8" s="1" t="s">
        <v>422</v>
      </c>
    </row>
    <row r="10" spans="1:3">
      <c r="A10" s="1" t="s">
        <v>8</v>
      </c>
      <c r="B10" s="2">
        <v>43908</v>
      </c>
      <c r="C10" s="1" t="s">
        <v>9</v>
      </c>
    </row>
    <row r="11" spans="1:3">
      <c r="B11" s="2"/>
      <c r="C11" s="1" t="s">
        <v>202</v>
      </c>
    </row>
    <row r="12" spans="1:3">
      <c r="B12" s="2">
        <v>43909</v>
      </c>
      <c r="C12" s="1" t="s">
        <v>183</v>
      </c>
    </row>
    <row r="13" spans="1:3">
      <c r="C13" s="1" t="s">
        <v>201</v>
      </c>
    </row>
    <row r="14" spans="1:3">
      <c r="C14" s="1" t="s">
        <v>203</v>
      </c>
    </row>
    <row r="15" spans="1:3">
      <c r="B15" s="2">
        <v>43910</v>
      </c>
      <c r="C15" s="1" t="s">
        <v>258</v>
      </c>
    </row>
    <row r="16" spans="1:3">
      <c r="B16" s="2"/>
    </row>
    <row r="17" spans="1:3">
      <c r="A17" s="1" t="s">
        <v>268</v>
      </c>
      <c r="B17" s="2">
        <v>43913</v>
      </c>
      <c r="C17" s="1" t="s">
        <v>423</v>
      </c>
    </row>
    <row r="18" spans="1:3">
      <c r="B18" s="2">
        <v>43914</v>
      </c>
      <c r="C18" s="1" t="s">
        <v>274</v>
      </c>
    </row>
    <row r="19" spans="1:3">
      <c r="B19" s="2">
        <v>43915</v>
      </c>
      <c r="C19" s="1" t="s">
        <v>339</v>
      </c>
    </row>
    <row r="20" spans="1:3">
      <c r="B20" s="2">
        <v>43916</v>
      </c>
      <c r="C20" s="1" t="s">
        <v>340</v>
      </c>
    </row>
    <row r="21" spans="1:3">
      <c r="C21" s="1" t="s">
        <v>356</v>
      </c>
    </row>
    <row r="22" spans="1:3">
      <c r="B22" s="2">
        <v>43917</v>
      </c>
      <c r="C22" s="1" t="s">
        <v>355</v>
      </c>
    </row>
    <row r="24" spans="1:3">
      <c r="A24" s="1" t="s">
        <v>361</v>
      </c>
      <c r="B24" s="2">
        <v>43917</v>
      </c>
      <c r="C24" s="1" t="s">
        <v>362</v>
      </c>
    </row>
    <row r="25" spans="1:3">
      <c r="B25" s="2"/>
      <c r="C25" s="1" t="s">
        <v>388</v>
      </c>
    </row>
    <row r="26" spans="1:3">
      <c r="B26" s="2">
        <v>43920</v>
      </c>
      <c r="C26" s="1" t="s">
        <v>412</v>
      </c>
    </row>
    <row r="27" spans="1:3">
      <c r="B27" s="2">
        <v>43922</v>
      </c>
      <c r="C27" s="1" t="s">
        <v>420</v>
      </c>
    </row>
    <row r="28" spans="1:3">
      <c r="C28" s="1" t="s">
        <v>421</v>
      </c>
    </row>
    <row r="29" spans="1:3">
      <c r="C29" s="1" t="s">
        <v>455</v>
      </c>
    </row>
    <row r="30" spans="1:3">
      <c r="C30" s="1" t="s">
        <v>466</v>
      </c>
    </row>
    <row r="31" spans="1:3">
      <c r="B31" s="2">
        <v>43923</v>
      </c>
      <c r="C31" s="1" t="s">
        <v>493</v>
      </c>
    </row>
    <row r="33" spans="1:3">
      <c r="A33" s="1" t="s">
        <v>531</v>
      </c>
      <c r="B33" s="2">
        <v>43924</v>
      </c>
      <c r="C33" s="1" t="s">
        <v>532</v>
      </c>
    </row>
    <row r="34" spans="1:3">
      <c r="C34" s="1" t="s">
        <v>571</v>
      </c>
    </row>
    <row r="35" spans="1:3">
      <c r="B35" s="2">
        <v>43927</v>
      </c>
      <c r="C35" s="1" t="s">
        <v>604</v>
      </c>
    </row>
    <row r="36" spans="1:3">
      <c r="B36" s="2">
        <v>43928</v>
      </c>
      <c r="C36" s="1" t="s">
        <v>614</v>
      </c>
    </row>
    <row r="37" spans="1:3">
      <c r="B37" s="2">
        <v>43929</v>
      </c>
      <c r="C37" s="1" t="s">
        <v>615</v>
      </c>
    </row>
    <row r="38" spans="1:3">
      <c r="C38" s="1" t="s">
        <v>624</v>
      </c>
    </row>
    <row r="39" spans="1:3">
      <c r="B39" s="2">
        <v>43904</v>
      </c>
      <c r="C39" s="1" t="s">
        <v>631</v>
      </c>
    </row>
    <row r="40" spans="1:3">
      <c r="B40" s="2">
        <v>43906</v>
      </c>
      <c r="C40" s="1" t="s">
        <v>638</v>
      </c>
    </row>
    <row r="41" spans="1:3">
      <c r="C41" s="1" t="s">
        <v>650</v>
      </c>
    </row>
    <row r="42" spans="1:3">
      <c r="B42" s="2">
        <v>43941</v>
      </c>
      <c r="C42" s="1" t="s">
        <v>710</v>
      </c>
    </row>
    <row r="43" spans="1:3">
      <c r="C43" s="1" t="s">
        <v>711</v>
      </c>
    </row>
    <row r="44" spans="1:3">
      <c r="B44" s="2">
        <v>43942</v>
      </c>
      <c r="C44" s="1" t="s">
        <v>728</v>
      </c>
    </row>
    <row r="45" spans="1:3">
      <c r="C45" s="1" t="s">
        <v>736</v>
      </c>
    </row>
    <row r="46" spans="1:3">
      <c r="B46" s="2">
        <v>43944</v>
      </c>
      <c r="C46" s="1" t="s">
        <v>775</v>
      </c>
    </row>
    <row r="47" spans="1:3">
      <c r="B47" s="2">
        <v>43949</v>
      </c>
      <c r="C47" s="1" t="s">
        <v>776</v>
      </c>
    </row>
    <row r="48" spans="1:3">
      <c r="C48" s="1" t="s">
        <v>795</v>
      </c>
    </row>
    <row r="49" spans="2:3">
      <c r="C49" s="1" t="s">
        <v>796</v>
      </c>
    </row>
    <row r="50" spans="2:3">
      <c r="B50" s="2">
        <v>43956</v>
      </c>
      <c r="C50" s="1" t="s">
        <v>1061</v>
      </c>
    </row>
    <row r="51" spans="2:3">
      <c r="B51" s="2">
        <v>43962</v>
      </c>
      <c r="C51" s="1" t="s">
        <v>1064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0"/>
  <sheetViews>
    <sheetView zoomScale="70" zoomScaleNormal="70" workbookViewId="0">
      <selection activeCell="O20" sqref="O20"/>
    </sheetView>
  </sheetViews>
  <sheetFormatPr baseColWidth="10" defaultColWidth="11.5703125" defaultRowHeight="14.25"/>
  <cols>
    <col min="1" max="1" width="65.85546875" style="1" customWidth="1"/>
    <col min="2" max="2" width="11.5703125" style="1"/>
    <col min="3" max="3" width="11.5703125" style="1" hidden="1" customWidth="1"/>
    <col min="4" max="16384" width="11.5703125" style="1"/>
  </cols>
  <sheetData>
    <row r="1" spans="1:6" ht="15" thickBot="1">
      <c r="B1" s="1">
        <v>2050</v>
      </c>
      <c r="D1" s="1">
        <v>2015</v>
      </c>
      <c r="E1" s="1">
        <f>B1</f>
        <v>2050</v>
      </c>
    </row>
    <row r="2" spans="1:6" ht="16.5" thickBot="1">
      <c r="A2" s="603" t="s">
        <v>37</v>
      </c>
      <c r="B2" s="603"/>
      <c r="D2" s="374"/>
      <c r="E2" s="1">
        <f t="shared" ref="E2:E36" si="0">B2</f>
        <v>0</v>
      </c>
      <c r="F2" s="1" t="s">
        <v>122</v>
      </c>
    </row>
    <row r="3" spans="1:6" ht="15.75" thickBot="1">
      <c r="A3" s="14"/>
      <c r="B3" s="15" t="s">
        <v>38</v>
      </c>
      <c r="D3" s="375" t="s">
        <v>38</v>
      </c>
      <c r="E3" s="1" t="str">
        <f t="shared" si="0"/>
        <v>Mt eq. CO2</v>
      </c>
    </row>
    <row r="4" spans="1:6" ht="15">
      <c r="A4" s="16" t="s">
        <v>39</v>
      </c>
      <c r="B4" s="17">
        <v>86.901706270771342</v>
      </c>
      <c r="D4" s="376">
        <v>105.46453830857723</v>
      </c>
      <c r="E4" s="1">
        <f t="shared" si="0"/>
        <v>86.901706270771342</v>
      </c>
      <c r="F4" s="1" t="s">
        <v>55</v>
      </c>
    </row>
    <row r="5" spans="1:6" ht="15">
      <c r="A5" s="14" t="s">
        <v>40</v>
      </c>
      <c r="B5" s="18">
        <v>6.8059662663624643</v>
      </c>
      <c r="D5" s="377">
        <v>12.282552611822611</v>
      </c>
      <c r="E5" s="1">
        <f t="shared" si="0"/>
        <v>6.8059662663624643</v>
      </c>
    </row>
    <row r="6" spans="1:6" ht="15">
      <c r="A6" s="14" t="s">
        <v>41</v>
      </c>
      <c r="B6" s="18">
        <v>28.614717011573457</v>
      </c>
      <c r="D6" s="377">
        <v>32.844388491013014</v>
      </c>
      <c r="E6" s="1">
        <f t="shared" si="0"/>
        <v>28.614717011573457</v>
      </c>
    </row>
    <row r="7" spans="1:6" ht="15">
      <c r="A7" s="14" t="s">
        <v>42</v>
      </c>
      <c r="B7" s="18">
        <v>37.798972471713029</v>
      </c>
      <c r="D7" s="377">
        <v>43.357404815082951</v>
      </c>
      <c r="E7" s="1">
        <f t="shared" si="0"/>
        <v>37.798972471713029</v>
      </c>
    </row>
    <row r="8" spans="1:6" ht="15">
      <c r="A8" s="14" t="s">
        <v>43</v>
      </c>
      <c r="B8" s="18">
        <v>13.682050521122385</v>
      </c>
      <c r="D8" s="377">
        <v>16.980192390658658</v>
      </c>
      <c r="E8" s="1">
        <f t="shared" si="0"/>
        <v>13.682050521122385</v>
      </c>
    </row>
    <row r="9" spans="1:6">
      <c r="A9" s="19" t="s">
        <v>44</v>
      </c>
      <c r="B9" s="20">
        <v>80.095740004408867</v>
      </c>
      <c r="D9" s="378">
        <v>93.181985696754623</v>
      </c>
      <c r="E9" s="1">
        <f t="shared" si="0"/>
        <v>80.095740004408867</v>
      </c>
    </row>
    <row r="10" spans="1:6" ht="15">
      <c r="A10" s="16" t="s">
        <v>45</v>
      </c>
      <c r="B10" s="17">
        <v>18.615638303907946</v>
      </c>
      <c r="D10" s="376">
        <v>24.439580499115166</v>
      </c>
      <c r="E10" s="1">
        <f t="shared" si="0"/>
        <v>18.615638303907946</v>
      </c>
    </row>
    <row r="11" spans="1:6" ht="15">
      <c r="A11" s="14" t="s">
        <v>46</v>
      </c>
      <c r="B11" s="18">
        <v>1.3738374777984321</v>
      </c>
      <c r="D11" s="377">
        <v>1.5708240639976039</v>
      </c>
      <c r="E11" s="1">
        <f t="shared" si="0"/>
        <v>1.3738374777984321</v>
      </c>
    </row>
    <row r="12" spans="1:6" ht="15">
      <c r="A12" s="14" t="s">
        <v>47</v>
      </c>
      <c r="B12" s="18">
        <v>8.9716965208007569</v>
      </c>
      <c r="D12" s="377">
        <v>12.368063503172118</v>
      </c>
      <c r="E12" s="1">
        <f t="shared" si="0"/>
        <v>8.9716965208007569</v>
      </c>
    </row>
    <row r="13" spans="1:6" ht="15">
      <c r="A13" s="14" t="s">
        <v>48</v>
      </c>
      <c r="B13" s="18">
        <v>0.81423729363729436</v>
      </c>
      <c r="D13" s="377">
        <v>0.91024449172146527</v>
      </c>
      <c r="E13" s="1">
        <f t="shared" si="0"/>
        <v>0.81423729363729436</v>
      </c>
    </row>
    <row r="14" spans="1:6" ht="15">
      <c r="A14" s="14" t="s">
        <v>50</v>
      </c>
      <c r="B14" s="18">
        <v>0.41705307801203578</v>
      </c>
      <c r="D14" s="377">
        <v>0.46866899101387155</v>
      </c>
      <c r="E14" s="1">
        <f t="shared" si="0"/>
        <v>0.41705307801203578</v>
      </c>
    </row>
    <row r="15" spans="1:6" ht="15">
      <c r="A15" s="14" t="s">
        <v>51</v>
      </c>
      <c r="B15" s="18">
        <v>4.2989457025853168</v>
      </c>
      <c r="D15" s="377">
        <v>6.1413510036933108</v>
      </c>
      <c r="E15" s="1">
        <f t="shared" si="0"/>
        <v>4.2989457025853168</v>
      </c>
    </row>
    <row r="16" spans="1:6" ht="15.75" thickBot="1">
      <c r="A16" s="14" t="s">
        <v>52</v>
      </c>
      <c r="B16" s="18">
        <v>2.7398682310741118</v>
      </c>
      <c r="D16" s="377">
        <v>2.9804284455167966</v>
      </c>
      <c r="E16" s="1">
        <f t="shared" si="0"/>
        <v>2.7398682310741118</v>
      </c>
    </row>
    <row r="17" spans="1:7" ht="15">
      <c r="A17" s="21" t="s">
        <v>53</v>
      </c>
      <c r="B17" s="22">
        <v>105.51734457467929</v>
      </c>
      <c r="D17" s="379">
        <v>129.90411880769238</v>
      </c>
      <c r="E17" s="1">
        <f t="shared" si="0"/>
        <v>105.51734457467929</v>
      </c>
    </row>
    <row r="18" spans="1:7" ht="15.75" thickBot="1">
      <c r="D18" s="146"/>
      <c r="E18" s="1">
        <f t="shared" si="0"/>
        <v>0</v>
      </c>
    </row>
    <row r="19" spans="1:7" ht="16.5" thickBot="1">
      <c r="A19" s="603" t="s">
        <v>54</v>
      </c>
      <c r="B19" s="603"/>
      <c r="D19" s="374"/>
      <c r="E19" s="1">
        <f t="shared" si="0"/>
        <v>0</v>
      </c>
    </row>
    <row r="20" spans="1:7" ht="15.75" thickBot="1">
      <c r="A20" s="14"/>
      <c r="B20" s="15" t="s">
        <v>56</v>
      </c>
      <c r="C20" s="15" t="s">
        <v>57</v>
      </c>
      <c r="D20" s="375" t="s">
        <v>56</v>
      </c>
      <c r="E20" s="1" t="str">
        <f t="shared" si="0"/>
        <v>TWh</v>
      </c>
    </row>
    <row r="21" spans="1:7" ht="15">
      <c r="A21" s="16" t="s">
        <v>58</v>
      </c>
      <c r="B21" s="23">
        <v>60.563629406720722</v>
      </c>
      <c r="C21" s="23">
        <f>B21/11.63</f>
        <v>5.2075347727188923</v>
      </c>
      <c r="D21" s="380">
        <v>68.504295061778436</v>
      </c>
      <c r="E21" s="1">
        <f t="shared" si="0"/>
        <v>60.563629406720722</v>
      </c>
      <c r="G21" s="24"/>
    </row>
    <row r="22" spans="1:7" ht="15">
      <c r="A22" s="14" t="s">
        <v>59</v>
      </c>
      <c r="B22" s="23">
        <v>25.494110974024796</v>
      </c>
      <c r="C22" s="23">
        <f t="shared" ref="C22:C35" si="1">B22/11.63</f>
        <v>2.1920989659522609</v>
      </c>
      <c r="D22" s="381">
        <v>37.310880124541136</v>
      </c>
      <c r="E22" s="1">
        <f t="shared" si="0"/>
        <v>25.494110974024796</v>
      </c>
    </row>
    <row r="23" spans="1:7" ht="15">
      <c r="A23" s="14" t="s">
        <v>60</v>
      </c>
      <c r="B23" s="23">
        <v>6.373527743506199</v>
      </c>
      <c r="C23" s="23">
        <f t="shared" si="1"/>
        <v>0.54802474148806524</v>
      </c>
      <c r="D23" s="381">
        <v>0</v>
      </c>
      <c r="E23" s="1">
        <f t="shared" si="0"/>
        <v>6.373527743506199</v>
      </c>
    </row>
    <row r="24" spans="1:7" ht="15">
      <c r="A24" s="14" t="s">
        <v>61</v>
      </c>
      <c r="B24" s="23">
        <v>12.849272906913098</v>
      </c>
      <c r="C24" s="23">
        <f t="shared" si="1"/>
        <v>1.104838599046698</v>
      </c>
      <c r="D24" s="381">
        <v>14.223327666452859</v>
      </c>
      <c r="E24" s="1">
        <f t="shared" si="0"/>
        <v>12.849272906913098</v>
      </c>
    </row>
    <row r="25" spans="1:7" ht="15">
      <c r="A25" s="14" t="s">
        <v>62</v>
      </c>
      <c r="B25" s="23">
        <v>13.031452611550277</v>
      </c>
      <c r="C25" s="23">
        <f t="shared" si="1"/>
        <v>1.1205032340112018</v>
      </c>
      <c r="D25" s="381">
        <v>16.526467529949116</v>
      </c>
      <c r="E25" s="1">
        <f t="shared" si="0"/>
        <v>13.031452611550277</v>
      </c>
    </row>
    <row r="26" spans="1:7" ht="15">
      <c r="A26" s="14" t="s">
        <v>63</v>
      </c>
      <c r="B26" s="23">
        <v>0.33407405489879066</v>
      </c>
      <c r="C26" s="23">
        <f t="shared" si="1"/>
        <v>2.8725198185622584E-2</v>
      </c>
      <c r="D26" s="381">
        <v>0.20633476317922297</v>
      </c>
      <c r="E26" s="1">
        <f t="shared" si="0"/>
        <v>0.33407405489879066</v>
      </c>
    </row>
    <row r="27" spans="1:7" ht="15">
      <c r="A27" s="14" t="s">
        <v>64</v>
      </c>
      <c r="B27" s="23">
        <v>0.1815230079069215</v>
      </c>
      <c r="C27" s="23">
        <f t="shared" si="1"/>
        <v>1.5608169209537531E-2</v>
      </c>
      <c r="D27" s="381">
        <v>0.23728497765610645</v>
      </c>
      <c r="E27" s="1">
        <f t="shared" si="0"/>
        <v>0.1815230079069215</v>
      </c>
    </row>
    <row r="28" spans="1:7" ht="15">
      <c r="A28" s="14" t="s">
        <v>65</v>
      </c>
      <c r="B28" s="23">
        <f>B21-SUM(B22:B27)</f>
        <v>2.2996681079206382</v>
      </c>
      <c r="C28" s="23">
        <f t="shared" si="1"/>
        <v>0.19773586482550629</v>
      </c>
      <c r="D28" s="381">
        <v>0</v>
      </c>
      <c r="E28" s="1">
        <f t="shared" si="0"/>
        <v>2.2996681079206382</v>
      </c>
    </row>
    <row r="29" spans="1:7" ht="15">
      <c r="A29" s="16" t="s">
        <v>66</v>
      </c>
      <c r="B29" s="23">
        <v>51.411263583436032</v>
      </c>
      <c r="C29" s="23">
        <f t="shared" si="1"/>
        <v>4.4205729650417913</v>
      </c>
      <c r="D29" s="380">
        <v>62.697190514235373</v>
      </c>
      <c r="E29" s="1">
        <f t="shared" si="0"/>
        <v>51.411263583436032</v>
      </c>
    </row>
    <row r="30" spans="1:7" ht="15">
      <c r="A30" s="14" t="s">
        <v>67</v>
      </c>
      <c r="B30" s="23">
        <v>28.901889588396021</v>
      </c>
      <c r="C30" s="23">
        <f t="shared" si="1"/>
        <v>2.4851151838689614</v>
      </c>
      <c r="D30" s="381">
        <v>36.180688974153881</v>
      </c>
      <c r="E30" s="1">
        <f t="shared" si="0"/>
        <v>28.901889588396021</v>
      </c>
    </row>
    <row r="31" spans="1:7" ht="15">
      <c r="A31" s="14" t="s">
        <v>68</v>
      </c>
      <c r="B31" s="23">
        <v>3.8891055507407919</v>
      </c>
      <c r="C31" s="23">
        <f t="shared" si="1"/>
        <v>0.33440288484443609</v>
      </c>
      <c r="D31" s="381">
        <v>4.327674874085667</v>
      </c>
      <c r="E31" s="1">
        <f t="shared" si="0"/>
        <v>3.8891055507407919</v>
      </c>
    </row>
    <row r="32" spans="1:7" ht="15">
      <c r="A32" s="14" t="s">
        <v>69</v>
      </c>
      <c r="B32" s="23">
        <v>3.7897467011799257</v>
      </c>
      <c r="C32" s="23">
        <f t="shared" si="1"/>
        <v>0.32585956158038915</v>
      </c>
      <c r="D32" s="381">
        <v>4.2587786933654668</v>
      </c>
      <c r="E32" s="1">
        <f t="shared" si="0"/>
        <v>3.7897467011799257</v>
      </c>
    </row>
    <row r="33" spans="1:5" ht="15">
      <c r="A33" s="14" t="s">
        <v>51</v>
      </c>
      <c r="B33" s="23">
        <v>5.2745242821930631</v>
      </c>
      <c r="C33" s="23">
        <f t="shared" si="1"/>
        <v>0.45352745332700456</v>
      </c>
      <c r="D33" s="381">
        <v>7.535034688847233</v>
      </c>
      <c r="E33" s="1">
        <f t="shared" si="0"/>
        <v>5.2745242821930631</v>
      </c>
    </row>
    <row r="34" spans="1:5" ht="15">
      <c r="A34" s="14" t="s">
        <v>70</v>
      </c>
      <c r="B34" s="23">
        <v>9.5559974609262284</v>
      </c>
      <c r="C34" s="23">
        <f t="shared" si="1"/>
        <v>0.82166788142099978</v>
      </c>
      <c r="D34" s="381">
        <v>10.395013283783143</v>
      </c>
      <c r="E34" s="1">
        <f t="shared" si="0"/>
        <v>9.5559974609262284</v>
      </c>
    </row>
    <row r="35" spans="1:5" ht="15.75" thickBot="1">
      <c r="A35" s="25" t="s">
        <v>71</v>
      </c>
      <c r="B35" s="23">
        <v>111.97489299015675</v>
      </c>
      <c r="C35" s="23">
        <f t="shared" si="1"/>
        <v>9.6281077377606827</v>
      </c>
      <c r="D35" s="382">
        <v>131.20148557601382</v>
      </c>
      <c r="E35" s="1">
        <f t="shared" si="0"/>
        <v>111.97489299015675</v>
      </c>
    </row>
    <row r="36" spans="1:5" ht="15.75" thickBot="1">
      <c r="A36" s="25" t="s">
        <v>72</v>
      </c>
      <c r="B36" s="26">
        <v>0.25258891921885029</v>
      </c>
      <c r="D36" s="383">
        <v>3.801235922648488E-3</v>
      </c>
      <c r="E36" s="1">
        <f t="shared" si="0"/>
        <v>0.25258891921885029</v>
      </c>
    </row>
    <row r="37" spans="1:5" ht="15" thickBot="1"/>
    <row r="38" spans="1:5" ht="16.5" thickBot="1">
      <c r="A38" s="603" t="s">
        <v>73</v>
      </c>
      <c r="B38" s="603"/>
    </row>
    <row r="39" spans="1:5" ht="15.75" thickBot="1">
      <c r="A39" s="27" t="s">
        <v>74</v>
      </c>
      <c r="B39" s="28">
        <v>25878783.663051087</v>
      </c>
    </row>
    <row r="40" spans="1:5" ht="15.75" thickBot="1">
      <c r="A40" s="27" t="s">
        <v>75</v>
      </c>
      <c r="B40" s="28">
        <v>7931956</v>
      </c>
    </row>
    <row r="41" spans="1:5" ht="15.75" thickBot="1">
      <c r="A41" s="27"/>
      <c r="B41" s="28"/>
    </row>
    <row r="42" spans="1:5" ht="15">
      <c r="A42" s="27" t="s">
        <v>76</v>
      </c>
      <c r="B42" s="28">
        <v>1939583.5770381032</v>
      </c>
    </row>
    <row r="43" spans="1:5">
      <c r="A43" s="29" t="s">
        <v>77</v>
      </c>
      <c r="B43" s="30">
        <v>31.516602651176825</v>
      </c>
    </row>
    <row r="44" spans="1:5" ht="15">
      <c r="A44" s="31" t="s">
        <v>78</v>
      </c>
      <c r="B44" s="32">
        <v>0.11842741935483903</v>
      </c>
    </row>
    <row r="45" spans="1:5">
      <c r="A45" s="33"/>
      <c r="B45" s="33"/>
    </row>
    <row r="46" spans="1:5" ht="110.45" customHeight="1">
      <c r="A46" s="34" t="s">
        <v>79</v>
      </c>
      <c r="B46" s="35">
        <v>12926.849214387452</v>
      </c>
    </row>
    <row r="47" spans="1:5">
      <c r="A47" s="36" t="s">
        <v>80</v>
      </c>
      <c r="B47" s="37">
        <v>3514.2398172561175</v>
      </c>
    </row>
    <row r="48" spans="1:5" ht="100.9" customHeight="1">
      <c r="A48" s="38" t="s">
        <v>81</v>
      </c>
      <c r="B48" s="37">
        <v>11.264513940460001</v>
      </c>
    </row>
    <row r="49" spans="1:2" ht="115.15" customHeight="1">
      <c r="A49" s="38" t="s">
        <v>82</v>
      </c>
      <c r="B49" s="39">
        <v>16.971820713647848</v>
      </c>
    </row>
    <row r="50" spans="1:2" ht="72" customHeight="1">
      <c r="A50" s="38" t="s">
        <v>83</v>
      </c>
      <c r="B50" s="39"/>
    </row>
    <row r="51" spans="1:2" ht="15">
      <c r="A51" s="31" t="s">
        <v>84</v>
      </c>
      <c r="B51" s="40">
        <v>0.27500000000000002</v>
      </c>
    </row>
    <row r="52" spans="1:2" ht="15.75" thickBot="1">
      <c r="A52" s="41" t="s">
        <v>85</v>
      </c>
      <c r="B52" s="42">
        <v>8959167.5902551562</v>
      </c>
    </row>
    <row r="53" spans="1:2" ht="15" thickBot="1"/>
    <row r="54" spans="1:2" ht="16.5" thickBot="1">
      <c r="A54" s="603" t="s">
        <v>86</v>
      </c>
      <c r="B54" s="603"/>
    </row>
    <row r="55" spans="1:2" ht="15">
      <c r="A55" s="43" t="s">
        <v>87</v>
      </c>
      <c r="B55" s="44">
        <v>60.895268306021975</v>
      </c>
    </row>
    <row r="56" spans="1:2" ht="15">
      <c r="A56" s="43" t="s">
        <v>88</v>
      </c>
      <c r="B56" s="45">
        <v>27.2977437577212</v>
      </c>
    </row>
    <row r="57" spans="1:2">
      <c r="A57" s="46" t="s">
        <v>89</v>
      </c>
      <c r="B57" s="47">
        <v>1.1410327767207149</v>
      </c>
    </row>
    <row r="58" spans="1:2">
      <c r="A58" s="46" t="s">
        <v>90</v>
      </c>
      <c r="B58" s="47">
        <v>14.799759023493122</v>
      </c>
    </row>
    <row r="59" spans="1:2">
      <c r="A59" s="46" t="s">
        <v>91</v>
      </c>
      <c r="B59" s="47">
        <v>0</v>
      </c>
    </row>
    <row r="60" spans="1:2">
      <c r="A60" s="46" t="s">
        <v>92</v>
      </c>
      <c r="B60" s="47">
        <v>11.356951957507361</v>
      </c>
    </row>
    <row r="61" spans="1:2" ht="15">
      <c r="A61" s="43" t="s">
        <v>93</v>
      </c>
      <c r="B61" s="45">
        <v>5.3772023539299756</v>
      </c>
    </row>
    <row r="62" spans="1:2">
      <c r="A62" s="46" t="s">
        <v>89</v>
      </c>
      <c r="B62" s="48">
        <v>2.5695088158601536</v>
      </c>
    </row>
    <row r="63" spans="1:2">
      <c r="A63" s="46" t="s">
        <v>94</v>
      </c>
      <c r="B63" s="48">
        <v>1.8973212537978217</v>
      </c>
    </row>
    <row r="64" spans="1:2">
      <c r="A64" s="46" t="s">
        <v>95</v>
      </c>
      <c r="B64" s="48">
        <v>0.91037228427200001</v>
      </c>
    </row>
    <row r="65" spans="1:2" ht="15">
      <c r="A65" s="43" t="s">
        <v>96</v>
      </c>
      <c r="B65" s="45">
        <v>28.220322194370802</v>
      </c>
    </row>
    <row r="66" spans="1:2" ht="15" thickBot="1"/>
    <row r="67" spans="1:2" ht="16.5" thickBot="1">
      <c r="A67" s="603" t="s">
        <v>97</v>
      </c>
      <c r="B67" s="603"/>
    </row>
    <row r="68" spans="1:2">
      <c r="A68" s="1" t="s">
        <v>98</v>
      </c>
      <c r="B68" s="49">
        <v>0.8398693801846232</v>
      </c>
    </row>
    <row r="69" spans="1:2" ht="15" thickBot="1"/>
    <row r="70" spans="1:2" ht="16.5" thickBot="1">
      <c r="A70" s="603" t="s">
        <v>99</v>
      </c>
      <c r="B70" s="603"/>
    </row>
    <row r="71" spans="1:2">
      <c r="A71" s="1" t="s">
        <v>100</v>
      </c>
      <c r="B71" s="50">
        <v>23678.570794356816</v>
      </c>
    </row>
    <row r="72" spans="1:2">
      <c r="A72" s="1" t="s">
        <v>101</v>
      </c>
      <c r="B72" s="50">
        <v>91.592252234363116</v>
      </c>
    </row>
    <row r="73" spans="1:2">
      <c r="A73" s="1" t="s">
        <v>102</v>
      </c>
      <c r="B73" s="50">
        <v>27.215713904778887</v>
      </c>
    </row>
    <row r="74" spans="1:2" ht="15">
      <c r="A74" s="31" t="s">
        <v>103</v>
      </c>
      <c r="B74" s="51">
        <v>3810086.0519661629</v>
      </c>
    </row>
    <row r="81" spans="1:2" ht="15" thickBot="1"/>
    <row r="82" spans="1:2" ht="16.5" thickBot="1">
      <c r="A82" s="603" t="s">
        <v>104</v>
      </c>
      <c r="B82" s="603"/>
    </row>
    <row r="83" spans="1:2" ht="15">
      <c r="A83" s="16" t="s">
        <v>105</v>
      </c>
      <c r="B83" s="35">
        <v>756.32289816188927</v>
      </c>
    </row>
    <row r="84" spans="1:2">
      <c r="A84" s="14" t="s">
        <v>106</v>
      </c>
      <c r="B84" s="52">
        <v>314.77702948427662</v>
      </c>
    </row>
    <row r="85" spans="1:2">
      <c r="A85" s="14" t="s">
        <v>107</v>
      </c>
      <c r="B85" s="52">
        <v>271.75719131124907</v>
      </c>
    </row>
    <row r="86" spans="1:2">
      <c r="A86" s="14" t="s">
        <v>108</v>
      </c>
      <c r="B86" s="52">
        <v>85.17893026735274</v>
      </c>
    </row>
    <row r="87" spans="1:2">
      <c r="A87" s="14" t="s">
        <v>109</v>
      </c>
      <c r="B87" s="52">
        <v>46.940772805709265</v>
      </c>
    </row>
    <row r="88" spans="1:2">
      <c r="A88" s="14" t="s">
        <v>110</v>
      </c>
      <c r="B88" s="52">
        <v>37.668974293301595</v>
      </c>
    </row>
    <row r="89" spans="1:2" ht="15">
      <c r="A89" s="16" t="s">
        <v>111</v>
      </c>
      <c r="B89" s="35">
        <v>1550964.2790975824</v>
      </c>
    </row>
    <row r="90" spans="1:2">
      <c r="A90" s="14" t="s">
        <v>112</v>
      </c>
      <c r="B90" s="52">
        <v>1541070.8924932489</v>
      </c>
    </row>
    <row r="91" spans="1:2">
      <c r="A91" s="14" t="s">
        <v>113</v>
      </c>
      <c r="B91" s="52">
        <v>9893.3866043336311</v>
      </c>
    </row>
    <row r="92" spans="1:2" ht="15">
      <c r="A92" s="16" t="s">
        <v>114</v>
      </c>
      <c r="B92" s="35">
        <v>435.86431912327515</v>
      </c>
    </row>
    <row r="93" spans="1:2" ht="15">
      <c r="A93" s="16" t="s">
        <v>115</v>
      </c>
      <c r="B93" s="35">
        <v>62.033714419489208</v>
      </c>
    </row>
    <row r="94" spans="1:2" ht="15">
      <c r="A94" s="16" t="s">
        <v>116</v>
      </c>
      <c r="B94" s="35">
        <v>15.127116842073097</v>
      </c>
    </row>
    <row r="95" spans="1:2" ht="15">
      <c r="A95" s="16" t="s">
        <v>117</v>
      </c>
      <c r="B95" s="35">
        <v>160.35928435936205</v>
      </c>
    </row>
    <row r="96" spans="1:2">
      <c r="A96" s="14" t="s">
        <v>118</v>
      </c>
      <c r="B96" s="52">
        <v>5.9078156253910556</v>
      </c>
    </row>
    <row r="97" spans="1:2">
      <c r="A97" s="14" t="s">
        <v>119</v>
      </c>
      <c r="B97" s="52">
        <v>75.656622585421218</v>
      </c>
    </row>
    <row r="98" spans="1:2">
      <c r="A98" s="14" t="s">
        <v>120</v>
      </c>
      <c r="B98" s="52">
        <v>73.677483490680487</v>
      </c>
    </row>
    <row r="100" spans="1:2" ht="15">
      <c r="A100" s="31" t="s">
        <v>121</v>
      </c>
      <c r="B100" s="51">
        <v>675427.81856614922</v>
      </c>
    </row>
  </sheetData>
  <mergeCells count="7">
    <mergeCell ref="A70:B70"/>
    <mergeCell ref="A82:B82"/>
    <mergeCell ref="A2:B2"/>
    <mergeCell ref="A19:B19"/>
    <mergeCell ref="A38:B38"/>
    <mergeCell ref="A54:B54"/>
    <mergeCell ref="A67:B67"/>
  </mergeCells>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1"/>
  <sheetViews>
    <sheetView topLeftCell="A22" workbookViewId="0">
      <selection activeCell="O20" sqref="O20"/>
    </sheetView>
  </sheetViews>
  <sheetFormatPr baseColWidth="10" defaultColWidth="12.28515625" defaultRowHeight="15"/>
  <cols>
    <col min="1" max="1" width="29.7109375" style="59" customWidth="1"/>
    <col min="2" max="4" width="17.140625" style="59" customWidth="1"/>
    <col min="5" max="5" width="9.28515625" style="59" customWidth="1"/>
    <col min="6" max="6" width="10" style="59" customWidth="1"/>
    <col min="7" max="7" width="14" style="59" customWidth="1"/>
    <col min="8" max="8" width="15" style="59" customWidth="1"/>
    <col min="9" max="9" width="42.7109375" style="59" customWidth="1"/>
    <col min="10" max="10" width="17.28515625" style="59" customWidth="1"/>
    <col min="11" max="11" width="12.28515625" style="59"/>
    <col min="12" max="12" width="12.42578125" style="59" bestFit="1" customWidth="1"/>
    <col min="13" max="16384" width="12.28515625" style="59"/>
  </cols>
  <sheetData>
    <row r="1" spans="1:16">
      <c r="B1" s="60"/>
      <c r="C1" s="60"/>
      <c r="D1" s="60"/>
      <c r="E1" s="60" t="s">
        <v>142</v>
      </c>
      <c r="F1" s="60" t="s">
        <v>143</v>
      </c>
      <c r="G1" s="60" t="s">
        <v>144</v>
      </c>
      <c r="H1" s="60" t="s">
        <v>145</v>
      </c>
      <c r="I1" s="60" t="s">
        <v>146</v>
      </c>
      <c r="J1" s="60" t="s">
        <v>147</v>
      </c>
      <c r="K1" s="60" t="s">
        <v>148</v>
      </c>
      <c r="L1" s="60" t="s">
        <v>149</v>
      </c>
      <c r="M1" s="60" t="s">
        <v>150</v>
      </c>
      <c r="N1" s="60" t="s">
        <v>151</v>
      </c>
      <c r="O1" s="60" t="s">
        <v>152</v>
      </c>
      <c r="P1" s="59" t="s">
        <v>153</v>
      </c>
    </row>
    <row r="2" spans="1:16">
      <c r="B2" s="60"/>
      <c r="C2" s="60"/>
      <c r="D2" s="60"/>
      <c r="E2" s="60">
        <v>184.12058354608811</v>
      </c>
      <c r="F2" s="60">
        <v>136.41322586613006</v>
      </c>
      <c r="G2" s="60">
        <v>275.06273412350816</v>
      </c>
      <c r="H2" s="60">
        <v>69.324754128689051</v>
      </c>
      <c r="I2" s="60">
        <v>28.294526617444401</v>
      </c>
      <c r="J2" s="60">
        <v>24.431344405477429</v>
      </c>
      <c r="K2" s="60">
        <v>8.6867002330586409</v>
      </c>
      <c r="L2" s="60">
        <v>418.15309015835157</v>
      </c>
      <c r="M2" s="60">
        <v>726.33386892039584</v>
      </c>
      <c r="N2" s="60">
        <v>745.42746374934461</v>
      </c>
      <c r="O2" s="60">
        <v>542.91876456616512</v>
      </c>
      <c r="P2" s="59">
        <v>442.11036051449156</v>
      </c>
    </row>
    <row r="3" spans="1:16">
      <c r="B3" s="60"/>
      <c r="C3" s="60"/>
      <c r="D3" s="60"/>
      <c r="E3" s="60"/>
      <c r="F3" s="60"/>
      <c r="G3" s="60" t="s">
        <v>154</v>
      </c>
      <c r="H3" s="60"/>
      <c r="I3" s="60"/>
      <c r="J3" s="60"/>
      <c r="K3" s="60"/>
      <c r="L3" s="60"/>
      <c r="M3" s="60"/>
      <c r="N3" s="60"/>
      <c r="O3" s="60"/>
    </row>
    <row r="4" spans="1:16">
      <c r="B4" s="60"/>
      <c r="C4" s="60"/>
      <c r="D4" s="60"/>
      <c r="E4" s="60">
        <v>84.073325820131558</v>
      </c>
      <c r="F4" s="60">
        <v>91.601682692808254</v>
      </c>
      <c r="G4" s="60">
        <v>48.307469990078701</v>
      </c>
      <c r="H4" s="60">
        <v>26.379282392956259</v>
      </c>
      <c r="I4" s="60"/>
      <c r="J4" s="60">
        <v>11</v>
      </c>
      <c r="K4" s="60"/>
      <c r="L4" s="60"/>
      <c r="M4" s="60">
        <v>726.33386892039584</v>
      </c>
      <c r="N4" s="60"/>
      <c r="O4" s="60"/>
    </row>
    <row r="5" spans="1:16">
      <c r="B5" s="60"/>
      <c r="C5" s="60"/>
      <c r="D5" s="60"/>
      <c r="E5" s="60"/>
      <c r="F5" s="60"/>
      <c r="G5" s="60" t="s">
        <v>155</v>
      </c>
      <c r="H5" s="60"/>
      <c r="I5" s="60"/>
      <c r="J5" s="60"/>
      <c r="K5" s="60"/>
      <c r="L5" s="60"/>
      <c r="M5" s="60"/>
      <c r="N5" s="60"/>
      <c r="O5" s="60"/>
    </row>
    <row r="6" spans="1:16">
      <c r="B6" s="61"/>
      <c r="C6" s="61"/>
      <c r="D6" s="61"/>
      <c r="E6" s="61">
        <v>0.247</v>
      </c>
      <c r="F6" s="61">
        <v>0.183</v>
      </c>
      <c r="G6" s="61">
        <v>0.36899999999999999</v>
      </c>
      <c r="H6" s="61">
        <v>9.2999999999999999E-2</v>
      </c>
      <c r="I6" s="61">
        <v>3.7957451252371134E-2</v>
      </c>
      <c r="J6" s="61">
        <v>3.2774945375091041E-2</v>
      </c>
      <c r="K6" s="61">
        <v>1.1653313911143482E-2</v>
      </c>
      <c r="L6" s="61">
        <v>0.56095745125237106</v>
      </c>
      <c r="M6" s="61">
        <v>0.97438571053860568</v>
      </c>
      <c r="N6" s="60"/>
      <c r="O6" s="60"/>
    </row>
    <row r="8" spans="1:16">
      <c r="E8" s="59" t="s">
        <v>156</v>
      </c>
      <c r="G8" s="59" t="s">
        <v>57</v>
      </c>
      <c r="H8" s="59" t="s">
        <v>56</v>
      </c>
    </row>
    <row r="9" spans="1:16">
      <c r="A9" s="59" t="s">
        <v>36</v>
      </c>
      <c r="E9" s="59">
        <v>120</v>
      </c>
      <c r="G9" s="60">
        <v>11.772421557068949</v>
      </c>
      <c r="H9" s="60">
        <f t="shared" ref="H9:H14" si="0">G9*11.6</f>
        <v>136.5600900619998</v>
      </c>
    </row>
    <row r="10" spans="1:16">
      <c r="A10" s="59" t="s">
        <v>137</v>
      </c>
      <c r="E10" s="59">
        <v>84</v>
      </c>
      <c r="G10" s="60">
        <v>5.3049907811701527</v>
      </c>
      <c r="H10" s="60">
        <f t="shared" si="0"/>
        <v>61.537893061573769</v>
      </c>
    </row>
    <row r="11" spans="1:16">
      <c r="A11" s="59" t="s">
        <v>138</v>
      </c>
      <c r="E11" s="59">
        <v>118</v>
      </c>
      <c r="G11" s="60">
        <v>14.80628450169692</v>
      </c>
      <c r="H11" s="60">
        <f t="shared" si="0"/>
        <v>171.75290021968428</v>
      </c>
    </row>
    <row r="12" spans="1:16">
      <c r="A12" s="59" t="s">
        <v>32</v>
      </c>
      <c r="E12" s="59">
        <v>129</v>
      </c>
      <c r="G12" s="60">
        <v>14.300035302742691</v>
      </c>
      <c r="H12" s="60">
        <f t="shared" si="0"/>
        <v>165.8804095118152</v>
      </c>
    </row>
    <row r="13" spans="1:16">
      <c r="A13" s="59" t="s">
        <v>34</v>
      </c>
      <c r="E13" s="59">
        <v>3</v>
      </c>
      <c r="G13" s="60">
        <v>0.61960963026655191</v>
      </c>
      <c r="H13" s="60">
        <f t="shared" si="0"/>
        <v>7.1874717110920017</v>
      </c>
    </row>
    <row r="14" spans="1:16">
      <c r="A14" s="59" t="s">
        <v>139</v>
      </c>
      <c r="E14" s="59">
        <f>SUM(E9:E13)</f>
        <v>454</v>
      </c>
      <c r="G14" s="60">
        <v>46.803341772945267</v>
      </c>
      <c r="H14" s="60">
        <f t="shared" si="0"/>
        <v>542.91876456616512</v>
      </c>
    </row>
    <row r="16" spans="1:16">
      <c r="A16" s="62" t="s">
        <v>157</v>
      </c>
    </row>
    <row r="17" spans="1:20" ht="37.5">
      <c r="A17" s="63" t="s">
        <v>158</v>
      </c>
      <c r="B17" s="64" t="s">
        <v>159</v>
      </c>
      <c r="C17" s="64"/>
      <c r="D17" s="64"/>
      <c r="E17" s="606" t="s">
        <v>160</v>
      </c>
      <c r="F17" s="607"/>
      <c r="G17" s="606" t="s">
        <v>161</v>
      </c>
      <c r="H17" s="607"/>
      <c r="I17" s="65" t="s">
        <v>162</v>
      </c>
    </row>
    <row r="18" spans="1:20">
      <c r="A18" s="66" t="s">
        <v>163</v>
      </c>
      <c r="B18" s="67"/>
      <c r="C18" s="67"/>
      <c r="D18" s="67"/>
      <c r="E18" s="68"/>
      <c r="F18" s="69"/>
      <c r="G18" s="68"/>
      <c r="H18" s="69"/>
      <c r="I18" s="70"/>
    </row>
    <row r="19" spans="1:20">
      <c r="A19" s="71" t="s">
        <v>36</v>
      </c>
      <c r="B19" s="72">
        <v>129</v>
      </c>
      <c r="C19" s="72"/>
      <c r="D19" s="72"/>
      <c r="E19" s="73"/>
      <c r="F19" s="74">
        <f>H19</f>
        <v>136.5600900619998</v>
      </c>
      <c r="G19" s="73"/>
      <c r="H19" s="74">
        <v>136.5600900619998</v>
      </c>
      <c r="I19" s="75"/>
      <c r="J19" s="76">
        <f>$J$24*0.27</f>
        <v>128.52000000000001</v>
      </c>
      <c r="L19" s="59">
        <f>20/137</f>
        <v>0.145985401459854</v>
      </c>
    </row>
    <row r="20" spans="1:20">
      <c r="A20" s="71" t="s">
        <v>137</v>
      </c>
      <c r="B20" s="72">
        <v>14</v>
      </c>
      <c r="C20" s="72"/>
      <c r="D20" s="72"/>
      <c r="E20" s="73"/>
      <c r="F20" s="74">
        <f>H20</f>
        <v>61.537893061573769</v>
      </c>
      <c r="G20" s="73"/>
      <c r="H20" s="74">
        <v>61.537893061573769</v>
      </c>
      <c r="I20" s="75"/>
      <c r="J20" s="76">
        <f>$J$24*0.03</f>
        <v>14.28</v>
      </c>
    </row>
    <row r="21" spans="1:20">
      <c r="A21" s="71" t="s">
        <v>138</v>
      </c>
      <c r="B21" s="72">
        <v>157</v>
      </c>
      <c r="C21" s="72"/>
      <c r="D21" s="72"/>
      <c r="E21" s="73"/>
      <c r="F21" s="74">
        <f>H21</f>
        <v>171.75290021968428</v>
      </c>
      <c r="G21" s="73"/>
      <c r="H21" s="74">
        <v>171.75290021968428</v>
      </c>
      <c r="I21" s="75"/>
      <c r="J21" s="76">
        <f>$J$24*0.33</f>
        <v>157.08000000000001</v>
      </c>
    </row>
    <row r="22" spans="1:20" ht="45">
      <c r="A22" s="71" t="s">
        <v>32</v>
      </c>
      <c r="B22" s="72">
        <v>140</v>
      </c>
      <c r="C22" s="72"/>
      <c r="D22" s="72"/>
      <c r="E22" s="73"/>
      <c r="F22" s="77">
        <v>139</v>
      </c>
      <c r="G22" s="73"/>
      <c r="H22" s="77">
        <v>165.8804095118152</v>
      </c>
      <c r="I22" s="75" t="s">
        <v>164</v>
      </c>
      <c r="J22" s="76">
        <f>$J$24*0.3</f>
        <v>142.79999999999998</v>
      </c>
    </row>
    <row r="23" spans="1:20">
      <c r="A23" s="71" t="s">
        <v>34</v>
      </c>
      <c r="B23" s="72">
        <v>3.4</v>
      </c>
      <c r="C23" s="72"/>
      <c r="D23" s="72"/>
      <c r="E23" s="73"/>
      <c r="F23" s="74">
        <f>H23</f>
        <v>7.1874717110920017</v>
      </c>
      <c r="G23" s="73"/>
      <c r="H23" s="74">
        <v>7.1874717110920017</v>
      </c>
      <c r="I23" s="75"/>
      <c r="J23" s="76"/>
    </row>
    <row r="24" spans="1:20" ht="36.950000000000003" customHeight="1">
      <c r="A24" s="78" t="s">
        <v>165</v>
      </c>
      <c r="B24" s="79">
        <f>SUM(B19:B23)</f>
        <v>443.4</v>
      </c>
      <c r="C24" s="79"/>
      <c r="D24" s="79"/>
      <c r="E24" s="80"/>
      <c r="F24" s="81">
        <f>SUM(F19:F23)</f>
        <v>516.03835505434984</v>
      </c>
      <c r="G24" s="80"/>
      <c r="H24" s="81">
        <f>SUM(H19:H23)</f>
        <v>542.91876456616501</v>
      </c>
      <c r="I24" s="82" t="s">
        <v>166</v>
      </c>
      <c r="J24" s="83">
        <v>476</v>
      </c>
      <c r="K24" s="59">
        <f>J24*0.07</f>
        <v>33.32</v>
      </c>
    </row>
    <row r="25" spans="1:20" ht="15.75" thickBot="1">
      <c r="A25" s="62"/>
    </row>
    <row r="26" spans="1:20" ht="30.75" customHeight="1" thickBot="1">
      <c r="A26" s="63" t="s">
        <v>167</v>
      </c>
      <c r="B26" s="64" t="s">
        <v>168</v>
      </c>
      <c r="C26" s="604" t="s">
        <v>792</v>
      </c>
      <c r="D26" s="605"/>
      <c r="E26" s="608" t="str">
        <f>E17</f>
        <v>BAU ADEME</v>
      </c>
      <c r="F26" s="609"/>
      <c r="G26" s="608" t="str">
        <f>G17</f>
        <v>Scénario AME</v>
      </c>
      <c r="H26" s="609"/>
      <c r="I26" s="65" t="str">
        <f>I17</f>
        <v>Explication de la modification par rapport à l'AME</v>
      </c>
      <c r="K26" s="59" t="s">
        <v>169</v>
      </c>
      <c r="L26" s="112" t="s">
        <v>57</v>
      </c>
    </row>
    <row r="27" spans="1:20" s="87" customFormat="1" ht="30.75" customHeight="1" thickBot="1">
      <c r="A27" s="84"/>
      <c r="B27" s="67" t="s">
        <v>170</v>
      </c>
      <c r="C27" s="461" t="s">
        <v>171</v>
      </c>
      <c r="D27" s="462" t="s">
        <v>170</v>
      </c>
      <c r="E27" s="68" t="s">
        <v>171</v>
      </c>
      <c r="F27" s="85" t="s">
        <v>170</v>
      </c>
      <c r="G27" s="68" t="s">
        <v>171</v>
      </c>
      <c r="H27" s="85" t="s">
        <v>170</v>
      </c>
      <c r="I27" s="86"/>
      <c r="R27" s="470" t="s">
        <v>168</v>
      </c>
      <c r="S27" s="604" t="s">
        <v>792</v>
      </c>
      <c r="T27" s="605"/>
    </row>
    <row r="28" spans="1:20" ht="30">
      <c r="A28" s="71" t="s">
        <v>133</v>
      </c>
      <c r="B28" s="88">
        <v>393</v>
      </c>
      <c r="C28" s="463">
        <v>48</v>
      </c>
      <c r="D28" s="464">
        <v>307</v>
      </c>
      <c r="E28" s="89">
        <f>G28</f>
        <v>48.307469990078701</v>
      </c>
      <c r="F28" s="90">
        <f>H28</f>
        <v>275.06273412350816</v>
      </c>
      <c r="G28" s="89">
        <f>G4</f>
        <v>48.307469990078701</v>
      </c>
      <c r="H28" s="90">
        <f>G2</f>
        <v>275.06273412350816</v>
      </c>
      <c r="I28" s="91"/>
      <c r="K28" s="92">
        <f>F28/F35</f>
        <v>0.4659043134352831</v>
      </c>
      <c r="L28" s="113">
        <f>F28/11.63</f>
        <v>23.651137929794338</v>
      </c>
      <c r="R28" s="471" t="s">
        <v>170</v>
      </c>
      <c r="S28" s="461" t="s">
        <v>171</v>
      </c>
      <c r="T28" s="462" t="s">
        <v>170</v>
      </c>
    </row>
    <row r="29" spans="1:20" ht="69.95" customHeight="1">
      <c r="A29" s="93" t="s">
        <v>172</v>
      </c>
      <c r="B29" s="94">
        <v>28</v>
      </c>
      <c r="C29" s="463">
        <f>S29+S30</f>
        <v>39</v>
      </c>
      <c r="D29" s="464">
        <f>T29+T30</f>
        <v>91</v>
      </c>
      <c r="E29" s="95">
        <v>50</v>
      </c>
      <c r="F29" s="96">
        <f>E29*8760*0.25/1000</f>
        <v>109.5</v>
      </c>
      <c r="G29" s="95">
        <f>E4</f>
        <v>84.073325820131558</v>
      </c>
      <c r="H29" s="96">
        <f>E2</f>
        <v>184.12058354608811</v>
      </c>
      <c r="I29" s="97" t="s">
        <v>173</v>
      </c>
      <c r="K29" s="92">
        <f>F29/F35</f>
        <v>0.18547231591996083</v>
      </c>
      <c r="L29" s="113">
        <f t="shared" ref="L29:L39" si="1">F29/11.63</f>
        <v>9.4153052450558885</v>
      </c>
      <c r="Q29" s="467" t="s">
        <v>367</v>
      </c>
      <c r="R29" s="468">
        <v>28</v>
      </c>
      <c r="S29" s="463">
        <v>34</v>
      </c>
      <c r="T29" s="464">
        <v>75</v>
      </c>
    </row>
    <row r="30" spans="1:20" s="99" customFormat="1" ht="90">
      <c r="A30" s="98" t="s">
        <v>174</v>
      </c>
      <c r="B30" s="94">
        <v>10</v>
      </c>
      <c r="C30" s="463">
        <v>40</v>
      </c>
      <c r="D30" s="464">
        <v>48</v>
      </c>
      <c r="E30" s="95">
        <f>60</f>
        <v>60</v>
      </c>
      <c r="F30" s="96">
        <f>E30*8760*0.16/1000</f>
        <v>84.096000000000004</v>
      </c>
      <c r="G30" s="95">
        <f>F4</f>
        <v>91.601682692808254</v>
      </c>
      <c r="H30" s="96">
        <f>F2</f>
        <v>136.41322586613006</v>
      </c>
      <c r="I30" s="97" t="s">
        <v>175</v>
      </c>
      <c r="K30" s="92">
        <f>F30/F35</f>
        <v>0.14244273862652992</v>
      </c>
      <c r="L30" s="113">
        <f t="shared" si="1"/>
        <v>7.2309544282029234</v>
      </c>
      <c r="Q30" s="467" t="s">
        <v>793</v>
      </c>
      <c r="R30" s="469"/>
      <c r="S30" s="463">
        <v>5</v>
      </c>
      <c r="T30" s="464">
        <v>16</v>
      </c>
    </row>
    <row r="31" spans="1:20">
      <c r="A31" s="71" t="s">
        <v>176</v>
      </c>
      <c r="B31" s="88">
        <v>10</v>
      </c>
      <c r="C31" s="463"/>
      <c r="D31" s="464">
        <v>15</v>
      </c>
      <c r="E31" s="89">
        <f t="shared" ref="E31:F33" si="2">G31</f>
        <v>3</v>
      </c>
      <c r="F31" s="90">
        <f t="shared" si="2"/>
        <v>28.294526617444401</v>
      </c>
      <c r="G31" s="100">
        <v>3</v>
      </c>
      <c r="H31" s="90">
        <f>I2</f>
        <v>28.294526617444401</v>
      </c>
      <c r="I31" s="91"/>
      <c r="K31" s="92">
        <f>F31/F35</f>
        <v>4.7925583375309486E-2</v>
      </c>
      <c r="L31" s="113">
        <f t="shared" si="1"/>
        <v>2.4328913686538605</v>
      </c>
    </row>
    <row r="32" spans="1:20">
      <c r="A32" s="71" t="s">
        <v>177</v>
      </c>
      <c r="B32" s="88">
        <v>68</v>
      </c>
      <c r="C32" s="463">
        <v>26</v>
      </c>
      <c r="D32" s="464">
        <v>69</v>
      </c>
      <c r="E32" s="89">
        <f t="shared" si="2"/>
        <v>26</v>
      </c>
      <c r="F32" s="90">
        <f t="shared" si="2"/>
        <v>69</v>
      </c>
      <c r="G32" s="100">
        <v>26</v>
      </c>
      <c r="H32" s="90">
        <v>69</v>
      </c>
      <c r="I32" s="91"/>
      <c r="K32" s="92">
        <f>F32/F35</f>
        <v>0.11687296619613971</v>
      </c>
      <c r="L32" s="113">
        <f t="shared" si="1"/>
        <v>5.9329320722269987</v>
      </c>
    </row>
    <row r="33" spans="1:12">
      <c r="A33" s="71" t="s">
        <v>132</v>
      </c>
      <c r="B33" s="88">
        <v>31</v>
      </c>
      <c r="C33" s="463">
        <v>11</v>
      </c>
      <c r="D33" s="464">
        <v>26</v>
      </c>
      <c r="E33" s="89">
        <f t="shared" si="2"/>
        <v>11</v>
      </c>
      <c r="F33" s="90">
        <f t="shared" si="2"/>
        <v>24.431344405477429</v>
      </c>
      <c r="G33" s="89">
        <f>J4</f>
        <v>11</v>
      </c>
      <c r="H33" s="90">
        <f>J2</f>
        <v>24.431344405477429</v>
      </c>
      <c r="I33" s="91"/>
      <c r="K33" s="92">
        <f>F33/F35</f>
        <v>4.1382082446776963E-2</v>
      </c>
      <c r="L33" s="113">
        <f t="shared" si="1"/>
        <v>2.1007174897229084</v>
      </c>
    </row>
    <row r="34" spans="1:12" ht="30">
      <c r="A34" s="71" t="s">
        <v>11</v>
      </c>
      <c r="B34" s="94">
        <v>6</v>
      </c>
      <c r="C34" s="463">
        <v>0</v>
      </c>
      <c r="D34" s="464">
        <v>0</v>
      </c>
      <c r="E34" s="95"/>
      <c r="F34" s="96">
        <v>0</v>
      </c>
      <c r="G34" s="101"/>
      <c r="H34" s="96">
        <f>K2</f>
        <v>8.6867002330586409</v>
      </c>
      <c r="I34" s="97" t="s">
        <v>178</v>
      </c>
      <c r="K34" s="92">
        <f>F34/F35</f>
        <v>0</v>
      </c>
      <c r="L34" s="113">
        <f t="shared" si="1"/>
        <v>0</v>
      </c>
    </row>
    <row r="35" spans="1:12">
      <c r="A35" s="102" t="s">
        <v>179</v>
      </c>
      <c r="B35" s="103">
        <f>SUM(B28:B34)</f>
        <v>546</v>
      </c>
      <c r="C35" s="465"/>
      <c r="D35" s="466">
        <v>555</v>
      </c>
      <c r="E35" s="100"/>
      <c r="F35" s="104">
        <f>SUM(F28:F34)</f>
        <v>590.38460514642998</v>
      </c>
      <c r="G35" s="73"/>
      <c r="H35" s="104">
        <f>SUM(H28:H34)</f>
        <v>726.00911479170679</v>
      </c>
      <c r="I35" s="91"/>
      <c r="L35" s="113">
        <f t="shared" si="1"/>
        <v>50.763938533656919</v>
      </c>
    </row>
    <row r="36" spans="1:12">
      <c r="A36" s="105" t="s">
        <v>180</v>
      </c>
      <c r="B36" s="106" t="s">
        <v>181</v>
      </c>
      <c r="E36" s="107">
        <f>F35-F39-F24</f>
        <v>10.546250092080186</v>
      </c>
      <c r="F36" s="108" t="s">
        <v>56</v>
      </c>
      <c r="G36" s="109">
        <v>140</v>
      </c>
      <c r="H36" s="108" t="s">
        <v>56</v>
      </c>
      <c r="I36" s="110"/>
      <c r="L36" s="113"/>
    </row>
    <row r="37" spans="1:12">
      <c r="L37" s="113"/>
    </row>
    <row r="38" spans="1:12">
      <c r="L38" s="113"/>
    </row>
    <row r="39" spans="1:12">
      <c r="E39" s="111" t="s">
        <v>182</v>
      </c>
      <c r="F39" s="59">
        <f>5.5*11.6</f>
        <v>63.8</v>
      </c>
      <c r="L39" s="113">
        <f t="shared" si="1"/>
        <v>5.4858125537403257</v>
      </c>
    </row>
    <row r="41" spans="1:12">
      <c r="A41" s="112" t="s">
        <v>719</v>
      </c>
      <c r="B41" s="59">
        <v>2018</v>
      </c>
      <c r="D41" s="59">
        <v>2028</v>
      </c>
      <c r="F41" s="59">
        <v>2050</v>
      </c>
    </row>
  </sheetData>
  <mergeCells count="6">
    <mergeCell ref="C26:D26"/>
    <mergeCell ref="S27:T27"/>
    <mergeCell ref="E17:F17"/>
    <mergeCell ref="G17:H17"/>
    <mergeCell ref="E26:F26"/>
    <mergeCell ref="G26:H26"/>
  </mergeCells>
  <pageMargins left="0.7" right="0.7" top="0.75" bottom="0.75" header="0.3" footer="0.3"/>
  <pageSetup paperSize="9" orientation="portrait" horizontalDpi="4294967292" verticalDpi="1200" r:id="rId1"/>
  <drawing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workbookViewId="0">
      <selection activeCell="O20" sqref="O20"/>
    </sheetView>
  </sheetViews>
  <sheetFormatPr baseColWidth="10" defaultRowHeight="15"/>
  <cols>
    <col min="3" max="5" width="11.5703125" bestFit="1" customWidth="1"/>
    <col min="6" max="6" width="12.5703125" bestFit="1" customWidth="1"/>
    <col min="7" max="13" width="11.5703125" bestFit="1" customWidth="1"/>
    <col min="14" max="14" width="12.5703125" bestFit="1" customWidth="1"/>
    <col min="15" max="21" width="11.5703125" bestFit="1" customWidth="1"/>
    <col min="22" max="22" width="12.5703125" bestFit="1" customWidth="1"/>
  </cols>
  <sheetData>
    <row r="1" spans="1:22" s="146" customFormat="1" ht="18" thickBot="1">
      <c r="A1" s="250" t="s">
        <v>787</v>
      </c>
    </row>
    <row r="2" spans="1:22" ht="15.75" thickTop="1">
      <c r="A2" s="610" t="s">
        <v>777</v>
      </c>
      <c r="B2" s="610"/>
      <c r="C2" s="610"/>
      <c r="D2" s="610"/>
      <c r="E2" s="610"/>
      <c r="F2" s="610"/>
      <c r="G2" s="610"/>
      <c r="H2" s="610"/>
      <c r="I2" s="610"/>
      <c r="J2" s="610"/>
      <c r="K2" s="610"/>
      <c r="L2" s="610"/>
      <c r="M2" s="610"/>
      <c r="N2" s="610"/>
      <c r="O2" s="610"/>
      <c r="P2" s="610"/>
      <c r="Q2" s="610"/>
      <c r="R2" s="610"/>
      <c r="S2" s="610"/>
      <c r="T2" s="610"/>
      <c r="U2" s="610"/>
      <c r="V2" s="610"/>
    </row>
    <row r="3" spans="1:22">
      <c r="A3" s="446"/>
      <c r="B3" s="446"/>
      <c r="C3" s="446"/>
      <c r="D3" s="446"/>
      <c r="E3" s="446"/>
      <c r="F3" s="446"/>
      <c r="G3" s="446"/>
      <c r="H3" s="446"/>
      <c r="I3" s="446"/>
      <c r="J3" s="446"/>
      <c r="K3" s="446"/>
      <c r="L3" s="446"/>
      <c r="M3" s="446"/>
      <c r="N3" s="447"/>
      <c r="O3" s="447"/>
      <c r="P3" s="446"/>
      <c r="Q3" s="447"/>
      <c r="R3" s="447"/>
      <c r="S3" s="447"/>
      <c r="T3" s="448"/>
      <c r="U3" s="446"/>
      <c r="V3" s="446"/>
    </row>
    <row r="4" spans="1:22" ht="75">
      <c r="A4" s="611" t="s">
        <v>778</v>
      </c>
      <c r="B4" s="611"/>
      <c r="C4" s="449" t="s">
        <v>11</v>
      </c>
      <c r="D4" s="449" t="s">
        <v>184</v>
      </c>
      <c r="E4" s="449" t="s">
        <v>13</v>
      </c>
      <c r="F4" s="449" t="s">
        <v>185</v>
      </c>
      <c r="G4" s="449" t="s">
        <v>186</v>
      </c>
      <c r="H4" s="449" t="s">
        <v>779</v>
      </c>
      <c r="I4" s="449" t="s">
        <v>188</v>
      </c>
      <c r="J4" s="449" t="s">
        <v>12</v>
      </c>
      <c r="K4" s="449" t="s">
        <v>189</v>
      </c>
      <c r="L4" s="449" t="s">
        <v>136</v>
      </c>
      <c r="M4" s="449" t="s">
        <v>133</v>
      </c>
      <c r="N4" s="449" t="s">
        <v>19</v>
      </c>
      <c r="O4" s="449" t="s">
        <v>780</v>
      </c>
      <c r="P4" s="449" t="s">
        <v>781</v>
      </c>
      <c r="Q4" s="449" t="s">
        <v>26</v>
      </c>
      <c r="R4" s="449" t="s">
        <v>413</v>
      </c>
      <c r="S4" s="449" t="s">
        <v>200</v>
      </c>
      <c r="T4" s="449" t="s">
        <v>782</v>
      </c>
      <c r="U4" s="449" t="s">
        <v>783</v>
      </c>
      <c r="V4" s="450" t="s">
        <v>784</v>
      </c>
    </row>
    <row r="5" spans="1:22">
      <c r="A5" s="451">
        <v>2015</v>
      </c>
      <c r="B5" s="452" t="s">
        <v>57</v>
      </c>
      <c r="C5" s="453">
        <v>0</v>
      </c>
      <c r="D5" s="453">
        <v>0</v>
      </c>
      <c r="E5" s="453">
        <v>6.7673282856088655</v>
      </c>
      <c r="F5" s="453">
        <v>31.925529358992524</v>
      </c>
      <c r="G5" s="453">
        <v>1.0147952642584237</v>
      </c>
      <c r="H5" s="453">
        <v>0</v>
      </c>
      <c r="I5" s="453">
        <v>0</v>
      </c>
      <c r="J5" s="453">
        <v>9.9347091140190955E-2</v>
      </c>
      <c r="K5" s="453">
        <v>3.9599999999999996E-2</v>
      </c>
      <c r="L5" s="453">
        <v>0</v>
      </c>
      <c r="M5" s="453">
        <v>0</v>
      </c>
      <c r="N5" s="453">
        <v>0.94471195184866696</v>
      </c>
      <c r="O5" s="453">
        <v>4.0000000000000268E-4</v>
      </c>
      <c r="P5" s="453">
        <v>0</v>
      </c>
      <c r="Q5" s="453">
        <v>0</v>
      </c>
      <c r="R5" s="453">
        <v>2.9481554218018502</v>
      </c>
      <c r="S5" s="453">
        <v>0</v>
      </c>
      <c r="T5" s="453">
        <v>0</v>
      </c>
      <c r="U5" s="453">
        <v>0</v>
      </c>
      <c r="V5" s="453">
        <v>43.739867373650519</v>
      </c>
    </row>
    <row r="6" spans="1:22">
      <c r="A6" s="454">
        <v>2050</v>
      </c>
      <c r="B6" s="455" t="s">
        <v>57</v>
      </c>
      <c r="C6" s="456">
        <v>0</v>
      </c>
      <c r="D6" s="456">
        <v>0</v>
      </c>
      <c r="E6" s="456">
        <v>5.0236004794000033</v>
      </c>
      <c r="F6" s="456">
        <v>21.147516580864707</v>
      </c>
      <c r="G6" s="456">
        <v>1.3423488391377181</v>
      </c>
      <c r="H6" s="456">
        <v>0</v>
      </c>
      <c r="I6" s="456">
        <v>0</v>
      </c>
      <c r="J6" s="456">
        <v>0</v>
      </c>
      <c r="K6" s="456">
        <v>2.0693255223784006</v>
      </c>
      <c r="L6" s="456">
        <v>0.88822280756437455</v>
      </c>
      <c r="M6" s="456">
        <v>0</v>
      </c>
      <c r="N6" s="456">
        <v>8.8529388946574308</v>
      </c>
      <c r="O6" s="456">
        <v>2.0902278003822206E-2</v>
      </c>
      <c r="P6" s="456">
        <v>0</v>
      </c>
      <c r="Q6" s="456">
        <v>0</v>
      </c>
      <c r="R6" s="456">
        <v>1.9901094669850845</v>
      </c>
      <c r="S6" s="456">
        <v>0</v>
      </c>
      <c r="T6" s="456">
        <v>0</v>
      </c>
      <c r="U6" s="456">
        <v>0</v>
      </c>
      <c r="V6" s="456">
        <v>41.334964868991534</v>
      </c>
    </row>
    <row r="7" spans="1:22">
      <c r="A7" s="451" t="s">
        <v>785</v>
      </c>
      <c r="B7" s="452" t="s">
        <v>57</v>
      </c>
      <c r="C7" s="457" t="s">
        <v>786</v>
      </c>
      <c r="D7" s="457" t="s">
        <v>786</v>
      </c>
      <c r="E7" s="457">
        <v>-0.25766857061109405</v>
      </c>
      <c r="F7" s="457">
        <v>-0.33759856123080867</v>
      </c>
      <c r="G7" s="457">
        <v>0.32277798923180723</v>
      </c>
      <c r="H7" s="457" t="s">
        <v>786</v>
      </c>
      <c r="I7" s="457" t="s">
        <v>786</v>
      </c>
      <c r="J7" s="457">
        <v>-1</v>
      </c>
      <c r="K7" s="457">
        <v>51.255695009555573</v>
      </c>
      <c r="L7" s="457" t="s">
        <v>786</v>
      </c>
      <c r="M7" s="457" t="s">
        <v>786</v>
      </c>
      <c r="N7" s="457">
        <v>8.3710457217498817</v>
      </c>
      <c r="O7" s="457">
        <v>51.255695009555168</v>
      </c>
      <c r="P7" s="457" t="s">
        <v>786</v>
      </c>
      <c r="Q7" s="457" t="s">
        <v>786</v>
      </c>
      <c r="R7" s="457">
        <v>-0.32496453468224151</v>
      </c>
      <c r="S7" s="457" t="s">
        <v>786</v>
      </c>
      <c r="T7" s="457" t="s">
        <v>786</v>
      </c>
      <c r="U7" s="457" t="s">
        <v>786</v>
      </c>
      <c r="V7" s="458"/>
    </row>
    <row r="8" spans="1:22">
      <c r="A8">
        <v>2050</v>
      </c>
      <c r="B8" t="s">
        <v>56</v>
      </c>
      <c r="C8" s="459">
        <f>11.63*C6</f>
        <v>0</v>
      </c>
      <c r="D8" s="459">
        <f t="shared" ref="D8:V8" si="0">11.63*D6</f>
        <v>0</v>
      </c>
      <c r="E8" s="459">
        <f t="shared" si="0"/>
        <v>58.424473575422041</v>
      </c>
      <c r="F8" s="459">
        <f t="shared" si="0"/>
        <v>245.94561783545655</v>
      </c>
      <c r="G8" s="459">
        <f t="shared" si="0"/>
        <v>15.611516999171663</v>
      </c>
      <c r="H8" s="459">
        <f t="shared" si="0"/>
        <v>0</v>
      </c>
      <c r="I8" s="459">
        <f t="shared" si="0"/>
        <v>0</v>
      </c>
      <c r="J8" s="459">
        <f t="shared" si="0"/>
        <v>0</v>
      </c>
      <c r="K8" s="459">
        <f t="shared" si="0"/>
        <v>24.0662558252608</v>
      </c>
      <c r="L8" s="459">
        <f t="shared" si="0"/>
        <v>10.330031251973677</v>
      </c>
      <c r="M8" s="459">
        <f t="shared" si="0"/>
        <v>0</v>
      </c>
      <c r="N8" s="459">
        <f t="shared" si="0"/>
        <v>102.95967934486593</v>
      </c>
      <c r="O8" s="459">
        <f t="shared" si="0"/>
        <v>0.24309349318445228</v>
      </c>
      <c r="P8" s="459">
        <f t="shared" si="0"/>
        <v>0</v>
      </c>
      <c r="Q8" s="459">
        <f t="shared" si="0"/>
        <v>0</v>
      </c>
      <c r="R8" s="459">
        <f t="shared" si="0"/>
        <v>23.144973101036534</v>
      </c>
      <c r="S8" s="459">
        <f t="shared" si="0"/>
        <v>0</v>
      </c>
      <c r="T8" s="459">
        <f t="shared" si="0"/>
        <v>0</v>
      </c>
      <c r="U8" s="459">
        <f t="shared" si="0"/>
        <v>0</v>
      </c>
      <c r="V8" s="459">
        <f t="shared" si="0"/>
        <v>480.72564142637157</v>
      </c>
    </row>
  </sheetData>
  <mergeCells count="2">
    <mergeCell ref="A2:V2"/>
    <mergeCell ref="A4:B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
  <sheetViews>
    <sheetView workbookViewId="0">
      <selection activeCell="J41" sqref="J41"/>
    </sheetView>
  </sheetViews>
  <sheetFormatPr baseColWidth="10" defaultColWidth="8.85546875" defaultRowHeight="15"/>
  <cols>
    <col min="1" max="1" width="12.140625" customWidth="1"/>
    <col min="6" max="6" width="9.28515625" bestFit="1" customWidth="1"/>
    <col min="25" max="25" width="8.85546875" style="54"/>
    <col min="26" max="26" width="9.28515625" bestFit="1" customWidth="1"/>
  </cols>
  <sheetData>
    <row r="1" spans="1:28">
      <c r="A1" s="54" t="s">
        <v>140</v>
      </c>
      <c r="B1" s="54"/>
      <c r="C1" s="55"/>
      <c r="D1" s="56"/>
      <c r="E1" s="56"/>
      <c r="F1" s="56"/>
      <c r="G1" s="56"/>
      <c r="H1" s="56"/>
      <c r="I1" s="56"/>
      <c r="J1" s="56"/>
      <c r="K1" s="56"/>
      <c r="L1" s="56"/>
      <c r="M1" s="613" t="s">
        <v>134</v>
      </c>
      <c r="N1" s="613"/>
      <c r="O1" s="613"/>
      <c r="P1" s="613"/>
      <c r="Q1" s="613"/>
      <c r="R1" s="613"/>
      <c r="S1" s="613"/>
      <c r="T1" s="5"/>
      <c r="U1" s="5"/>
      <c r="Z1" t="s">
        <v>197</v>
      </c>
    </row>
    <row r="2" spans="1:28">
      <c r="A2" s="54"/>
      <c r="B2" s="3"/>
      <c r="C2" s="4"/>
      <c r="D2" s="5"/>
      <c r="E2" s="612" t="s">
        <v>10</v>
      </c>
      <c r="F2" s="613"/>
      <c r="G2" s="613"/>
      <c r="H2" s="613"/>
      <c r="I2" s="613"/>
      <c r="J2" s="5"/>
      <c r="K2" s="5"/>
      <c r="L2" s="5"/>
      <c r="M2" s="614" t="s">
        <v>200</v>
      </c>
      <c r="N2" s="614"/>
      <c r="O2" s="614"/>
      <c r="P2" s="613" t="s">
        <v>20</v>
      </c>
      <c r="Q2" s="613"/>
      <c r="R2" s="613"/>
      <c r="S2" s="5"/>
      <c r="T2" s="5"/>
      <c r="U2" s="54"/>
    </row>
    <row r="3" spans="1:28">
      <c r="A3" s="6">
        <v>2050</v>
      </c>
      <c r="B3" s="7" t="s">
        <v>30</v>
      </c>
      <c r="C3" s="54" t="s">
        <v>11</v>
      </c>
      <c r="D3" s="3" t="s">
        <v>12</v>
      </c>
      <c r="E3" s="54" t="s">
        <v>13</v>
      </c>
      <c r="F3" s="54" t="s">
        <v>14</v>
      </c>
      <c r="G3" s="3" t="s">
        <v>15</v>
      </c>
      <c r="H3" s="54" t="s">
        <v>16</v>
      </c>
      <c r="I3" s="54" t="s">
        <v>17</v>
      </c>
      <c r="J3" s="54" t="s">
        <v>18</v>
      </c>
      <c r="K3" s="54" t="s">
        <v>19</v>
      </c>
      <c r="L3" s="54" t="s">
        <v>135</v>
      </c>
      <c r="M3" s="54" t="s">
        <v>22</v>
      </c>
      <c r="N3" s="3" t="s">
        <v>23</v>
      </c>
      <c r="O3" s="3" t="s">
        <v>24</v>
      </c>
      <c r="P3" s="54" t="s">
        <v>141</v>
      </c>
      <c r="Q3" s="3" t="s">
        <v>25</v>
      </c>
      <c r="R3" s="3" t="s">
        <v>27</v>
      </c>
      <c r="S3" s="54" t="s">
        <v>26</v>
      </c>
      <c r="T3" s="3" t="s">
        <v>28</v>
      </c>
      <c r="U3" s="3"/>
      <c r="X3" s="3"/>
      <c r="Y3" s="3"/>
      <c r="AB3" s="3"/>
    </row>
    <row r="4" spans="1:28">
      <c r="A4" s="7" t="s">
        <v>30</v>
      </c>
      <c r="B4" s="9">
        <f>SUM(B5:B10)</f>
        <v>1599.775549963377</v>
      </c>
      <c r="C4" s="8">
        <f t="shared" ref="C4:T4" si="0">SUM(C5:C10)</f>
        <v>1.5608169209537531E-2</v>
      </c>
      <c r="D4" s="8">
        <f t="shared" si="0"/>
        <v>0</v>
      </c>
      <c r="E4" s="8">
        <f t="shared" si="0"/>
        <v>58.424473575422041</v>
      </c>
      <c r="F4" s="8">
        <f t="shared" si="0"/>
        <v>245.94561783545655</v>
      </c>
      <c r="G4" s="8">
        <f t="shared" si="0"/>
        <v>39.583155504604065</v>
      </c>
      <c r="H4" s="8">
        <f t="shared" si="0"/>
        <v>15.611516999171663</v>
      </c>
      <c r="I4" s="8">
        <f t="shared" si="0"/>
        <v>0</v>
      </c>
      <c r="J4" s="8">
        <f t="shared" si="0"/>
        <v>251.29139648036809</v>
      </c>
      <c r="K4" s="8">
        <f t="shared" si="0"/>
        <v>596.46374584917498</v>
      </c>
      <c r="L4" s="8">
        <f t="shared" si="0"/>
        <v>30.734829306833259</v>
      </c>
      <c r="M4" s="8">
        <f t="shared" si="0"/>
        <v>0</v>
      </c>
      <c r="N4" s="8">
        <f t="shared" si="0"/>
        <v>0</v>
      </c>
      <c r="O4" s="8">
        <f t="shared" si="0"/>
        <v>0</v>
      </c>
      <c r="P4" s="8">
        <f>'Bilan Energétique'!T27</f>
        <v>42.43986294755819</v>
      </c>
      <c r="Q4" s="8">
        <f>SUM(Q5:Q10)</f>
        <v>180.79779870056123</v>
      </c>
      <c r="R4" s="8">
        <f t="shared" si="0"/>
        <v>23.692997842524598</v>
      </c>
      <c r="S4" s="8">
        <f>SUM(S5:S10)</f>
        <v>0</v>
      </c>
      <c r="T4" s="8">
        <f t="shared" si="0"/>
        <v>18.934504051973676</v>
      </c>
      <c r="U4" s="8"/>
      <c r="Z4" s="11">
        <f>SUMPRODUCT(C4:X4,C15:X15)</f>
        <v>1726.065580484938</v>
      </c>
      <c r="AB4" s="10"/>
    </row>
    <row r="5" spans="1:28">
      <c r="A5" s="54" t="s">
        <v>36</v>
      </c>
      <c r="B5" s="8">
        <f>SUM(C5:U5)</f>
        <v>465.57090279786655</v>
      </c>
      <c r="C5" s="115">
        <f>'Bilan Energétique'!C27</f>
        <v>0</v>
      </c>
      <c r="D5" s="115">
        <f>'Bilan Energétique'!E27</f>
        <v>0</v>
      </c>
      <c r="E5" s="115">
        <f>'Bilan Energétique'!F27</f>
        <v>0</v>
      </c>
      <c r="F5" s="115">
        <f>'Bilan Energétique'!G27</f>
        <v>0</v>
      </c>
      <c r="G5" s="115">
        <f>'Bilan Energétique'!H27</f>
        <v>12.480008220168315</v>
      </c>
      <c r="H5" s="115">
        <f>'Bilan Energétique'!I27</f>
        <v>0</v>
      </c>
      <c r="I5" s="115">
        <f>'Bilan Energétique'!J27</f>
        <v>0</v>
      </c>
      <c r="J5" s="115">
        <f>'Bilan Energétique'!R27</f>
        <v>123.68879232004988</v>
      </c>
      <c r="K5" s="115">
        <f>'Bilan Energétique'!O27</f>
        <v>150.16208688348468</v>
      </c>
      <c r="L5" s="115">
        <f>'Bilan Energétique'!P27</f>
        <v>15.077199382354873</v>
      </c>
      <c r="M5" s="115">
        <f>'Bilan Energétique'!W27</f>
        <v>0</v>
      </c>
      <c r="N5" s="115">
        <f>'Bilan Energétique'!X27</f>
        <v>0</v>
      </c>
      <c r="O5" s="115">
        <f>'Bilan Energétique'!Y27</f>
        <v>0</v>
      </c>
      <c r="P5" s="115">
        <f>'Bilan Energétique'!T28</f>
        <v>113.11848024425065</v>
      </c>
      <c r="Q5" s="115">
        <f>'Bilan Energétique'!T27</f>
        <v>42.43986294755819</v>
      </c>
      <c r="R5" s="115">
        <f>'Bilan Energétique'!U27</f>
        <v>0</v>
      </c>
      <c r="S5" s="115">
        <f>'Bilan Energétique'!V27</f>
        <v>0</v>
      </c>
      <c r="T5" s="115">
        <f>'Bilan Energétique'!Q27</f>
        <v>8.6044727999999999</v>
      </c>
      <c r="U5" s="115"/>
      <c r="Z5" s="11">
        <f>SUMPRODUCT(C5:X5,C15:X15)</f>
        <v>333.04771392486452</v>
      </c>
      <c r="AB5" s="12"/>
    </row>
    <row r="6" spans="1:28">
      <c r="A6" s="54" t="s">
        <v>31</v>
      </c>
      <c r="B6" s="8">
        <f>SUM(C6:U6)</f>
        <v>417.95386930182912</v>
      </c>
      <c r="C6" s="115">
        <f>'Bilan Energétique'!C28</f>
        <v>0</v>
      </c>
      <c r="D6" s="115">
        <f>'Bilan Energétique'!E28</f>
        <v>0</v>
      </c>
      <c r="E6" s="115">
        <f>'Bilan Energétique'!F28</f>
        <v>0</v>
      </c>
      <c r="F6" s="115">
        <f>'Bilan Energétique'!G28</f>
        <v>0</v>
      </c>
      <c r="G6" s="115">
        <f>'Bilan Energétique'!H28</f>
        <v>23.458665233101932</v>
      </c>
      <c r="H6" s="115">
        <f>'Bilan Energétique'!I28</f>
        <v>0</v>
      </c>
      <c r="I6" s="115">
        <f>'Bilan Energétique'!J28</f>
        <v>0</v>
      </c>
      <c r="J6" s="115">
        <f>'Bilan Energétique'!R28</f>
        <v>66.735555041195084</v>
      </c>
      <c r="K6" s="115">
        <f>'Bilan Energétique'!O28</f>
        <v>177.78732524931328</v>
      </c>
      <c r="L6" s="115">
        <f>'Bilan Energétique'!P28</f>
        <v>12.055217383225726</v>
      </c>
      <c r="M6" s="115">
        <f>'Bilan Energétique'!W28</f>
        <v>0</v>
      </c>
      <c r="N6" s="115">
        <f>'Bilan Energétique'!X28</f>
        <v>0</v>
      </c>
      <c r="O6" s="115">
        <f>'Bilan Energétique'!Y28</f>
        <v>0</v>
      </c>
      <c r="P6" s="115">
        <f>'Bilan Energétique'!T29</f>
        <v>24.798626150742429</v>
      </c>
      <c r="Q6" s="115">
        <f>'Bilan Energétique'!T28</f>
        <v>113.11848024425065</v>
      </c>
      <c r="R6" s="115">
        <f>'Bilan Energétique'!U28</f>
        <v>0</v>
      </c>
      <c r="S6" s="115">
        <f>'Bilan Energétique'!V28</f>
        <v>0</v>
      </c>
      <c r="T6" s="115">
        <f>'Bilan Energétique'!Q28</f>
        <v>0</v>
      </c>
      <c r="U6" s="115"/>
      <c r="Z6" s="11">
        <f>SUMPRODUCT(C6:X6,C15:X15)</f>
        <v>232.5626908933022</v>
      </c>
      <c r="AB6" s="12"/>
    </row>
    <row r="7" spans="1:28">
      <c r="A7" s="54" t="s">
        <v>32</v>
      </c>
      <c r="B7" s="8">
        <f>SUM(C7:U7)</f>
        <v>229.98352760969206</v>
      </c>
      <c r="C7" s="115">
        <f>'Bilan Energétique'!C29</f>
        <v>0</v>
      </c>
      <c r="D7" s="115">
        <f>'Bilan Energétique'!E29</f>
        <v>0</v>
      </c>
      <c r="E7" s="115">
        <f>'Bilan Energétique'!F29</f>
        <v>0</v>
      </c>
      <c r="F7" s="115">
        <f>'Bilan Energétique'!G29</f>
        <v>0</v>
      </c>
      <c r="G7" s="115">
        <f>'Bilan Energétique'!H29</f>
        <v>1.4523830853815558</v>
      </c>
      <c r="H7" s="115">
        <f>'Bilan Energétique'!I29</f>
        <v>0</v>
      </c>
      <c r="I7" s="115">
        <f>'Bilan Energétique'!J29</f>
        <v>0</v>
      </c>
      <c r="J7" s="115">
        <f>'Bilan Energétique'!R29</f>
        <v>35.680290059851103</v>
      </c>
      <c r="K7" s="115">
        <f>'Bilan Energétique'!O29</f>
        <v>164.44981577246435</v>
      </c>
      <c r="L7" s="115">
        <f>'Bilan Energétique'!P29</f>
        <v>3.6024125412526571</v>
      </c>
      <c r="M7" s="115">
        <f>'Bilan Energétique'!W29</f>
        <v>0</v>
      </c>
      <c r="N7" s="115">
        <f>'Bilan Energétique'!X29</f>
        <v>0</v>
      </c>
      <c r="O7" s="115">
        <f>'Bilan Energétique'!Y29</f>
        <v>0</v>
      </c>
      <c r="P7" s="115">
        <f>'Bilan Energétique'!T30</f>
        <v>0</v>
      </c>
      <c r="Q7" s="115">
        <f>'Bilan Energétique'!T29</f>
        <v>24.798626150742429</v>
      </c>
      <c r="R7" s="115">
        <f>'Bilan Energétique'!U29</f>
        <v>0</v>
      </c>
      <c r="S7" s="115">
        <f>'Bilan Energétique'!V29</f>
        <v>0</v>
      </c>
      <c r="T7" s="115">
        <f>'Bilan Energétique'!Q29</f>
        <v>0</v>
      </c>
      <c r="U7" s="115"/>
      <c r="Z7" s="11">
        <f>SUMPRODUCT(C7:X7,C15:X15)</f>
        <v>89.28473026405355</v>
      </c>
      <c r="AB7" s="12"/>
    </row>
    <row r="8" spans="1:28">
      <c r="A8" s="54" t="s">
        <v>33</v>
      </c>
      <c r="B8" s="8">
        <f>SUM(C8:U8)</f>
        <v>481.05971548127042</v>
      </c>
      <c r="C8" s="115">
        <f>'Bilan Energétique'!C30</f>
        <v>0</v>
      </c>
      <c r="D8" s="115">
        <f>'Bilan Energétique'!E30</f>
        <v>0</v>
      </c>
      <c r="E8" s="115">
        <f>'Bilan Energétique'!F30</f>
        <v>58.424473575422041</v>
      </c>
      <c r="F8" s="115">
        <f>'Bilan Energétique'!G30</f>
        <v>245.94561783545655</v>
      </c>
      <c r="G8" s="115">
        <f>'Bilan Energétique'!H30</f>
        <v>0</v>
      </c>
      <c r="H8" s="115">
        <f>'Bilan Energétique'!I30</f>
        <v>15.611516999171663</v>
      </c>
      <c r="I8" s="115">
        <f>'Bilan Energétique'!J30</f>
        <v>0</v>
      </c>
      <c r="J8" s="115">
        <f>'Bilan Energétique'!R30</f>
        <v>24.0662558252608</v>
      </c>
      <c r="K8" s="115">
        <f>'Bilan Energétique'!O30</f>
        <v>102.95967934486593</v>
      </c>
      <c r="L8" s="115">
        <f>'Bilan Energétique'!P30</f>
        <v>0</v>
      </c>
      <c r="M8" s="115">
        <f>'Bilan Energétique'!W30</f>
        <v>0</v>
      </c>
      <c r="N8" s="115">
        <f>'Bilan Energétique'!X30</f>
        <v>0</v>
      </c>
      <c r="O8" s="115">
        <f>'Bilan Energétique'!Y30</f>
        <v>0</v>
      </c>
      <c r="P8" s="115">
        <f>'Bilan Energétique'!T31</f>
        <v>0.33407405489879066</v>
      </c>
      <c r="Q8" s="115">
        <f>'Bilan Energétique'!S30</f>
        <v>0.24309349318445228</v>
      </c>
      <c r="R8" s="115">
        <f>'Bilan Energétique'!U30</f>
        <v>23.144973101036534</v>
      </c>
      <c r="S8" s="115">
        <f>'Bilan Energétique'!V30</f>
        <v>0</v>
      </c>
      <c r="T8" s="115">
        <f>'Bilan Energétique'!Q30</f>
        <v>10.330031251973677</v>
      </c>
      <c r="U8" s="115"/>
      <c r="Z8" s="11">
        <f>SUMPRODUCT(C8:X8,C15:X15)</f>
        <v>1061.5187575587101</v>
      </c>
      <c r="AB8" s="10"/>
    </row>
    <row r="9" spans="1:28">
      <c r="A9" s="54" t="s">
        <v>34</v>
      </c>
      <c r="B9" s="8">
        <f>SUM(C9:U9)</f>
        <v>5.2075347727188914</v>
      </c>
      <c r="C9" s="53">
        <f>ClimAgri!C27</f>
        <v>1.5608169209537531E-2</v>
      </c>
      <c r="D9" s="11"/>
      <c r="E9" s="11"/>
      <c r="F9" s="11"/>
      <c r="G9" s="53">
        <f>ClimAgri!C22</f>
        <v>2.1920989659522609</v>
      </c>
      <c r="H9" s="13"/>
      <c r="I9" s="54"/>
      <c r="J9" s="53">
        <f>ClimAgri!C25</f>
        <v>1.1205032340112018</v>
      </c>
      <c r="K9" s="53">
        <f>ClimAgri!C24</f>
        <v>1.104838599046698</v>
      </c>
      <c r="L9" s="11"/>
      <c r="M9" s="11"/>
      <c r="N9" s="11"/>
      <c r="O9" s="11"/>
      <c r="P9" s="53">
        <f>ClimAgri!C26</f>
        <v>2.8725198185622584E-2</v>
      </c>
      <c r="Q9" s="53">
        <f>ClimAgri!C28</f>
        <v>0.19773586482550629</v>
      </c>
      <c r="R9" s="53">
        <f>ClimAgri!C23</f>
        <v>0.54802474148806524</v>
      </c>
      <c r="S9" s="11"/>
      <c r="T9" s="54"/>
      <c r="U9" s="54"/>
      <c r="Z9" s="11">
        <f>SUMPRODUCT(C9:X9,C15:X15)</f>
        <v>9.651687844007137</v>
      </c>
      <c r="AB9" s="12"/>
    </row>
    <row r="10" spans="1:28">
      <c r="A10" s="54" t="s">
        <v>35</v>
      </c>
      <c r="B10" s="8">
        <f>SUM(C10:Q10)</f>
        <v>0</v>
      </c>
      <c r="C10" s="11"/>
      <c r="D10" s="11"/>
      <c r="E10" s="11"/>
      <c r="F10" s="11"/>
      <c r="G10" s="11"/>
      <c r="H10" s="11"/>
      <c r="I10" s="11"/>
      <c r="J10" s="11"/>
      <c r="K10" s="11"/>
      <c r="L10" s="11"/>
      <c r="M10" s="11"/>
      <c r="N10" s="11"/>
      <c r="O10" s="11"/>
      <c r="P10" s="11"/>
      <c r="Q10" s="11"/>
      <c r="R10" s="54"/>
      <c r="S10" s="11"/>
      <c r="T10" s="54"/>
      <c r="U10" s="54"/>
      <c r="Z10" s="11">
        <f>SUMPRODUCT(C10:X10,C15:X15)</f>
        <v>0</v>
      </c>
    </row>
    <row r="13" spans="1:28">
      <c r="A13" t="s">
        <v>198</v>
      </c>
      <c r="C13" t="s">
        <v>11</v>
      </c>
      <c r="D13" t="s">
        <v>12</v>
      </c>
      <c r="E13" t="s">
        <v>13</v>
      </c>
      <c r="F13" t="s">
        <v>185</v>
      </c>
      <c r="G13" t="s">
        <v>188</v>
      </c>
      <c r="H13" t="s">
        <v>187</v>
      </c>
      <c r="I13" t="s">
        <v>186</v>
      </c>
      <c r="J13" t="s">
        <v>189</v>
      </c>
      <c r="K13" t="s">
        <v>19</v>
      </c>
      <c r="L13" t="s">
        <v>194</v>
      </c>
      <c r="M13" t="s">
        <v>193</v>
      </c>
      <c r="P13" t="s">
        <v>191</v>
      </c>
      <c r="Q13" t="s">
        <v>190</v>
      </c>
      <c r="R13" t="s">
        <v>192</v>
      </c>
      <c r="S13" t="s">
        <v>26</v>
      </c>
      <c r="T13" t="s">
        <v>136</v>
      </c>
      <c r="V13" t="s">
        <v>195</v>
      </c>
      <c r="W13" t="s">
        <v>184</v>
      </c>
      <c r="X13" t="s">
        <v>133</v>
      </c>
    </row>
    <row r="14" spans="1:28">
      <c r="A14" t="s">
        <v>196</v>
      </c>
      <c r="C14" s="57">
        <v>0.34523999999999999</v>
      </c>
      <c r="D14" s="57">
        <v>0.26979999999999998</v>
      </c>
      <c r="E14" s="57">
        <v>0.26979999999999998</v>
      </c>
      <c r="F14" s="57">
        <v>0.26979999999999998</v>
      </c>
      <c r="G14" s="57">
        <v>0.27179999999999999</v>
      </c>
      <c r="H14" s="57">
        <v>0.27179999999999999</v>
      </c>
      <c r="I14" s="57">
        <v>0.2671</v>
      </c>
      <c r="J14" s="57">
        <v>0.2041</v>
      </c>
      <c r="K14" s="57">
        <v>0</v>
      </c>
      <c r="L14" s="57">
        <v>0</v>
      </c>
      <c r="M14" s="57">
        <v>0</v>
      </c>
      <c r="P14" s="57">
        <v>0</v>
      </c>
      <c r="Q14" s="57">
        <v>0</v>
      </c>
      <c r="R14" s="57">
        <v>0</v>
      </c>
      <c r="S14" s="57">
        <v>0</v>
      </c>
      <c r="T14" s="57">
        <v>0</v>
      </c>
      <c r="V14" s="57">
        <v>0</v>
      </c>
      <c r="W14" s="57">
        <v>0.27179999999999999</v>
      </c>
      <c r="X14" s="57">
        <v>0</v>
      </c>
    </row>
    <row r="15" spans="1:28">
      <c r="A15" t="s">
        <v>199</v>
      </c>
      <c r="C15">
        <f>11.63*C14</f>
        <v>4.0151412000000004</v>
      </c>
      <c r="D15" s="54">
        <f t="shared" ref="D15:W15" si="1">11.63*D14</f>
        <v>3.1377739999999998</v>
      </c>
      <c r="E15" s="54">
        <f t="shared" si="1"/>
        <v>3.1377739999999998</v>
      </c>
      <c r="F15" s="54">
        <f t="shared" si="1"/>
        <v>3.1377739999999998</v>
      </c>
      <c r="G15" s="54">
        <f t="shared" si="1"/>
        <v>3.1610339999999999</v>
      </c>
      <c r="H15" s="54">
        <f t="shared" si="1"/>
        <v>3.1610339999999999</v>
      </c>
      <c r="I15" s="54">
        <f t="shared" si="1"/>
        <v>3.1063730000000001</v>
      </c>
      <c r="J15" s="54">
        <f t="shared" si="1"/>
        <v>2.3736830000000002</v>
      </c>
      <c r="K15" s="54">
        <f t="shared" si="1"/>
        <v>0</v>
      </c>
      <c r="L15" s="54">
        <f t="shared" si="1"/>
        <v>0</v>
      </c>
      <c r="M15" s="54">
        <f>11.63*M14</f>
        <v>0</v>
      </c>
      <c r="N15" s="54">
        <f t="shared" si="1"/>
        <v>0</v>
      </c>
      <c r="O15" s="54">
        <f t="shared" si="1"/>
        <v>0</v>
      </c>
      <c r="P15" s="54">
        <f t="shared" si="1"/>
        <v>0</v>
      </c>
      <c r="Q15" s="54">
        <f t="shared" si="1"/>
        <v>0</v>
      </c>
      <c r="R15" s="54">
        <f t="shared" si="1"/>
        <v>0</v>
      </c>
      <c r="S15" s="54">
        <f t="shared" si="1"/>
        <v>0</v>
      </c>
      <c r="T15" s="54">
        <f t="shared" si="1"/>
        <v>0</v>
      </c>
      <c r="U15" s="54">
        <f t="shared" si="1"/>
        <v>0</v>
      </c>
      <c r="V15" s="54">
        <f t="shared" si="1"/>
        <v>0</v>
      </c>
      <c r="W15" s="54">
        <f t="shared" si="1"/>
        <v>3.1610339999999999</v>
      </c>
      <c r="X15" s="54">
        <f>11.63*X14</f>
        <v>0</v>
      </c>
    </row>
  </sheetData>
  <mergeCells count="4">
    <mergeCell ref="E2:I2"/>
    <mergeCell ref="M1:S1"/>
    <mergeCell ref="P2:R2"/>
    <mergeCell ref="M2:O2"/>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0"/>
  <sheetViews>
    <sheetView topLeftCell="A10" zoomScale="85" zoomScaleNormal="85" workbookViewId="0">
      <selection activeCell="J41" sqref="J41"/>
    </sheetView>
  </sheetViews>
  <sheetFormatPr baseColWidth="10" defaultRowHeight="15"/>
  <cols>
    <col min="1" max="1" width="27.140625" style="146" customWidth="1"/>
    <col min="2" max="2" width="31.5703125" customWidth="1"/>
    <col min="3" max="3" width="28.42578125" customWidth="1"/>
  </cols>
  <sheetData>
    <row r="1" spans="2:34">
      <c r="B1" s="146"/>
      <c r="C1" s="146"/>
      <c r="D1" s="6">
        <v>2050</v>
      </c>
      <c r="E1" s="146"/>
      <c r="F1" s="146" t="s">
        <v>317</v>
      </c>
      <c r="G1" s="146" t="s">
        <v>318</v>
      </c>
      <c r="H1" s="146" t="s">
        <v>319</v>
      </c>
      <c r="I1" s="146" t="s">
        <v>320</v>
      </c>
      <c r="J1" s="146" t="s">
        <v>321</v>
      </c>
      <c r="K1" s="146" t="s">
        <v>322</v>
      </c>
      <c r="L1" s="7" t="s">
        <v>323</v>
      </c>
      <c r="M1" s="146"/>
      <c r="N1" s="146" t="s">
        <v>324</v>
      </c>
      <c r="O1" s="146" t="s">
        <v>325</v>
      </c>
      <c r="P1" s="146" t="s">
        <v>326</v>
      </c>
      <c r="Q1" s="146" t="s">
        <v>327</v>
      </c>
      <c r="R1" s="146" t="s">
        <v>328</v>
      </c>
      <c r="S1" s="146" t="s">
        <v>88</v>
      </c>
      <c r="T1" s="146" t="s">
        <v>329</v>
      </c>
      <c r="U1" s="146" t="s">
        <v>330</v>
      </c>
      <c r="V1" s="146" t="s">
        <v>331</v>
      </c>
      <c r="W1" s="146" t="s">
        <v>332</v>
      </c>
      <c r="X1" s="146" t="s">
        <v>333</v>
      </c>
      <c r="Y1" s="7" t="s">
        <v>334</v>
      </c>
      <c r="Z1" s="146"/>
      <c r="AA1" s="146" t="s">
        <v>36</v>
      </c>
      <c r="AB1" s="146" t="s">
        <v>31</v>
      </c>
      <c r="AC1" s="146" t="s">
        <v>32</v>
      </c>
      <c r="AD1" s="146" t="s">
        <v>33</v>
      </c>
      <c r="AE1" s="146" t="s">
        <v>34</v>
      </c>
      <c r="AF1" s="7" t="s">
        <v>139</v>
      </c>
      <c r="AG1" s="146" t="s">
        <v>335</v>
      </c>
      <c r="AH1" s="7" t="s">
        <v>336</v>
      </c>
    </row>
    <row r="2" spans="2:34">
      <c r="B2" s="146"/>
      <c r="C2" s="3"/>
      <c r="D2" s="7" t="s">
        <v>30</v>
      </c>
      <c r="E2" s="146"/>
      <c r="F2" s="8">
        <f t="shared" ref="F2:K2" si="0">SUM(F36:F48)</f>
        <v>27.620451982059638</v>
      </c>
      <c r="G2" s="8">
        <f t="shared" si="0"/>
        <v>32.205716476067551</v>
      </c>
      <c r="H2" s="8">
        <f t="shared" si="0"/>
        <v>0</v>
      </c>
      <c r="I2" s="8">
        <f t="shared" si="0"/>
        <v>-1.288</v>
      </c>
      <c r="J2" s="8">
        <f t="shared" si="0"/>
        <v>-7.9189579437951316</v>
      </c>
      <c r="K2" s="8">
        <f t="shared" si="0"/>
        <v>0</v>
      </c>
      <c r="L2" s="9">
        <f>SUM(F2:K2)</f>
        <v>50.619210514332053</v>
      </c>
      <c r="M2" s="9"/>
      <c r="N2" s="8">
        <f t="shared" ref="N2:X2" si="1">SUM(N36:N48)</f>
        <v>0</v>
      </c>
      <c r="O2" s="8">
        <f t="shared" si="1"/>
        <v>0</v>
      </c>
      <c r="P2" s="8">
        <f t="shared" si="1"/>
        <v>0</v>
      </c>
      <c r="Q2" s="8">
        <f t="shared" si="1"/>
        <v>0</v>
      </c>
      <c r="R2" s="8">
        <f t="shared" si="1"/>
        <v>2.308330224663377</v>
      </c>
      <c r="S2" s="8">
        <f t="shared" si="1"/>
        <v>2.5437087990828311</v>
      </c>
      <c r="T2" s="8">
        <f t="shared" si="1"/>
        <v>-41.8</v>
      </c>
      <c r="U2" s="8">
        <f t="shared" si="1"/>
        <v>0</v>
      </c>
      <c r="V2" s="8">
        <f t="shared" si="1"/>
        <v>0</v>
      </c>
      <c r="W2" s="8">
        <f t="shared" si="1"/>
        <v>1.848017483519633</v>
      </c>
      <c r="X2" s="8">
        <f t="shared" si="1"/>
        <v>0</v>
      </c>
      <c r="Y2" s="9">
        <f>SUM(N2:X2)</f>
        <v>-35.099943492734155</v>
      </c>
      <c r="Z2" s="146"/>
      <c r="AA2" s="8">
        <f t="shared" ref="AA2:AF2" si="2">SUM(AA36:AA48)</f>
        <v>4.7222589138199913</v>
      </c>
      <c r="AB2" s="8">
        <f t="shared" si="2"/>
        <v>11.743520677330402</v>
      </c>
      <c r="AC2" s="8">
        <f t="shared" si="2"/>
        <v>2.2571805018163356</v>
      </c>
      <c r="AD2" s="8">
        <f t="shared" si="2"/>
        <v>40.140383922818359</v>
      </c>
      <c r="AE2" s="8">
        <f t="shared" si="2"/>
        <v>0</v>
      </c>
      <c r="AF2" s="9">
        <f t="shared" si="2"/>
        <v>58.863344015785088</v>
      </c>
      <c r="AG2" s="8">
        <f>SUM(AG36:AG46)</f>
        <v>16.615604489738832</v>
      </c>
      <c r="AH2" s="8">
        <f>SUM(AF2:AG2)</f>
        <v>75.478948505523917</v>
      </c>
    </row>
    <row r="3" spans="2:34" ht="15.75" thickBot="1">
      <c r="B3" s="56"/>
      <c r="C3" s="153"/>
      <c r="D3" s="146" t="s">
        <v>19</v>
      </c>
      <c r="E3" s="146"/>
      <c r="F3" s="143"/>
      <c r="G3" s="155">
        <f>Electricité!E9</f>
        <v>0</v>
      </c>
      <c r="H3" s="155">
        <f>-Electricité!D9</f>
        <v>0</v>
      </c>
      <c r="I3" s="143"/>
      <c r="J3" s="143"/>
      <c r="K3" s="143"/>
      <c r="L3" s="151">
        <f>SUM(F3:K3)</f>
        <v>0</v>
      </c>
      <c r="M3" s="145"/>
      <c r="N3" s="143"/>
      <c r="O3" s="143"/>
      <c r="P3" s="154">
        <f>-Electricité!J4</f>
        <v>0</v>
      </c>
      <c r="Q3" s="143"/>
      <c r="R3" s="143"/>
      <c r="S3" s="143"/>
      <c r="T3" s="143"/>
      <c r="U3" s="154">
        <f>-U21</f>
        <v>0.96680716214849471</v>
      </c>
      <c r="V3" s="143"/>
      <c r="W3" s="57">
        <v>2.7822871883061051</v>
      </c>
      <c r="X3" s="57">
        <v>3.6528572872831524</v>
      </c>
      <c r="Y3" s="8">
        <f>SUM(N3:X3)</f>
        <v>7.4019516377377528</v>
      </c>
      <c r="Z3" s="146"/>
      <c r="AA3" s="57">
        <v>12.911615381211062</v>
      </c>
      <c r="AB3" s="57">
        <v>15.286958318943531</v>
      </c>
      <c r="AC3" s="57">
        <v>14.140138931424277</v>
      </c>
      <c r="AD3" s="53">
        <v>5.0976817758245554</v>
      </c>
      <c r="AE3" s="53">
        <f>ClimAgri!W4</f>
        <v>0</v>
      </c>
      <c r="AF3" s="8">
        <f>SUM(AA3:AE3)</f>
        <v>47.436394407403426</v>
      </c>
      <c r="AG3" s="11"/>
      <c r="AH3" s="8">
        <f>SUM(AF3:AG3)</f>
        <v>47.436394407403426</v>
      </c>
    </row>
    <row r="4" spans="2:34" ht="16.5" thickTop="1" thickBot="1">
      <c r="B4" s="56"/>
      <c r="C4" s="56" t="s">
        <v>315</v>
      </c>
      <c r="D4" s="146" t="s">
        <v>367</v>
      </c>
      <c r="E4" s="146"/>
      <c r="F4" s="154" t="str">
        <f>P4</f>
        <v>Energie finale (TWh)</v>
      </c>
      <c r="G4" s="143"/>
      <c r="H4" s="143"/>
      <c r="I4" s="143"/>
      <c r="J4" s="143"/>
      <c r="K4" s="143"/>
      <c r="L4" s="151">
        <f>SUM(F4:K4)</f>
        <v>0</v>
      </c>
      <c r="M4" s="145"/>
      <c r="N4" s="143"/>
      <c r="O4" s="143"/>
      <c r="P4" s="53" t="str">
        <f>Electricité!D2</f>
        <v>Energie finale (TWh)</v>
      </c>
      <c r="Q4" s="143"/>
      <c r="R4" s="143"/>
      <c r="S4" s="143"/>
      <c r="T4" s="143"/>
      <c r="U4" s="143"/>
      <c r="V4" s="143"/>
      <c r="W4" s="143"/>
      <c r="X4" s="143"/>
      <c r="Y4" s="8">
        <f>SUM(N4:X4)</f>
        <v>0</v>
      </c>
      <c r="Z4" s="146"/>
      <c r="AA4" s="58"/>
      <c r="AB4" s="58"/>
      <c r="AC4" s="58"/>
      <c r="AD4" s="11"/>
      <c r="AE4" s="146"/>
      <c r="AF4" s="8">
        <f>SUM(AA4:AE4)</f>
        <v>0</v>
      </c>
      <c r="AG4" s="58"/>
      <c r="AH4" s="8">
        <f>SUM(AF4:AG4)</f>
        <v>0</v>
      </c>
    </row>
    <row r="5" spans="2:34" s="146" customFormat="1" ht="16.5" thickTop="1" thickBot="1">
      <c r="B5" s="56"/>
      <c r="C5" s="56"/>
      <c r="D5" s="146" t="s">
        <v>368</v>
      </c>
      <c r="F5" s="154"/>
      <c r="G5" s="143"/>
      <c r="H5" s="143"/>
      <c r="I5" s="143"/>
      <c r="J5" s="143"/>
      <c r="K5" s="143"/>
      <c r="L5" s="151"/>
      <c r="M5" s="145"/>
      <c r="N5" s="143"/>
      <c r="O5" s="143"/>
      <c r="P5" s="53"/>
      <c r="Q5" s="143"/>
      <c r="R5" s="143"/>
      <c r="S5" s="143"/>
      <c r="T5" s="143"/>
      <c r="U5" s="143"/>
      <c r="V5" s="143"/>
      <c r="W5" s="143"/>
      <c r="X5" s="143"/>
      <c r="Y5" s="8"/>
      <c r="AA5" s="58"/>
      <c r="AB5" s="58"/>
      <c r="AC5" s="58"/>
      <c r="AD5" s="11"/>
      <c r="AF5" s="8"/>
      <c r="AG5" s="58"/>
      <c r="AH5" s="8"/>
    </row>
    <row r="6" spans="2:34" ht="16.5" thickTop="1" thickBot="1">
      <c r="B6" s="56"/>
      <c r="C6" s="56"/>
      <c r="D6" s="146" t="s">
        <v>174</v>
      </c>
      <c r="E6" s="146"/>
      <c r="F6" s="154" t="str">
        <f>P6</f>
        <v>Mix énergétique</v>
      </c>
      <c r="G6" s="143"/>
      <c r="H6" s="143"/>
      <c r="I6" s="143"/>
      <c r="J6" s="143"/>
      <c r="K6" s="143"/>
      <c r="L6" s="151">
        <f>SUM(F6:K6)</f>
        <v>0</v>
      </c>
      <c r="M6" s="145"/>
      <c r="N6" s="143"/>
      <c r="O6" s="143"/>
      <c r="P6" s="53" t="str">
        <f>Electricité!E2</f>
        <v>Mix énergétique</v>
      </c>
      <c r="Q6" s="143"/>
      <c r="R6" s="143"/>
      <c r="S6" s="143"/>
      <c r="T6" s="143"/>
      <c r="U6" s="143"/>
      <c r="V6" s="143"/>
      <c r="W6" s="143"/>
      <c r="X6" s="143"/>
      <c r="Y6" s="8">
        <f>SUM(N6:X6)</f>
        <v>0</v>
      </c>
      <c r="Z6" s="146"/>
      <c r="AA6" s="58"/>
      <c r="AB6" s="58"/>
      <c r="AC6" s="58"/>
      <c r="AD6" s="11"/>
      <c r="AE6" s="146"/>
      <c r="AF6" s="8">
        <f>SUM(AA6:AE6)</f>
        <v>0</v>
      </c>
      <c r="AG6" s="58"/>
      <c r="AH6" s="8">
        <f>SUM(AF6:AG6)</f>
        <v>0</v>
      </c>
    </row>
    <row r="7" spans="2:34" ht="16.5" thickTop="1" thickBot="1">
      <c r="B7" s="56"/>
      <c r="C7" s="56"/>
      <c r="D7" s="146" t="s">
        <v>369</v>
      </c>
      <c r="E7" s="146"/>
      <c r="F7" s="154">
        <f>P7</f>
        <v>0</v>
      </c>
      <c r="G7" s="143"/>
      <c r="H7" s="143"/>
      <c r="I7" s="143"/>
      <c r="J7" s="143"/>
      <c r="K7" s="143"/>
      <c r="L7" s="151">
        <f>SUM(F7:K7)</f>
        <v>0</v>
      </c>
      <c r="M7" s="145"/>
      <c r="N7" s="143"/>
      <c r="O7" s="143"/>
      <c r="P7" s="53">
        <f>Electricité!G2</f>
        <v>0</v>
      </c>
      <c r="Q7" s="143"/>
      <c r="R7" s="143"/>
      <c r="S7" s="143"/>
      <c r="T7" s="143"/>
      <c r="U7" s="143"/>
      <c r="V7" s="143"/>
      <c r="W7" s="143"/>
      <c r="X7" s="143"/>
      <c r="Y7" s="8">
        <f>SUM(N7:X7)</f>
        <v>0</v>
      </c>
      <c r="Z7" s="146"/>
      <c r="AA7" s="58"/>
      <c r="AB7" s="58"/>
      <c r="AC7" s="58"/>
      <c r="AD7" s="11"/>
      <c r="AE7" s="146"/>
      <c r="AF7" s="8">
        <f>SUM(AA7:AE7)</f>
        <v>0</v>
      </c>
      <c r="AG7" s="58"/>
      <c r="AH7" s="8">
        <f>SUM(AF7:AG7)</f>
        <v>0</v>
      </c>
    </row>
    <row r="8" spans="2:34" s="146" customFormat="1" ht="16.5" thickTop="1" thickBot="1">
      <c r="B8" s="56"/>
      <c r="C8" s="56"/>
      <c r="D8" s="146" t="s">
        <v>370</v>
      </c>
      <c r="F8" s="154"/>
      <c r="G8" s="143"/>
      <c r="H8" s="143"/>
      <c r="I8" s="143"/>
      <c r="J8" s="143"/>
      <c r="K8" s="143"/>
      <c r="L8" s="151"/>
      <c r="M8" s="145"/>
      <c r="N8" s="143"/>
      <c r="O8" s="143"/>
      <c r="P8" s="53"/>
      <c r="Q8" s="143"/>
      <c r="R8" s="143"/>
      <c r="S8" s="143"/>
      <c r="T8" s="143"/>
      <c r="U8" s="143"/>
      <c r="V8" s="143"/>
      <c r="W8" s="143"/>
      <c r="X8" s="143"/>
      <c r="Y8" s="8"/>
      <c r="AA8" s="58"/>
      <c r="AB8" s="58"/>
      <c r="AC8" s="58"/>
      <c r="AD8" s="11"/>
      <c r="AF8" s="8"/>
      <c r="AG8" s="58"/>
      <c r="AH8" s="8"/>
    </row>
    <row r="9" spans="2:34" s="146" customFormat="1" ht="16.5" thickTop="1" thickBot="1">
      <c r="B9" s="56"/>
      <c r="C9" s="56"/>
      <c r="D9" s="146" t="s">
        <v>371</v>
      </c>
      <c r="F9" s="154"/>
      <c r="G9" s="143"/>
      <c r="H9" s="143"/>
      <c r="I9" s="143"/>
      <c r="J9" s="143"/>
      <c r="K9" s="143"/>
      <c r="L9" s="151"/>
      <c r="M9" s="145"/>
      <c r="N9" s="143"/>
      <c r="O9" s="143"/>
      <c r="P9" s="53"/>
      <c r="Q9" s="143"/>
      <c r="R9" s="143"/>
      <c r="S9" s="143"/>
      <c r="T9" s="143"/>
      <c r="U9" s="143"/>
      <c r="V9" s="143"/>
      <c r="W9" s="143"/>
      <c r="X9" s="143"/>
      <c r="Y9" s="8"/>
      <c r="AA9" s="58"/>
      <c r="AB9" s="58"/>
      <c r="AC9" s="58"/>
      <c r="AD9" s="11"/>
      <c r="AF9" s="8"/>
      <c r="AG9" s="58"/>
      <c r="AH9" s="8"/>
    </row>
    <row r="10" spans="2:34" s="146" customFormat="1" ht="16.5" thickTop="1" thickBot="1">
      <c r="B10" s="56"/>
      <c r="C10" s="56"/>
      <c r="D10" s="146" t="s">
        <v>372</v>
      </c>
      <c r="F10" s="154"/>
      <c r="G10" s="143"/>
      <c r="H10" s="143"/>
      <c r="I10" s="143"/>
      <c r="J10" s="143"/>
      <c r="K10" s="143"/>
      <c r="L10" s="151"/>
      <c r="M10" s="145"/>
      <c r="N10" s="143"/>
      <c r="O10" s="143"/>
      <c r="P10" s="53"/>
      <c r="Q10" s="143"/>
      <c r="R10" s="143"/>
      <c r="S10" s="143"/>
      <c r="T10" s="143"/>
      <c r="U10" s="143"/>
      <c r="V10" s="143"/>
      <c r="W10" s="143"/>
      <c r="X10" s="143"/>
      <c r="Y10" s="8"/>
      <c r="AA10" s="58"/>
      <c r="AB10" s="58"/>
      <c r="AC10" s="58"/>
      <c r="AD10" s="11"/>
      <c r="AF10" s="8"/>
      <c r="AG10" s="58"/>
      <c r="AH10" s="8"/>
    </row>
    <row r="11" spans="2:34" s="146" customFormat="1" ht="16.5" thickTop="1" thickBot="1">
      <c r="B11" s="56"/>
      <c r="C11" s="56"/>
      <c r="D11" s="146" t="s">
        <v>373</v>
      </c>
      <c r="F11" s="154"/>
      <c r="G11" s="143"/>
      <c r="H11" s="143"/>
      <c r="I11" s="143"/>
      <c r="J11" s="143"/>
      <c r="K11" s="143"/>
      <c r="L11" s="151"/>
      <c r="M11" s="145"/>
      <c r="N11" s="143"/>
      <c r="O11" s="143"/>
      <c r="P11" s="53"/>
      <c r="Q11" s="143"/>
      <c r="R11" s="143"/>
      <c r="S11" s="143"/>
      <c r="T11" s="143"/>
      <c r="U11" s="143"/>
      <c r="V11" s="143"/>
      <c r="W11" s="143"/>
      <c r="X11" s="143"/>
      <c r="Y11" s="8"/>
      <c r="AA11" s="58"/>
      <c r="AB11" s="58"/>
      <c r="AC11" s="58"/>
      <c r="AD11" s="11"/>
      <c r="AF11" s="8"/>
      <c r="AG11" s="58"/>
      <c r="AH11" s="8"/>
    </row>
    <row r="12" spans="2:34" ht="16.5" thickTop="1" thickBot="1">
      <c r="B12" s="56"/>
      <c r="C12" s="153"/>
      <c r="D12" s="146" t="s">
        <v>133</v>
      </c>
      <c r="E12" s="146"/>
      <c r="F12" s="154" t="str">
        <f>P12</f>
        <v>Rendement</v>
      </c>
      <c r="G12" s="143"/>
      <c r="H12" s="143"/>
      <c r="I12" s="143"/>
      <c r="J12" s="143"/>
      <c r="K12" s="143"/>
      <c r="L12" s="151">
        <f>SUM(F12:K12)</f>
        <v>0</v>
      </c>
      <c r="M12" s="145"/>
      <c r="N12" s="143"/>
      <c r="O12" s="143"/>
      <c r="P12" s="53" t="str">
        <f>Electricité!C2</f>
        <v>Rendement</v>
      </c>
      <c r="Q12" s="143"/>
      <c r="R12" s="143"/>
      <c r="S12" s="143"/>
      <c r="T12" s="143"/>
      <c r="U12" s="143"/>
      <c r="V12" s="143"/>
      <c r="W12" s="143"/>
      <c r="X12" s="143"/>
      <c r="Y12" s="8">
        <f>SUM(N12:X12)</f>
        <v>0</v>
      </c>
      <c r="Z12" s="146"/>
      <c r="AA12" s="58"/>
      <c r="AB12" s="58"/>
      <c r="AC12" s="58"/>
      <c r="AD12" s="11"/>
      <c r="AE12" s="146"/>
      <c r="AF12" s="8">
        <f>SUM(AA12:AE12)</f>
        <v>0</v>
      </c>
      <c r="AG12" s="58"/>
      <c r="AH12" s="8">
        <f>SUM(AF12:AG12)</f>
        <v>0</v>
      </c>
    </row>
    <row r="13" spans="2:34" s="146" customFormat="1" ht="16.5" thickTop="1" thickBot="1">
      <c r="B13" s="56"/>
      <c r="C13" s="153"/>
      <c r="D13" s="146" t="s">
        <v>363</v>
      </c>
      <c r="F13" s="154"/>
      <c r="G13" s="143"/>
      <c r="H13" s="143"/>
      <c r="I13" s="143"/>
      <c r="J13" s="143"/>
      <c r="K13" s="143"/>
      <c r="L13" s="151"/>
      <c r="M13" s="145"/>
      <c r="N13" s="143"/>
      <c r="O13" s="143"/>
      <c r="P13" s="53"/>
      <c r="Q13" s="143"/>
      <c r="R13" s="143"/>
      <c r="S13" s="143"/>
      <c r="T13" s="143"/>
      <c r="U13" s="143"/>
      <c r="V13" s="143"/>
      <c r="W13" s="143"/>
      <c r="X13" s="143"/>
      <c r="Y13" s="8"/>
      <c r="AA13" s="58"/>
      <c r="AB13" s="58"/>
      <c r="AC13" s="58"/>
      <c r="AD13" s="11"/>
      <c r="AF13" s="8"/>
      <c r="AG13" s="58"/>
      <c r="AH13" s="8"/>
    </row>
    <row r="14" spans="2:34" s="146" customFormat="1" ht="16.5" thickTop="1" thickBot="1">
      <c r="B14" s="56"/>
      <c r="C14" s="153"/>
      <c r="D14" s="146" t="s">
        <v>364</v>
      </c>
      <c r="F14" s="154"/>
      <c r="G14" s="143"/>
      <c r="H14" s="143"/>
      <c r="I14" s="143"/>
      <c r="J14" s="143"/>
      <c r="K14" s="143"/>
      <c r="L14" s="151"/>
      <c r="M14" s="145"/>
      <c r="N14" s="143"/>
      <c r="O14" s="143"/>
      <c r="P14" s="53"/>
      <c r="Q14" s="143"/>
      <c r="R14" s="143"/>
      <c r="S14" s="143"/>
      <c r="T14" s="143"/>
      <c r="U14" s="143"/>
      <c r="V14" s="143"/>
      <c r="W14" s="143"/>
      <c r="X14" s="143"/>
      <c r="Y14" s="8"/>
      <c r="AA14" s="58"/>
      <c r="AB14" s="58"/>
      <c r="AC14" s="58"/>
      <c r="AD14" s="11"/>
      <c r="AF14" s="8"/>
      <c r="AG14" s="58"/>
      <c r="AH14" s="8"/>
    </row>
    <row r="15" spans="2:34" s="146" customFormat="1" ht="16.5" thickTop="1" thickBot="1">
      <c r="B15" s="56"/>
      <c r="C15" s="153"/>
      <c r="D15" s="146" t="s">
        <v>365</v>
      </c>
      <c r="F15" s="154"/>
      <c r="G15" s="143"/>
      <c r="H15" s="143"/>
      <c r="I15" s="143"/>
      <c r="J15" s="143"/>
      <c r="K15" s="143"/>
      <c r="L15" s="151"/>
      <c r="M15" s="145"/>
      <c r="N15" s="143"/>
      <c r="O15" s="143"/>
      <c r="P15" s="53"/>
      <c r="Q15" s="143"/>
      <c r="R15" s="143"/>
      <c r="S15" s="143"/>
      <c r="T15" s="143"/>
      <c r="U15" s="143"/>
      <c r="V15" s="143"/>
      <c r="W15" s="143"/>
      <c r="X15" s="143"/>
      <c r="Y15" s="8"/>
      <c r="AA15" s="58"/>
      <c r="AB15" s="58"/>
      <c r="AC15" s="58"/>
      <c r="AD15" s="11"/>
      <c r="AF15" s="8"/>
      <c r="AG15" s="58"/>
      <c r="AH15" s="8"/>
    </row>
    <row r="16" spans="2:34" s="146" customFormat="1" ht="16.5" thickTop="1" thickBot="1">
      <c r="B16" s="56"/>
      <c r="C16" s="153"/>
      <c r="D16" s="146" t="s">
        <v>366</v>
      </c>
      <c r="F16" s="154"/>
      <c r="G16" s="143"/>
      <c r="H16" s="143"/>
      <c r="I16" s="143"/>
      <c r="J16" s="143"/>
      <c r="K16" s="143"/>
      <c r="L16" s="151"/>
      <c r="M16" s="145"/>
      <c r="N16" s="143"/>
      <c r="O16" s="143"/>
      <c r="P16" s="53"/>
      <c r="Q16" s="143"/>
      <c r="R16" s="143"/>
      <c r="S16" s="143"/>
      <c r="T16" s="143"/>
      <c r="U16" s="143"/>
      <c r="V16" s="143"/>
      <c r="W16" s="143"/>
      <c r="X16" s="143"/>
      <c r="Y16" s="8"/>
      <c r="AA16" s="58"/>
      <c r="AB16" s="58"/>
      <c r="AC16" s="58"/>
      <c r="AD16" s="11"/>
      <c r="AF16" s="8"/>
      <c r="AG16" s="58"/>
      <c r="AH16" s="8"/>
    </row>
    <row r="17" spans="2:34" s="146" customFormat="1" ht="16.5" thickTop="1" thickBot="1">
      <c r="B17" s="56"/>
      <c r="C17" s="153"/>
      <c r="F17" s="154"/>
      <c r="G17" s="143"/>
      <c r="H17" s="143"/>
      <c r="I17" s="143"/>
      <c r="J17" s="143"/>
      <c r="K17" s="143"/>
      <c r="L17" s="151"/>
      <c r="M17" s="145"/>
      <c r="N17" s="143"/>
      <c r="O17" s="143"/>
      <c r="P17" s="53"/>
      <c r="Q17" s="143"/>
      <c r="R17" s="143"/>
      <c r="S17" s="143"/>
      <c r="T17" s="143"/>
      <c r="U17" s="143"/>
      <c r="V17" s="143"/>
      <c r="W17" s="143"/>
      <c r="X17" s="143"/>
      <c r="Y17" s="8"/>
      <c r="AA17" s="58"/>
      <c r="AB17" s="58"/>
      <c r="AC17" s="58"/>
      <c r="AD17" s="11"/>
      <c r="AF17" s="8"/>
      <c r="AG17" s="58"/>
      <c r="AH17" s="8"/>
    </row>
    <row r="18" spans="2:34" ht="15.75" thickTop="1">
      <c r="B18" s="56"/>
      <c r="C18" s="115" t="s">
        <v>376</v>
      </c>
      <c r="D18" s="146" t="s">
        <v>374</v>
      </c>
      <c r="E18" s="146"/>
      <c r="F18" s="143"/>
      <c r="G18" s="143"/>
      <c r="H18" s="143"/>
      <c r="I18" s="143"/>
      <c r="J18" s="143"/>
      <c r="K18" s="143"/>
      <c r="L18" s="151">
        <f>SUM(F18:K18)</f>
        <v>0</v>
      </c>
      <c r="M18" s="130"/>
      <c r="N18" s="143"/>
      <c r="O18" s="143"/>
      <c r="P18" s="143"/>
      <c r="Q18" s="143"/>
      <c r="R18" s="143"/>
      <c r="S18" s="143"/>
      <c r="T18" s="143"/>
      <c r="U18" s="143"/>
      <c r="V18" s="143"/>
      <c r="W18" s="143"/>
      <c r="X18" s="143"/>
      <c r="Y18" s="8">
        <f>SUM(N18:X18)</f>
        <v>0</v>
      </c>
      <c r="Z18" s="146"/>
      <c r="AA18" s="58"/>
      <c r="AB18" s="58"/>
      <c r="AC18" s="58"/>
      <c r="AD18" s="11"/>
      <c r="AE18" s="53">
        <f>ClimAgri!AA4</f>
        <v>0</v>
      </c>
      <c r="AF18" s="8">
        <f>SUM(AA18:AE18)</f>
        <v>0</v>
      </c>
      <c r="AG18" s="11"/>
      <c r="AH18" s="8">
        <f>SUM(AF18:AG18)</f>
        <v>0</v>
      </c>
    </row>
    <row r="19" spans="2:34" s="146" customFormat="1" ht="15.75" thickBot="1">
      <c r="D19" s="146" t="s">
        <v>375</v>
      </c>
      <c r="F19" s="154"/>
      <c r="G19" s="143"/>
      <c r="H19" s="143"/>
      <c r="I19" s="143"/>
      <c r="J19" s="143"/>
      <c r="K19" s="143"/>
      <c r="L19" s="151"/>
      <c r="M19" s="145"/>
      <c r="N19" s="143"/>
      <c r="O19" s="143"/>
      <c r="P19" s="53"/>
      <c r="Q19" s="143"/>
      <c r="R19" s="143"/>
      <c r="S19" s="143"/>
      <c r="T19" s="143"/>
      <c r="U19" s="143"/>
      <c r="V19" s="143"/>
      <c r="W19" s="143"/>
      <c r="X19" s="143"/>
      <c r="Y19" s="8"/>
      <c r="AA19" s="58"/>
      <c r="AB19" s="58"/>
      <c r="AC19" s="58"/>
      <c r="AD19" s="11"/>
      <c r="AF19" s="8"/>
      <c r="AG19" s="58"/>
      <c r="AH19" s="8"/>
    </row>
    <row r="20" spans="2:34" ht="15.75" thickTop="1">
      <c r="B20" s="153"/>
      <c r="C20" s="146"/>
      <c r="D20" s="3" t="s">
        <v>29</v>
      </c>
      <c r="E20" s="146"/>
      <c r="F20" s="143"/>
      <c r="G20" s="143"/>
      <c r="H20" s="143"/>
      <c r="I20" s="143"/>
      <c r="J20" s="143"/>
      <c r="K20" s="143"/>
      <c r="L20" s="8">
        <f>SUM(F20:K20)</f>
        <v>0</v>
      </c>
      <c r="M20" s="146"/>
      <c r="N20" s="143"/>
      <c r="O20" s="143"/>
      <c r="P20" s="143"/>
      <c r="Q20" s="143"/>
      <c r="R20" s="143"/>
      <c r="S20" s="143"/>
      <c r="T20" s="143"/>
      <c r="U20" s="143"/>
      <c r="V20" s="143"/>
      <c r="W20" s="143"/>
      <c r="X20" s="143"/>
      <c r="Y20" s="8">
        <f>SUM(N20:X20)</f>
        <v>0</v>
      </c>
      <c r="Z20" s="146"/>
      <c r="AA20" s="146"/>
      <c r="AB20" s="146"/>
      <c r="AC20" s="146"/>
      <c r="AD20" s="11"/>
      <c r="AE20" s="146"/>
      <c r="AF20" s="8">
        <f>SUM(AA20:AE20)</f>
        <v>0</v>
      </c>
      <c r="AG20" s="146"/>
      <c r="AH20" s="8">
        <f>SUM(AF20:AG20)</f>
        <v>0</v>
      </c>
    </row>
    <row r="21" spans="2:34" ht="15.75" thickBot="1">
      <c r="B21" s="153"/>
      <c r="C21" s="153"/>
      <c r="D21" s="146" t="s">
        <v>136</v>
      </c>
      <c r="E21" s="146"/>
      <c r="F21" s="144"/>
      <c r="G21" s="144"/>
      <c r="H21" s="144"/>
      <c r="I21" s="144"/>
      <c r="J21" s="144"/>
      <c r="K21" s="144"/>
      <c r="L21" s="151">
        <f>SUM(F21:K21)</f>
        <v>0</v>
      </c>
      <c r="M21" s="130"/>
      <c r="N21" s="144"/>
      <c r="O21" s="144"/>
      <c r="P21" s="144"/>
      <c r="Q21" s="144"/>
      <c r="R21" s="144"/>
      <c r="S21" s="144"/>
      <c r="T21" s="144"/>
      <c r="U21" s="154">
        <f>-AH21</f>
        <v>-0.96680716214849471</v>
      </c>
      <c r="V21" s="144"/>
      <c r="W21" s="144"/>
      <c r="X21" s="144"/>
      <c r="Y21" s="8">
        <f>SUM(N21:X21)</f>
        <v>-0.96680716214849471</v>
      </c>
      <c r="Z21" s="146"/>
      <c r="AA21" s="53">
        <v>0.65</v>
      </c>
      <c r="AB21" s="146"/>
      <c r="AC21" s="146"/>
      <c r="AD21" s="53">
        <v>0.31680716214849469</v>
      </c>
      <c r="AE21" s="146"/>
      <c r="AF21" s="8">
        <f>SUM(AA21:AE21)</f>
        <v>0.96680716214849471</v>
      </c>
      <c r="AG21" s="11"/>
      <c r="AH21" s="8">
        <f>SUM(AF21:AG21)</f>
        <v>0.96680716214849471</v>
      </c>
    </row>
    <row r="22" spans="2:34" ht="15.75" thickTop="1">
      <c r="B22" s="56" t="s">
        <v>337</v>
      </c>
      <c r="C22" s="146"/>
      <c r="D22" s="146" t="s">
        <v>189</v>
      </c>
      <c r="E22" s="146"/>
      <c r="F22" s="57">
        <v>1.9114359415305246E-2</v>
      </c>
      <c r="G22" s="143">
        <v>32.393258037963797</v>
      </c>
      <c r="H22" s="57">
        <v>0</v>
      </c>
      <c r="I22" s="57">
        <v>-0.11199999999999999</v>
      </c>
      <c r="J22" s="143"/>
      <c r="K22" s="143"/>
      <c r="L22" s="151">
        <f>SUM(F22:K22)</f>
        <v>32.3003723973791</v>
      </c>
      <c r="M22" s="145"/>
      <c r="N22" s="143"/>
      <c r="O22" s="143"/>
      <c r="P22" s="53" t="str">
        <f>Electricité!H3</f>
        <v>Production BAU</v>
      </c>
      <c r="Q22" s="143"/>
      <c r="R22" s="143">
        <v>1.3186084604313582</v>
      </c>
      <c r="S22" s="143">
        <v>-2.0349670392662649</v>
      </c>
      <c r="T22" s="57">
        <v>0.7</v>
      </c>
      <c r="U22" s="143"/>
      <c r="V22" s="143"/>
      <c r="W22" s="57">
        <v>1.2420767288044043</v>
      </c>
      <c r="X22" s="57">
        <v>0.38984728173965927</v>
      </c>
      <c r="Y22" s="8">
        <f>SUM(N22:X22)</f>
        <v>1.6155654317091568</v>
      </c>
      <c r="Z22" s="146"/>
      <c r="AA22" s="57">
        <v>13.294152227004508</v>
      </c>
      <c r="AB22" s="57">
        <v>7.1727810663365315</v>
      </c>
      <c r="AC22" s="57">
        <v>3.8349408920734227</v>
      </c>
      <c r="AD22" s="53">
        <v>2.3132199204307398</v>
      </c>
      <c r="AE22" s="53">
        <f>ClimAgri!X4</f>
        <v>0</v>
      </c>
      <c r="AF22" s="8">
        <f>SUM(AA22:AE22)</f>
        <v>26.615094105845202</v>
      </c>
      <c r="AG22" s="57">
        <v>1.1443514378287201</v>
      </c>
      <c r="AH22" s="8">
        <f>SUM(AF22:AG22)</f>
        <v>27.759445543673923</v>
      </c>
    </row>
    <row r="23" spans="2:34" s="146" customFormat="1" ht="15.75" thickBot="1">
      <c r="B23" s="56"/>
      <c r="F23" s="154"/>
      <c r="G23" s="143"/>
      <c r="H23" s="143"/>
      <c r="I23" s="143"/>
      <c r="J23" s="143"/>
      <c r="K23" s="143"/>
      <c r="L23" s="151"/>
      <c r="M23" s="145"/>
      <c r="N23" s="143"/>
      <c r="O23" s="143"/>
      <c r="P23" s="53"/>
      <c r="Q23" s="143"/>
      <c r="R23" s="143"/>
      <c r="S23" s="143"/>
      <c r="T23" s="143"/>
      <c r="U23" s="143"/>
      <c r="V23" s="143"/>
      <c r="W23" s="143"/>
      <c r="X23" s="143"/>
      <c r="Y23" s="8"/>
      <c r="AA23" s="58"/>
      <c r="AB23" s="58"/>
      <c r="AC23" s="58"/>
      <c r="AD23" s="11"/>
      <c r="AF23" s="8"/>
      <c r="AG23" s="58"/>
      <c r="AH23" s="8"/>
    </row>
    <row r="24" spans="2:34" ht="16.5" thickTop="1" thickBot="1">
      <c r="B24" s="56"/>
      <c r="C24" s="153"/>
      <c r="D24" s="146" t="s">
        <v>21</v>
      </c>
      <c r="E24" s="146"/>
      <c r="F24" s="143"/>
      <c r="G24" s="143"/>
      <c r="H24" s="143"/>
      <c r="I24" s="143"/>
      <c r="J24" s="143"/>
      <c r="K24" s="143"/>
      <c r="L24" s="151">
        <f>SUM(F24:K24)</f>
        <v>0</v>
      </c>
      <c r="M24" s="145"/>
      <c r="N24" s="143"/>
      <c r="O24" s="143"/>
      <c r="P24" s="143"/>
      <c r="Q24" s="143"/>
      <c r="R24" s="156">
        <f>-(AH24+X24)</f>
        <v>-3.340541640291228</v>
      </c>
      <c r="S24" s="143"/>
      <c r="T24" s="143"/>
      <c r="U24" s="143"/>
      <c r="V24" s="143"/>
      <c r="W24" s="143"/>
      <c r="X24" s="57">
        <v>0.69782200943712147</v>
      </c>
      <c r="Y24" s="8">
        <f>SUM(N24:X24)</f>
        <v>-2.6427196308541063</v>
      </c>
      <c r="Z24" s="146"/>
      <c r="AA24" s="57">
        <v>1.2964057938396278</v>
      </c>
      <c r="AB24" s="57">
        <v>1.0365621137769325</v>
      </c>
      <c r="AC24" s="57">
        <v>0.30975172323754574</v>
      </c>
      <c r="AD24" s="11"/>
      <c r="AE24" s="11"/>
      <c r="AF24" s="8">
        <f>SUM(AA24:AE24)</f>
        <v>2.6427196308541063</v>
      </c>
      <c r="AG24" s="11"/>
      <c r="AH24" s="8">
        <f>SUM(AF24:AG24)</f>
        <v>2.6427196308541063</v>
      </c>
    </row>
    <row r="25" spans="2:34" s="146" customFormat="1" ht="16.5" thickTop="1" thickBot="1">
      <c r="B25" s="56"/>
      <c r="C25" s="153"/>
      <c r="D25" s="146" t="s">
        <v>377</v>
      </c>
      <c r="F25" s="143"/>
      <c r="G25" s="143"/>
      <c r="H25" s="143"/>
      <c r="I25" s="143"/>
      <c r="J25" s="143"/>
      <c r="K25" s="143"/>
      <c r="L25" s="151"/>
      <c r="M25" s="145"/>
      <c r="N25" s="143"/>
      <c r="O25" s="143"/>
      <c r="P25" s="143"/>
      <c r="Q25" s="143"/>
      <c r="R25" s="156"/>
      <c r="S25" s="143"/>
      <c r="T25" s="143"/>
      <c r="U25" s="143"/>
      <c r="V25" s="143"/>
      <c r="W25" s="143"/>
      <c r="X25" s="57"/>
      <c r="Y25" s="8"/>
      <c r="AA25" s="57"/>
      <c r="AB25" s="57"/>
      <c r="AC25" s="57"/>
      <c r="AD25" s="11"/>
      <c r="AE25" s="11"/>
      <c r="AF25" s="8"/>
      <c r="AG25" s="11"/>
      <c r="AH25" s="8"/>
    </row>
    <row r="26" spans="2:34" s="146" customFormat="1" ht="16.5" thickTop="1" thickBot="1">
      <c r="B26" s="56"/>
      <c r="C26" s="153"/>
      <c r="D26" s="146" t="s">
        <v>372</v>
      </c>
      <c r="F26" s="143"/>
      <c r="G26" s="143"/>
      <c r="H26" s="143"/>
      <c r="I26" s="143"/>
      <c r="J26" s="143"/>
      <c r="K26" s="143"/>
      <c r="L26" s="151"/>
      <c r="M26" s="145"/>
      <c r="N26" s="143"/>
      <c r="O26" s="143"/>
      <c r="P26" s="143"/>
      <c r="Q26" s="143"/>
      <c r="R26" s="156"/>
      <c r="S26" s="143"/>
      <c r="T26" s="143"/>
      <c r="U26" s="143"/>
      <c r="V26" s="143"/>
      <c r="W26" s="143"/>
      <c r="X26" s="57"/>
      <c r="Y26" s="8"/>
      <c r="AA26" s="57"/>
      <c r="AB26" s="57"/>
      <c r="AC26" s="57"/>
      <c r="AD26" s="11"/>
      <c r="AE26" s="11"/>
      <c r="AF26" s="8"/>
      <c r="AG26" s="11"/>
      <c r="AH26" s="8"/>
    </row>
    <row r="27" spans="2:34" s="146" customFormat="1" ht="16.5" thickTop="1" thickBot="1">
      <c r="B27" s="56"/>
      <c r="C27" s="153"/>
      <c r="D27" s="146" t="s">
        <v>378</v>
      </c>
      <c r="F27" s="143"/>
      <c r="G27" s="143"/>
      <c r="H27" s="143"/>
      <c r="I27" s="143"/>
      <c r="J27" s="143"/>
      <c r="K27" s="143"/>
      <c r="L27" s="151"/>
      <c r="M27" s="145"/>
      <c r="N27" s="143"/>
      <c r="O27" s="143"/>
      <c r="P27" s="143"/>
      <c r="Q27" s="143"/>
      <c r="R27" s="156"/>
      <c r="S27" s="143"/>
      <c r="T27" s="143"/>
      <c r="U27" s="143"/>
      <c r="V27" s="143"/>
      <c r="W27" s="143"/>
      <c r="X27" s="57"/>
      <c r="Y27" s="8"/>
      <c r="AA27" s="57"/>
      <c r="AB27" s="57"/>
      <c r="AC27" s="57"/>
      <c r="AD27" s="11"/>
      <c r="AE27" s="11"/>
      <c r="AF27" s="8"/>
      <c r="AG27" s="11"/>
      <c r="AH27" s="8"/>
    </row>
    <row r="28" spans="2:34" s="146" customFormat="1" ht="16.5" thickTop="1" thickBot="1">
      <c r="B28" s="56"/>
      <c r="C28" s="153"/>
      <c r="D28" s="146" t="s">
        <v>379</v>
      </c>
      <c r="F28" s="143"/>
      <c r="G28" s="143"/>
      <c r="H28" s="143"/>
      <c r="I28" s="143"/>
      <c r="J28" s="143"/>
      <c r="K28" s="143"/>
      <c r="L28" s="151"/>
      <c r="M28" s="145"/>
      <c r="N28" s="143"/>
      <c r="O28" s="143"/>
      <c r="P28" s="143"/>
      <c r="Q28" s="143"/>
      <c r="R28" s="156"/>
      <c r="S28" s="143"/>
      <c r="T28" s="143"/>
      <c r="U28" s="143"/>
      <c r="V28" s="143"/>
      <c r="W28" s="143"/>
      <c r="X28" s="57"/>
      <c r="Y28" s="8"/>
      <c r="AA28" s="57"/>
      <c r="AB28" s="57"/>
      <c r="AC28" s="57"/>
      <c r="AD28" s="11"/>
      <c r="AE28" s="11"/>
      <c r="AF28" s="8"/>
      <c r="AG28" s="11"/>
      <c r="AH28" s="8"/>
    </row>
    <row r="29" spans="2:34" s="146" customFormat="1" ht="16.5" thickTop="1" thickBot="1">
      <c r="B29" s="56"/>
      <c r="C29" s="153"/>
      <c r="D29" s="146" t="s">
        <v>380</v>
      </c>
      <c r="F29" s="143"/>
      <c r="G29" s="143"/>
      <c r="H29" s="143"/>
      <c r="I29" s="143"/>
      <c r="J29" s="143"/>
      <c r="K29" s="143"/>
      <c r="L29" s="151"/>
      <c r="M29" s="145"/>
      <c r="N29" s="143"/>
      <c r="O29" s="143"/>
      <c r="P29" s="143"/>
      <c r="Q29" s="143"/>
      <c r="R29" s="156"/>
      <c r="S29" s="143"/>
      <c r="T29" s="143"/>
      <c r="U29" s="143"/>
      <c r="V29" s="143"/>
      <c r="W29" s="143"/>
      <c r="X29" s="57"/>
      <c r="Y29" s="8"/>
      <c r="AA29" s="57"/>
      <c r="AB29" s="57"/>
      <c r="AC29" s="57"/>
      <c r="AD29" s="11"/>
      <c r="AE29" s="11"/>
      <c r="AF29" s="8"/>
      <c r="AG29" s="11"/>
      <c r="AH29" s="8"/>
    </row>
    <row r="30" spans="2:34" ht="15.75" thickTop="1">
      <c r="B30" s="56"/>
      <c r="C30" s="146"/>
      <c r="D30" s="3" t="s">
        <v>373</v>
      </c>
      <c r="E30" s="146"/>
      <c r="F30" s="143"/>
      <c r="G30" s="143"/>
      <c r="H30" s="143"/>
      <c r="I30" s="143"/>
      <c r="J30" s="143"/>
      <c r="K30" s="143"/>
      <c r="L30" s="8">
        <f>SUM(F30:K30)</f>
        <v>0</v>
      </c>
      <c r="M30" s="146"/>
      <c r="N30" s="143"/>
      <c r="O30" s="143"/>
      <c r="P30" s="143"/>
      <c r="Q30" s="143"/>
      <c r="R30" s="143"/>
      <c r="S30" s="143"/>
      <c r="T30" s="143"/>
      <c r="U30" s="143"/>
      <c r="V30" s="143"/>
      <c r="W30" s="143"/>
      <c r="X30" s="143"/>
      <c r="Y30" s="8">
        <f>SUM(N30:X30)</f>
        <v>0</v>
      </c>
      <c r="Z30" s="146"/>
      <c r="AA30" s="58"/>
      <c r="AB30" s="58"/>
      <c r="AC30" s="58"/>
      <c r="AD30" s="11"/>
      <c r="AE30" s="11"/>
      <c r="AF30" s="8">
        <f>SUM(AA30:AE30)</f>
        <v>0</v>
      </c>
      <c r="AG30" s="11"/>
      <c r="AH30" s="8">
        <f>SUM(AF30:AG30)</f>
        <v>0</v>
      </c>
    </row>
    <row r="31" spans="2:34">
      <c r="B31" s="56"/>
      <c r="C31" s="146"/>
      <c r="D31" s="146" t="s">
        <v>381</v>
      </c>
      <c r="E31" s="146"/>
      <c r="F31" s="143"/>
      <c r="G31" s="143"/>
      <c r="H31" s="143"/>
      <c r="I31" s="143"/>
      <c r="J31" s="143"/>
      <c r="K31" s="143"/>
      <c r="L31" s="8">
        <f>SUM(F31:K31)</f>
        <v>0</v>
      </c>
      <c r="M31" s="146"/>
      <c r="N31" s="143"/>
      <c r="O31" s="143"/>
      <c r="P31" s="143"/>
      <c r="Q31" s="143"/>
      <c r="R31" s="143"/>
      <c r="S31" s="143"/>
      <c r="T31" s="143"/>
      <c r="U31" s="143"/>
      <c r="V31" s="143"/>
      <c r="W31" s="143"/>
      <c r="X31" s="143"/>
      <c r="Y31" s="8">
        <f>SUM(N31:X31)</f>
        <v>0</v>
      </c>
      <c r="Z31" s="146"/>
      <c r="AA31" s="58"/>
      <c r="AB31" s="58"/>
      <c r="AC31" s="58"/>
      <c r="AD31" s="11"/>
      <c r="AE31" s="11"/>
      <c r="AF31" s="8">
        <f>SUM(AA31:AE31)</f>
        <v>0</v>
      </c>
      <c r="AG31" s="11"/>
      <c r="AH31" s="8">
        <f>SUM(AF31:AG31)</f>
        <v>0</v>
      </c>
    </row>
    <row r="32" spans="2:34">
      <c r="B32" s="56"/>
      <c r="C32" s="146"/>
      <c r="D32" s="3" t="s">
        <v>382</v>
      </c>
      <c r="E32" s="146"/>
      <c r="F32" s="143"/>
      <c r="G32" s="143"/>
      <c r="H32" s="143"/>
      <c r="I32" s="143"/>
      <c r="J32" s="143"/>
      <c r="K32" s="143"/>
      <c r="L32" s="8">
        <f>SUM(F32:K32)</f>
        <v>0</v>
      </c>
      <c r="M32" s="146"/>
      <c r="N32" s="143"/>
      <c r="O32" s="143"/>
      <c r="P32" s="143"/>
      <c r="Q32" s="143"/>
      <c r="R32" s="143"/>
      <c r="S32" s="143"/>
      <c r="T32" s="143"/>
      <c r="U32" s="143"/>
      <c r="V32" s="143"/>
      <c r="W32" s="143"/>
      <c r="X32" s="143"/>
      <c r="Y32" s="8">
        <f>SUM(N32:X32)</f>
        <v>0</v>
      </c>
      <c r="Z32" s="146"/>
      <c r="AA32" s="58"/>
      <c r="AB32" s="58"/>
      <c r="AC32" s="58"/>
      <c r="AD32" s="11"/>
      <c r="AE32" s="11"/>
      <c r="AF32" s="8">
        <f>SUM(AA32:AE32)</f>
        <v>0</v>
      </c>
      <c r="AG32" s="11"/>
      <c r="AH32" s="8">
        <f>SUM(AF32:AG32)</f>
        <v>0</v>
      </c>
    </row>
    <row r="33" spans="2:34" s="146" customFormat="1">
      <c r="B33" s="56"/>
      <c r="D33" s="3" t="s">
        <v>383</v>
      </c>
      <c r="F33" s="143"/>
      <c r="G33" s="143"/>
      <c r="H33" s="143"/>
      <c r="I33" s="143"/>
      <c r="J33" s="143"/>
      <c r="K33" s="143"/>
      <c r="L33" s="8"/>
      <c r="N33" s="143"/>
      <c r="O33" s="143"/>
      <c r="P33" s="143"/>
      <c r="Q33" s="143"/>
      <c r="R33" s="143"/>
      <c r="S33" s="143"/>
      <c r="T33" s="143"/>
      <c r="U33" s="143"/>
      <c r="V33" s="143"/>
      <c r="W33" s="143"/>
      <c r="X33" s="143"/>
      <c r="Y33" s="8"/>
      <c r="AA33" s="58"/>
      <c r="AB33" s="58"/>
      <c r="AC33" s="58"/>
      <c r="AD33" s="11"/>
      <c r="AE33" s="11"/>
      <c r="AF33" s="8"/>
      <c r="AG33" s="11"/>
      <c r="AH33" s="8"/>
    </row>
    <row r="34" spans="2:34" s="146" customFormat="1">
      <c r="B34" s="56"/>
      <c r="D34" s="3" t="s">
        <v>384</v>
      </c>
      <c r="F34" s="143"/>
      <c r="G34" s="143"/>
      <c r="H34" s="143"/>
      <c r="I34" s="143"/>
      <c r="J34" s="143"/>
      <c r="K34" s="143"/>
      <c r="L34" s="8"/>
      <c r="N34" s="143"/>
      <c r="O34" s="143"/>
      <c r="P34" s="143"/>
      <c r="Q34" s="143"/>
      <c r="R34" s="143"/>
      <c r="S34" s="143"/>
      <c r="T34" s="143"/>
      <c r="U34" s="143"/>
      <c r="V34" s="143"/>
      <c r="W34" s="143"/>
      <c r="X34" s="143"/>
      <c r="Y34" s="8"/>
      <c r="AA34" s="58"/>
      <c r="AB34" s="58"/>
      <c r="AC34" s="58"/>
      <c r="AD34" s="11"/>
      <c r="AE34" s="11"/>
      <c r="AF34" s="8"/>
      <c r="AG34" s="11"/>
      <c r="AH34" s="8"/>
    </row>
    <row r="35" spans="2:34" s="146" customFormat="1" ht="15.75" thickBot="1">
      <c r="B35" s="56"/>
      <c r="C35" s="153"/>
      <c r="F35" s="154"/>
      <c r="G35" s="143"/>
      <c r="H35" s="143"/>
      <c r="I35" s="143"/>
      <c r="J35" s="143"/>
      <c r="K35" s="143"/>
      <c r="L35" s="151"/>
      <c r="M35" s="145"/>
      <c r="N35" s="143"/>
      <c r="O35" s="143"/>
      <c r="P35" s="53"/>
      <c r="Q35" s="143"/>
      <c r="R35" s="143"/>
      <c r="S35" s="143"/>
      <c r="T35" s="143"/>
      <c r="U35" s="143"/>
      <c r="V35" s="143"/>
      <c r="W35" s="143"/>
      <c r="X35" s="143"/>
      <c r="Y35" s="8"/>
      <c r="AA35" s="58"/>
      <c r="AB35" s="58"/>
      <c r="AC35" s="58"/>
      <c r="AD35" s="11"/>
      <c r="AF35" s="8"/>
      <c r="AG35" s="58"/>
      <c r="AH35" s="8"/>
    </row>
    <row r="36" spans="2:34" ht="15.75" thickTop="1">
      <c r="B36" s="56" t="s">
        <v>134</v>
      </c>
      <c r="C36" s="56"/>
      <c r="D36" s="146" t="s">
        <v>141</v>
      </c>
      <c r="E36" s="146"/>
      <c r="F36" s="57">
        <v>27.620451982059638</v>
      </c>
      <c r="G36" s="143">
        <v>2.2777797160012732</v>
      </c>
      <c r="H36" s="57">
        <v>0</v>
      </c>
      <c r="I36" s="57"/>
      <c r="J36" s="57">
        <v>0</v>
      </c>
      <c r="K36" s="143"/>
      <c r="L36" s="151">
        <f>SUM(F36:K36)</f>
        <v>29.898231698060911</v>
      </c>
      <c r="M36" s="145"/>
      <c r="N36" s="143"/>
      <c r="O36" s="143"/>
      <c r="P36" s="53">
        <f>Electricité!F2</f>
        <v>0</v>
      </c>
      <c r="Q36" s="143"/>
      <c r="R36" s="143">
        <v>2.2948126205679746</v>
      </c>
      <c r="S36" s="143">
        <v>2.5437087990828311</v>
      </c>
      <c r="T36" s="143"/>
      <c r="U36" s="143"/>
      <c r="V36" s="143"/>
      <c r="W36" s="143">
        <v>5.1017483519633131E-2</v>
      </c>
      <c r="X36" s="143"/>
      <c r="Y36" s="8">
        <f>SUM(N36:X36)</f>
        <v>4.8895389031704388</v>
      </c>
      <c r="Z36" s="146"/>
      <c r="AA36" s="57">
        <v>3.649171362644728</v>
      </c>
      <c r="AB36" s="57">
        <v>9.7264385420679833</v>
      </c>
      <c r="AC36" s="57">
        <v>2.1322980353174916</v>
      </c>
      <c r="AD36" s="11"/>
      <c r="AE36" s="53">
        <f>ClimAgri!Y4</f>
        <v>0</v>
      </c>
      <c r="AF36" s="8">
        <f>SUM(AA36:AE36)</f>
        <v>15.507907940030202</v>
      </c>
      <c r="AG36" s="11"/>
      <c r="AH36" s="8">
        <f>SUM(AF36:AG36)</f>
        <v>15.507907940030202</v>
      </c>
    </row>
    <row r="37" spans="2:34">
      <c r="D37" s="146" t="s">
        <v>25</v>
      </c>
    </row>
    <row r="38" spans="2:34">
      <c r="D38" s="146" t="s">
        <v>381</v>
      </c>
    </row>
    <row r="39" spans="2:34">
      <c r="D39" s="146" t="s">
        <v>385</v>
      </c>
    </row>
    <row r="40" spans="2:34">
      <c r="D40" s="146" t="s">
        <v>386</v>
      </c>
    </row>
    <row r="41" spans="2:34">
      <c r="B41" s="56"/>
      <c r="C41" s="56"/>
      <c r="D41" s="146" t="s">
        <v>387</v>
      </c>
      <c r="E41" s="146"/>
      <c r="F41" s="143"/>
      <c r="G41" s="143"/>
      <c r="H41" s="143"/>
      <c r="I41" s="143"/>
      <c r="J41" s="143"/>
      <c r="K41" s="143"/>
      <c r="L41" s="8">
        <f t="shared" ref="L41:L49" si="3">SUM(F41:K41)</f>
        <v>0</v>
      </c>
      <c r="M41" s="146"/>
      <c r="N41" s="143"/>
      <c r="O41" s="143"/>
      <c r="P41" s="143"/>
      <c r="Q41" s="143"/>
      <c r="R41" s="143"/>
      <c r="S41" s="143"/>
      <c r="T41" s="143"/>
      <c r="U41" s="143"/>
      <c r="V41" s="143"/>
      <c r="W41" s="143"/>
      <c r="X41" s="143"/>
      <c r="Y41" s="8">
        <f t="shared" ref="Y41:Y49" si="4">SUM(N41:X41)</f>
        <v>0</v>
      </c>
      <c r="Z41" s="146"/>
      <c r="AA41" s="58"/>
      <c r="AB41" s="58"/>
      <c r="AC41" s="58"/>
      <c r="AD41" s="53">
        <v>2.7591036273440639</v>
      </c>
      <c r="AE41" s="53">
        <f>ClimAgri!V4</f>
        <v>0</v>
      </c>
      <c r="AF41" s="8">
        <f t="shared" ref="AF41:AF49" si="5">SUM(AA41:AE41)</f>
        <v>2.7591036273440639</v>
      </c>
      <c r="AG41" s="11"/>
      <c r="AH41" s="8">
        <f t="shared" ref="AH41:AH49" si="6">SUM(AF41:AG41)</f>
        <v>2.7591036273440639</v>
      </c>
    </row>
    <row r="42" spans="2:34">
      <c r="B42" s="56"/>
      <c r="C42" s="612" t="s">
        <v>10</v>
      </c>
      <c r="D42" s="146" t="s">
        <v>13</v>
      </c>
      <c r="E42" s="146"/>
      <c r="F42" s="143"/>
      <c r="G42" s="143"/>
      <c r="H42" s="143"/>
      <c r="I42" s="143"/>
      <c r="J42" s="143"/>
      <c r="K42" s="143"/>
      <c r="L42" s="151">
        <f t="shared" si="3"/>
        <v>0</v>
      </c>
      <c r="M42" s="130"/>
      <c r="N42" s="143"/>
      <c r="O42" s="143"/>
      <c r="P42" s="143"/>
      <c r="Q42" s="143"/>
      <c r="R42" s="143"/>
      <c r="S42" s="143"/>
      <c r="T42" s="143"/>
      <c r="U42" s="143"/>
      <c r="V42" s="143"/>
      <c r="W42" s="143"/>
      <c r="X42" s="143"/>
      <c r="Y42" s="8">
        <f t="shared" si="4"/>
        <v>0</v>
      </c>
      <c r="Z42" s="146"/>
      <c r="AA42" s="58"/>
      <c r="AB42" s="58"/>
      <c r="AC42" s="58"/>
      <c r="AD42" s="53">
        <v>4.8225290463753892</v>
      </c>
      <c r="AE42" s="11"/>
      <c r="AF42" s="8">
        <f t="shared" si="5"/>
        <v>4.8225290463753892</v>
      </c>
      <c r="AG42" s="58"/>
      <c r="AH42" s="8">
        <f t="shared" si="6"/>
        <v>4.8225290463753892</v>
      </c>
    </row>
    <row r="43" spans="2:34">
      <c r="B43" s="56"/>
      <c r="C43" s="613"/>
      <c r="D43" s="146" t="s">
        <v>14</v>
      </c>
      <c r="E43" s="146"/>
      <c r="F43" s="143"/>
      <c r="G43" s="143"/>
      <c r="H43" s="143"/>
      <c r="I43" s="143"/>
      <c r="J43" s="143"/>
      <c r="K43" s="143"/>
      <c r="L43" s="151">
        <f t="shared" si="3"/>
        <v>0</v>
      </c>
      <c r="M43" s="130"/>
      <c r="N43" s="143"/>
      <c r="O43" s="143"/>
      <c r="P43" s="143"/>
      <c r="Q43" s="143"/>
      <c r="R43" s="143"/>
      <c r="S43" s="143"/>
      <c r="T43" s="143"/>
      <c r="U43" s="143"/>
      <c r="V43" s="143"/>
      <c r="W43" s="143"/>
      <c r="X43" s="143"/>
      <c r="Y43" s="8">
        <f t="shared" si="4"/>
        <v>0</v>
      </c>
      <c r="Z43" s="146"/>
      <c r="AA43" s="58"/>
      <c r="AB43" s="58"/>
      <c r="AC43" s="58"/>
      <c r="AD43" s="53">
        <v>31.216402409961187</v>
      </c>
      <c r="AE43" s="11"/>
      <c r="AF43" s="8">
        <f t="shared" si="5"/>
        <v>31.216402409961187</v>
      </c>
      <c r="AG43" s="58"/>
      <c r="AH43" s="8">
        <f t="shared" si="6"/>
        <v>31.216402409961187</v>
      </c>
    </row>
    <row r="44" spans="2:34">
      <c r="B44" s="56"/>
      <c r="C44" s="613"/>
      <c r="D44" s="3" t="s">
        <v>15</v>
      </c>
      <c r="E44" s="146"/>
      <c r="F44" s="57">
        <v>0</v>
      </c>
      <c r="G44" s="143">
        <v>29.927936760066281</v>
      </c>
      <c r="H44" s="57">
        <v>0</v>
      </c>
      <c r="I44" s="57">
        <v>-1.288</v>
      </c>
      <c r="J44" s="57">
        <v>-7.9189579437951316</v>
      </c>
      <c r="K44" s="143"/>
      <c r="L44" s="151">
        <f t="shared" si="3"/>
        <v>20.720978816271149</v>
      </c>
      <c r="M44" s="145"/>
      <c r="N44" s="143"/>
      <c r="O44" s="143"/>
      <c r="P44" s="53">
        <v>0</v>
      </c>
      <c r="Q44" s="143"/>
      <c r="R44" s="57">
        <v>1.3517604095402416E-2</v>
      </c>
      <c r="S44" s="143"/>
      <c r="T44" s="143">
        <v>-41.8</v>
      </c>
      <c r="U44" s="143"/>
      <c r="V44" s="143"/>
      <c r="W44" s="57">
        <v>1.7969999999999999</v>
      </c>
      <c r="X44" s="143"/>
      <c r="Y44" s="8">
        <f t="shared" si="4"/>
        <v>-39.989482395904595</v>
      </c>
      <c r="Z44" s="146"/>
      <c r="AA44" s="57">
        <v>1.0730875511752636</v>
      </c>
      <c r="AB44" s="57">
        <v>2.0170821352624189</v>
      </c>
      <c r="AC44" s="57">
        <v>0.12488246649884401</v>
      </c>
      <c r="AD44" s="11"/>
      <c r="AE44" s="53">
        <f>ClimAgri!U4</f>
        <v>0</v>
      </c>
      <c r="AF44" s="8">
        <f t="shared" si="5"/>
        <v>3.2150521529365261</v>
      </c>
      <c r="AG44" s="57">
        <v>16.615604489738832</v>
      </c>
      <c r="AH44" s="8">
        <f t="shared" si="6"/>
        <v>19.830656642675358</v>
      </c>
    </row>
    <row r="45" spans="2:34">
      <c r="B45" s="56"/>
      <c r="C45" s="613"/>
      <c r="D45" s="146" t="s">
        <v>16</v>
      </c>
      <c r="E45" s="146"/>
      <c r="F45" s="143"/>
      <c r="G45" s="143"/>
      <c r="H45" s="143"/>
      <c r="I45" s="143"/>
      <c r="J45" s="143"/>
      <c r="K45" s="143"/>
      <c r="L45" s="151">
        <f t="shared" si="3"/>
        <v>0</v>
      </c>
      <c r="M45" s="130"/>
      <c r="N45" s="143"/>
      <c r="O45" s="143"/>
      <c r="P45" s="143"/>
      <c r="Q45" s="143"/>
      <c r="R45" s="143"/>
      <c r="S45" s="143"/>
      <c r="T45" s="143"/>
      <c r="U45" s="143"/>
      <c r="V45" s="143"/>
      <c r="W45" s="143"/>
      <c r="X45" s="143"/>
      <c r="Y45" s="8">
        <f t="shared" si="4"/>
        <v>0</v>
      </c>
      <c r="Z45" s="146"/>
      <c r="AA45" s="58"/>
      <c r="AB45" s="58"/>
      <c r="AC45" s="58"/>
      <c r="AD45" s="53">
        <v>1.3423488391377181</v>
      </c>
      <c r="AE45" s="13"/>
      <c r="AF45" s="8">
        <f t="shared" si="5"/>
        <v>1.3423488391377181</v>
      </c>
      <c r="AG45" s="58"/>
      <c r="AH45" s="8">
        <f t="shared" si="6"/>
        <v>1.3423488391377181</v>
      </c>
    </row>
    <row r="46" spans="2:34">
      <c r="B46" s="56"/>
      <c r="C46" s="613"/>
      <c r="D46" s="146" t="s">
        <v>17</v>
      </c>
      <c r="E46" s="146"/>
      <c r="F46" s="143"/>
      <c r="G46" s="143"/>
      <c r="H46" s="143"/>
      <c r="I46" s="143"/>
      <c r="J46" s="143"/>
      <c r="K46" s="143"/>
      <c r="L46" s="151">
        <f t="shared" si="3"/>
        <v>0</v>
      </c>
      <c r="M46" s="130"/>
      <c r="N46" s="143"/>
      <c r="O46" s="143"/>
      <c r="P46" s="143"/>
      <c r="Q46" s="143"/>
      <c r="R46" s="143"/>
      <c r="S46" s="143"/>
      <c r="T46" s="143"/>
      <c r="U46" s="143"/>
      <c r="V46" s="143"/>
      <c r="W46" s="143"/>
      <c r="X46" s="143"/>
      <c r="Y46" s="8">
        <f t="shared" si="4"/>
        <v>0</v>
      </c>
      <c r="Z46" s="146"/>
      <c r="AA46" s="58"/>
      <c r="AB46" s="58"/>
      <c r="AC46" s="58"/>
      <c r="AD46" s="11"/>
      <c r="AE46" s="146"/>
      <c r="AF46" s="8">
        <f t="shared" si="5"/>
        <v>0</v>
      </c>
      <c r="AG46" s="58"/>
      <c r="AH46" s="8">
        <f t="shared" si="6"/>
        <v>0</v>
      </c>
    </row>
    <row r="47" spans="2:34">
      <c r="B47" s="56"/>
      <c r="C47" s="153"/>
      <c r="D47" s="3" t="s">
        <v>12</v>
      </c>
      <c r="E47" s="146"/>
      <c r="F47" s="143"/>
      <c r="G47" s="143"/>
      <c r="H47" s="143"/>
      <c r="I47" s="143"/>
      <c r="J47" s="143"/>
      <c r="K47" s="143"/>
      <c r="L47" s="151">
        <f t="shared" si="3"/>
        <v>0</v>
      </c>
      <c r="M47" s="130"/>
      <c r="N47" s="143"/>
      <c r="O47" s="143"/>
      <c r="P47" s="143"/>
      <c r="Q47" s="143"/>
      <c r="R47" s="143"/>
      <c r="S47" s="143"/>
      <c r="T47" s="143"/>
      <c r="U47" s="143"/>
      <c r="V47" s="143"/>
      <c r="W47" s="143"/>
      <c r="X47" s="143"/>
      <c r="Y47" s="8">
        <f t="shared" si="4"/>
        <v>0</v>
      </c>
      <c r="Z47" s="146"/>
      <c r="AA47" s="11"/>
      <c r="AB47" s="11"/>
      <c r="AC47" s="11"/>
      <c r="AD47" s="11"/>
      <c r="AE47" s="11"/>
      <c r="AF47" s="8">
        <f t="shared" si="5"/>
        <v>0</v>
      </c>
      <c r="AG47" s="11"/>
      <c r="AH47" s="8">
        <f t="shared" si="6"/>
        <v>0</v>
      </c>
    </row>
    <row r="48" spans="2:34">
      <c r="B48" s="56"/>
      <c r="C48" s="153"/>
      <c r="D48" s="146" t="s">
        <v>26</v>
      </c>
      <c r="E48" s="146"/>
      <c r="F48" s="143"/>
      <c r="G48" s="143"/>
      <c r="H48" s="143"/>
      <c r="I48" s="143"/>
      <c r="J48" s="143"/>
      <c r="K48" s="143"/>
      <c r="L48" s="8">
        <f t="shared" si="3"/>
        <v>0</v>
      </c>
      <c r="M48" s="146"/>
      <c r="N48" s="143"/>
      <c r="O48" s="143"/>
      <c r="P48" s="143"/>
      <c r="Q48" s="143"/>
      <c r="R48" s="143"/>
      <c r="S48" s="143"/>
      <c r="T48" s="143"/>
      <c r="U48" s="143"/>
      <c r="V48" s="143"/>
      <c r="W48" s="143"/>
      <c r="X48" s="143"/>
      <c r="Y48" s="8">
        <f t="shared" si="4"/>
        <v>0</v>
      </c>
      <c r="Z48" s="146"/>
      <c r="AA48" s="58"/>
      <c r="AB48" s="58"/>
      <c r="AC48" s="58"/>
      <c r="AD48" s="11"/>
      <c r="AE48" s="11"/>
      <c r="AF48" s="8">
        <f t="shared" si="5"/>
        <v>0</v>
      </c>
      <c r="AG48" s="11"/>
      <c r="AH48" s="8">
        <f t="shared" si="6"/>
        <v>0</v>
      </c>
    </row>
    <row r="49" spans="2:34" ht="15.75" thickBot="1">
      <c r="B49" s="55"/>
      <c r="C49" s="152"/>
      <c r="D49" s="146" t="s">
        <v>11</v>
      </c>
      <c r="E49" s="146"/>
      <c r="F49" s="57">
        <v>0</v>
      </c>
      <c r="G49" s="154">
        <f>Y49+AH49</f>
        <v>593.7334897701877</v>
      </c>
      <c r="H49" s="57">
        <v>0</v>
      </c>
      <c r="I49" s="143"/>
      <c r="J49" s="143"/>
      <c r="K49" s="143"/>
      <c r="L49" s="151">
        <f t="shared" si="3"/>
        <v>593.7334897701877</v>
      </c>
      <c r="M49" s="145"/>
      <c r="N49" s="143"/>
      <c r="O49" s="143"/>
      <c r="P49" s="53">
        <f>Electricité!I3</f>
        <v>590.38460514642998</v>
      </c>
      <c r="Q49" s="143"/>
      <c r="R49" s="57">
        <v>1.453869993578329E-2</v>
      </c>
      <c r="S49" s="143"/>
      <c r="T49" s="143"/>
      <c r="U49" s="143"/>
      <c r="V49" s="57">
        <v>2.2968471180514451</v>
      </c>
      <c r="W49" s="57">
        <v>1.0374988057705168</v>
      </c>
      <c r="X49" s="143"/>
      <c r="Y49" s="8">
        <f t="shared" si="4"/>
        <v>593.7334897701877</v>
      </c>
      <c r="Z49" s="146"/>
      <c r="AA49" s="11"/>
      <c r="AB49" s="11"/>
      <c r="AC49" s="11"/>
      <c r="AD49" s="11"/>
      <c r="AE49" s="53">
        <f>ClimAgri!Z4</f>
        <v>0</v>
      </c>
      <c r="AF49" s="8">
        <f t="shared" si="5"/>
        <v>0</v>
      </c>
      <c r="AG49" s="11"/>
      <c r="AH49" s="8">
        <f t="shared" si="6"/>
        <v>0</v>
      </c>
    </row>
    <row r="50" spans="2:34" ht="15.75" thickTop="1"/>
  </sheetData>
  <mergeCells count="1">
    <mergeCell ref="C42:C46"/>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workbookViewId="0">
      <selection activeCell="J41" sqref="J41"/>
    </sheetView>
  </sheetViews>
  <sheetFormatPr baseColWidth="10" defaultRowHeight="15"/>
  <cols>
    <col min="1" max="1" width="34.7109375" customWidth="1"/>
  </cols>
  <sheetData>
    <row r="1" spans="1:8">
      <c r="A1" s="331" t="s">
        <v>213</v>
      </c>
      <c r="B1" s="146"/>
      <c r="C1" s="146"/>
      <c r="D1" s="146"/>
      <c r="E1" s="146"/>
      <c r="F1" s="146"/>
      <c r="G1" s="146"/>
      <c r="H1" s="146"/>
    </row>
    <row r="2" spans="1:8">
      <c r="A2" s="146"/>
      <c r="B2" s="146">
        <v>2015</v>
      </c>
      <c r="C2" s="146" t="s">
        <v>655</v>
      </c>
      <c r="D2" s="322" t="s">
        <v>656</v>
      </c>
      <c r="E2" s="322" t="s">
        <v>657</v>
      </c>
      <c r="F2" s="322" t="s">
        <v>658</v>
      </c>
      <c r="G2" s="322" t="s">
        <v>659</v>
      </c>
      <c r="H2" s="322" t="s">
        <v>660</v>
      </c>
    </row>
    <row r="3" spans="1:8">
      <c r="A3" s="123" t="s">
        <v>20</v>
      </c>
      <c r="B3" s="146">
        <v>511</v>
      </c>
      <c r="C3" s="146"/>
      <c r="D3" s="207"/>
      <c r="E3" s="123">
        <v>511</v>
      </c>
      <c r="F3" s="123">
        <v>100</v>
      </c>
      <c r="G3" s="123">
        <v>700</v>
      </c>
      <c r="H3" s="123">
        <v>800</v>
      </c>
    </row>
    <row r="4" spans="1:8">
      <c r="A4" s="324" t="s">
        <v>670</v>
      </c>
      <c r="B4" s="146"/>
      <c r="C4" s="146"/>
      <c r="D4" s="123"/>
      <c r="E4" s="123"/>
      <c r="F4" s="123"/>
      <c r="G4" s="123"/>
      <c r="H4" s="123"/>
    </row>
    <row r="5" spans="1:8">
      <c r="A5" s="324" t="s">
        <v>671</v>
      </c>
      <c r="B5" s="146"/>
      <c r="C5" s="146"/>
      <c r="D5" s="123"/>
      <c r="E5" s="123"/>
      <c r="F5" s="123"/>
      <c r="G5" s="123"/>
      <c r="H5" s="123"/>
    </row>
    <row r="6" spans="1:8">
      <c r="A6" s="123" t="s">
        <v>672</v>
      </c>
      <c r="B6" s="146">
        <v>98</v>
      </c>
      <c r="C6" s="146"/>
      <c r="D6" s="123"/>
      <c r="E6" s="123">
        <v>70</v>
      </c>
      <c r="F6" s="123">
        <v>130</v>
      </c>
      <c r="G6" s="123">
        <v>150</v>
      </c>
      <c r="H6" s="123">
        <v>200</v>
      </c>
    </row>
    <row r="7" spans="1:8">
      <c r="A7" s="324" t="s">
        <v>670</v>
      </c>
      <c r="B7" s="146"/>
      <c r="C7" s="146"/>
      <c r="D7" s="123"/>
      <c r="E7" s="123"/>
      <c r="F7" s="123"/>
      <c r="G7" s="123"/>
      <c r="H7" s="123"/>
    </row>
    <row r="8" spans="1:8">
      <c r="A8" s="324" t="s">
        <v>671</v>
      </c>
      <c r="B8" s="146"/>
      <c r="C8" s="146"/>
      <c r="D8" s="123"/>
      <c r="E8" s="123"/>
      <c r="F8" s="123"/>
      <c r="G8" s="123"/>
      <c r="H8" s="123"/>
    </row>
    <row r="9" spans="1:8">
      <c r="A9" s="123" t="s">
        <v>673</v>
      </c>
      <c r="B9" s="146">
        <v>547</v>
      </c>
      <c r="C9" s="146"/>
      <c r="D9" s="123"/>
      <c r="E9" s="123">
        <v>400</v>
      </c>
      <c r="F9" s="123">
        <v>500</v>
      </c>
      <c r="G9" s="123">
        <v>700</v>
      </c>
      <c r="H9" s="123">
        <v>700</v>
      </c>
    </row>
    <row r="10" spans="1:8">
      <c r="A10" s="324" t="s">
        <v>670</v>
      </c>
      <c r="B10" s="146"/>
      <c r="C10" s="146"/>
      <c r="D10" s="123"/>
      <c r="E10" s="123"/>
      <c r="F10" s="123"/>
      <c r="G10" s="123"/>
      <c r="H10" s="123"/>
    </row>
    <row r="11" spans="1:8">
      <c r="A11" s="324" t="s">
        <v>671</v>
      </c>
      <c r="B11" s="146"/>
      <c r="C11" s="146"/>
      <c r="D11" s="123"/>
      <c r="E11" s="123"/>
      <c r="F11" s="123"/>
      <c r="G11" s="123"/>
      <c r="H11" s="123"/>
    </row>
    <row r="12" spans="1:8">
      <c r="A12" s="123" t="s">
        <v>674</v>
      </c>
      <c r="B12" s="146">
        <v>411</v>
      </c>
      <c r="C12" s="146"/>
      <c r="D12" s="123"/>
      <c r="E12" s="332">
        <v>30</v>
      </c>
      <c r="F12" s="332">
        <v>80</v>
      </c>
      <c r="G12" s="332">
        <v>200</v>
      </c>
      <c r="H12" s="332">
        <v>250</v>
      </c>
    </row>
    <row r="13" spans="1:8">
      <c r="A13" s="324" t="s">
        <v>670</v>
      </c>
      <c r="B13" s="146"/>
      <c r="C13" s="146"/>
      <c r="D13" s="123"/>
      <c r="E13" s="332"/>
      <c r="F13" s="332"/>
      <c r="G13" s="332"/>
      <c r="H13" s="332"/>
    </row>
    <row r="14" spans="1:8">
      <c r="A14" s="324" t="s">
        <v>675</v>
      </c>
      <c r="B14" s="146"/>
      <c r="C14" s="146"/>
      <c r="D14" s="123"/>
      <c r="E14" s="332"/>
      <c r="F14" s="332"/>
      <c r="G14" s="332"/>
      <c r="H14" s="332"/>
    </row>
    <row r="15" spans="1:8">
      <c r="A15" s="476" t="s">
        <v>403</v>
      </c>
      <c r="B15" s="146">
        <f>SUM(B3+B6+B9+B12)</f>
        <v>1567</v>
      </c>
      <c r="C15" s="146"/>
      <c r="D15" s="146"/>
      <c r="E15" s="331">
        <f>SUM(E3+E6+E9+E12)</f>
        <v>1011</v>
      </c>
      <c r="F15" s="331">
        <f>SUM(F3+F6+F9+F12)</f>
        <v>810</v>
      </c>
      <c r="G15" s="331">
        <f>SUM(G3+G6+G9+G12)</f>
        <v>1750</v>
      </c>
      <c r="H15" s="331">
        <f>SUM(H3+H6+H9+H12)</f>
        <v>1950</v>
      </c>
    </row>
    <row r="17" spans="1:9" ht="15.75" thickBot="1">
      <c r="A17" s="197" t="s">
        <v>1059</v>
      </c>
    </row>
    <row r="18" spans="1:9">
      <c r="B18" t="s">
        <v>1060</v>
      </c>
    </row>
    <row r="19" spans="1:9">
      <c r="A19" t="s">
        <v>30</v>
      </c>
      <c r="B19">
        <f>SUM('Flux Bio - Ressources'!AG2:AG116)</f>
        <v>47284</v>
      </c>
    </row>
    <row r="20" spans="1:9">
      <c r="A20" s="146" t="s">
        <v>840</v>
      </c>
      <c r="B20" s="146">
        <f>SUMIF('Flux Bio - Ressources'!B2:B116,"Agri-Autres",'Flux Bio - Ressources'!AG2:AG116)</f>
        <v>7829</v>
      </c>
      <c r="I20" s="146"/>
    </row>
    <row r="21" spans="1:9">
      <c r="A21" s="146" t="s">
        <v>908</v>
      </c>
      <c r="B21" s="146">
        <f>SUMIF('Flux Bio - Ressources'!B2:B116,"Agri-Effluents",'Flux Bio - Ressources'!AG2:AG116)</f>
        <v>1143</v>
      </c>
      <c r="I21" s="146"/>
    </row>
    <row r="22" spans="1:9">
      <c r="A22" s="146" t="s">
        <v>940</v>
      </c>
      <c r="B22" s="146">
        <f>SUMIF('Flux Bio - Ressources'!B2:B116,"Agri-Paille",'Flux Bio - Ressources'!AG2:AG116)</f>
        <v>25</v>
      </c>
      <c r="C22" s="146"/>
      <c r="I22" s="146"/>
    </row>
    <row r="23" spans="1:9">
      <c r="A23" s="482" t="s">
        <v>49</v>
      </c>
      <c r="B23" s="146">
        <f>SUMIF('Flux Bio - Ressources'!B1:B115,"Bois",'Flux Bio - Ressources'!AG1:AG115)</f>
        <v>38191</v>
      </c>
      <c r="I23" s="146"/>
    </row>
    <row r="24" spans="1:9">
      <c r="A24" s="146" t="s">
        <v>991</v>
      </c>
      <c r="B24" s="146">
        <f>SUMIF('Flux Bio - Ressources'!B2:B116,"Bois",'Flux Bio - Ressources'!AG2:AG116)</f>
        <v>38191</v>
      </c>
      <c r="I24" s="146"/>
    </row>
    <row r="25" spans="1:9">
      <c r="A25" s="146" t="s">
        <v>1017</v>
      </c>
      <c r="B25" s="146">
        <f>SUMIF('Flux Bio - Ressources'!B2:B116,"IAA",'Flux Bio - Ressources'!AG2:AG116)</f>
        <v>96</v>
      </c>
      <c r="I25" s="146"/>
    </row>
    <row r="26" spans="1:9">
      <c r="I26" s="146"/>
    </row>
    <row r="27" spans="1:9">
      <c r="I27" s="146"/>
    </row>
    <row r="28" spans="1:9">
      <c r="I28" s="146"/>
    </row>
    <row r="29" spans="1:9">
      <c r="I29" s="146"/>
    </row>
    <row r="30" spans="1:9">
      <c r="I30" s="146"/>
    </row>
    <row r="31" spans="1:9">
      <c r="I31" s="146"/>
    </row>
    <row r="32" spans="1:9">
      <c r="I32" s="146"/>
    </row>
    <row r="33" spans="9:9">
      <c r="I33" s="146"/>
    </row>
    <row r="34" spans="9:9">
      <c r="I34" s="146"/>
    </row>
    <row r="35" spans="9:9">
      <c r="I35" s="146"/>
    </row>
    <row r="36" spans="9:9">
      <c r="I36" s="146"/>
    </row>
    <row r="37" spans="9:9">
      <c r="I37" s="146"/>
    </row>
    <row r="38" spans="9:9">
      <c r="I38" s="146"/>
    </row>
    <row r="39" spans="9:9">
      <c r="I39" s="146"/>
    </row>
    <row r="40" spans="9:9">
      <c r="I40" s="146"/>
    </row>
    <row r="41" spans="9:9">
      <c r="I41" s="146"/>
    </row>
    <row r="42" spans="9:9">
      <c r="I42" s="146"/>
    </row>
    <row r="43" spans="9:9">
      <c r="I43" s="146"/>
    </row>
    <row r="44" spans="9:9">
      <c r="I44" s="146"/>
    </row>
    <row r="45" spans="9:9">
      <c r="I45" s="146"/>
    </row>
    <row r="46" spans="9:9">
      <c r="I46" s="146"/>
    </row>
    <row r="47" spans="9:9">
      <c r="I47" s="146"/>
    </row>
    <row r="48" spans="9:9">
      <c r="I48" s="146"/>
    </row>
    <row r="49" spans="9:9">
      <c r="I49" s="146"/>
    </row>
    <row r="50" spans="9:9">
      <c r="I50" s="146"/>
    </row>
    <row r="51" spans="9:9">
      <c r="I51" s="146"/>
    </row>
    <row r="52" spans="9:9">
      <c r="I52" s="146"/>
    </row>
    <row r="53" spans="9:9">
      <c r="I53" s="146"/>
    </row>
    <row r="54" spans="9:9">
      <c r="I54" s="146"/>
    </row>
    <row r="55" spans="9:9">
      <c r="I55" s="146"/>
    </row>
    <row r="56" spans="9:9">
      <c r="I56" s="146"/>
    </row>
    <row r="57" spans="9:9">
      <c r="I57" s="146"/>
    </row>
    <row r="58" spans="9:9">
      <c r="I58" s="146"/>
    </row>
    <row r="59" spans="9:9">
      <c r="I59" s="146"/>
    </row>
    <row r="60" spans="9:9">
      <c r="I60" s="146"/>
    </row>
    <row r="61" spans="9:9">
      <c r="I61" s="146"/>
    </row>
    <row r="62" spans="9:9">
      <c r="I62" s="146"/>
    </row>
    <row r="63" spans="9:9">
      <c r="I63" s="146"/>
    </row>
    <row r="64" spans="9:9">
      <c r="I64" s="146"/>
    </row>
    <row r="65" spans="9:9">
      <c r="I65" s="146"/>
    </row>
    <row r="66" spans="9:9">
      <c r="I66" s="146"/>
    </row>
    <row r="67" spans="9:9">
      <c r="I67" s="146"/>
    </row>
    <row r="68" spans="9:9">
      <c r="I68" s="146"/>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AQ346"/>
  <sheetViews>
    <sheetView zoomScale="90" zoomScaleNormal="90" workbookViewId="0">
      <pane xSplit="4" ySplit="1" topLeftCell="AC50" activePane="bottomRight" state="frozen"/>
      <selection activeCell="J41" sqref="J41"/>
      <selection pane="topRight" activeCell="J41" sqref="J41"/>
      <selection pane="bottomLeft" activeCell="J41" sqref="J41"/>
      <selection pane="bottomRight" activeCell="J41" sqref="J41"/>
    </sheetView>
  </sheetViews>
  <sheetFormatPr baseColWidth="10" defaultRowHeight="15"/>
  <cols>
    <col min="1" max="1" width="16.5703125" style="146" bestFit="1" customWidth="1"/>
    <col min="2" max="2" width="11.42578125" style="146"/>
    <col min="3" max="3" width="22.140625" style="146" customWidth="1"/>
    <col min="4" max="4" width="59.140625" style="146" customWidth="1"/>
    <col min="5" max="5" width="22.5703125" style="146" customWidth="1"/>
    <col min="6" max="6" width="22.7109375" style="146" customWidth="1"/>
    <col min="7" max="12" width="11.42578125" style="146"/>
    <col min="13" max="13" width="16.28515625" style="146" customWidth="1"/>
    <col min="14" max="17" width="11.42578125" style="146"/>
    <col min="18" max="18" width="9.28515625" style="146" customWidth="1"/>
    <col min="19" max="39" width="11.42578125" style="146"/>
    <col min="40" max="40" width="12.7109375" style="146" customWidth="1"/>
    <col min="41" max="16384" width="11.42578125" style="146"/>
  </cols>
  <sheetData>
    <row r="1" spans="1:43">
      <c r="A1" s="146" t="s">
        <v>797</v>
      </c>
      <c r="B1" s="146" t="s">
        <v>798</v>
      </c>
      <c r="C1" s="146" t="s">
        <v>799</v>
      </c>
      <c r="D1" s="146" t="s">
        <v>800</v>
      </c>
      <c r="E1" s="146" t="s">
        <v>801</v>
      </c>
      <c r="F1" s="146" t="s">
        <v>802</v>
      </c>
      <c r="G1" s="146" t="s">
        <v>803</v>
      </c>
      <c r="H1" s="146" t="s">
        <v>804</v>
      </c>
      <c r="I1" s="146" t="s">
        <v>805</v>
      </c>
      <c r="J1" s="146" t="s">
        <v>806</v>
      </c>
      <c r="K1" s="146" t="s">
        <v>807</v>
      </c>
      <c r="L1" s="146" t="s">
        <v>808</v>
      </c>
      <c r="M1" s="146" t="s">
        <v>809</v>
      </c>
      <c r="N1" s="146" t="s">
        <v>810</v>
      </c>
      <c r="O1" s="146" t="s">
        <v>811</v>
      </c>
      <c r="P1" s="146" t="s">
        <v>812</v>
      </c>
      <c r="Q1" s="146" t="s">
        <v>813</v>
      </c>
      <c r="R1" s="146" t="s">
        <v>814</v>
      </c>
      <c r="S1" s="146" t="s">
        <v>815</v>
      </c>
      <c r="T1" s="146" t="s">
        <v>816</v>
      </c>
      <c r="U1" s="146" t="s">
        <v>817</v>
      </c>
      <c r="V1" s="146" t="s">
        <v>818</v>
      </c>
      <c r="W1" s="146" t="s">
        <v>348</v>
      </c>
      <c r="X1" s="146" t="s">
        <v>819</v>
      </c>
      <c r="Y1" s="146" t="s">
        <v>820</v>
      </c>
      <c r="Z1" s="146" t="s">
        <v>821</v>
      </c>
      <c r="AA1" s="146" t="s">
        <v>822</v>
      </c>
      <c r="AB1" s="146" t="s">
        <v>823</v>
      </c>
      <c r="AC1" s="146" t="s">
        <v>824</v>
      </c>
      <c r="AD1" s="146" t="s">
        <v>825</v>
      </c>
      <c r="AE1" s="146" t="s">
        <v>826</v>
      </c>
      <c r="AF1" s="146" t="s">
        <v>827</v>
      </c>
      <c r="AG1" s="146" t="s">
        <v>828</v>
      </c>
      <c r="AH1" s="146" t="s">
        <v>829</v>
      </c>
      <c r="AI1" s="146" t="s">
        <v>830</v>
      </c>
      <c r="AJ1" s="146" t="s">
        <v>831</v>
      </c>
      <c r="AK1" s="146" t="s">
        <v>832</v>
      </c>
      <c r="AL1" s="146" t="s">
        <v>833</v>
      </c>
      <c r="AM1" s="146" t="s">
        <v>834</v>
      </c>
      <c r="AN1" s="146" t="s">
        <v>835</v>
      </c>
      <c r="AO1" s="146" t="s">
        <v>836</v>
      </c>
      <c r="AP1" s="146" t="s">
        <v>837</v>
      </c>
      <c r="AQ1" s="146" t="s">
        <v>838</v>
      </c>
    </row>
    <row r="2" spans="1:43">
      <c r="A2" s="146" t="s">
        <v>839</v>
      </c>
      <c r="B2" s="146" t="s">
        <v>840</v>
      </c>
      <c r="C2" s="146" t="s">
        <v>841</v>
      </c>
      <c r="D2" s="146" t="s">
        <v>841</v>
      </c>
      <c r="E2" s="146" t="s">
        <v>842</v>
      </c>
      <c r="H2" s="477"/>
      <c r="J2" s="146" t="s">
        <v>843</v>
      </c>
      <c r="K2" s="146">
        <v>486</v>
      </c>
      <c r="L2" s="146" t="s">
        <v>844</v>
      </c>
      <c r="M2" s="146" t="s">
        <v>341</v>
      </c>
      <c r="N2" s="146">
        <v>95</v>
      </c>
      <c r="O2" s="146" t="s">
        <v>845</v>
      </c>
      <c r="P2" s="477">
        <v>46170</v>
      </c>
      <c r="Q2" s="478">
        <v>0</v>
      </c>
      <c r="R2" s="478">
        <v>46170</v>
      </c>
      <c r="S2" s="479">
        <v>92.6</v>
      </c>
      <c r="T2" s="146">
        <v>3417</v>
      </c>
      <c r="U2" s="479">
        <v>100</v>
      </c>
      <c r="V2" s="146">
        <v>3417</v>
      </c>
      <c r="W2" s="146">
        <v>0</v>
      </c>
      <c r="X2" s="146">
        <v>3417</v>
      </c>
      <c r="Y2" s="146">
        <v>0.25</v>
      </c>
      <c r="Z2" s="146">
        <v>0.2079</v>
      </c>
      <c r="AB2" s="146" t="s">
        <v>846</v>
      </c>
      <c r="AC2" s="146" t="s">
        <v>847</v>
      </c>
      <c r="AD2" s="146" t="s">
        <v>848</v>
      </c>
      <c r="AF2" s="146" t="s">
        <v>849</v>
      </c>
      <c r="AG2" s="146">
        <v>854</v>
      </c>
      <c r="AH2" s="146">
        <v>710</v>
      </c>
      <c r="AI2" s="146">
        <v>0</v>
      </c>
      <c r="AJ2" s="146">
        <v>11542</v>
      </c>
      <c r="AK2" s="146">
        <v>11542</v>
      </c>
      <c r="AL2" s="146">
        <v>854</v>
      </c>
      <c r="AM2" s="146">
        <v>854</v>
      </c>
      <c r="AQ2" s="146">
        <f>ROUND(AH2*11.63,0)</f>
        <v>8257</v>
      </c>
    </row>
    <row r="3" spans="1:43">
      <c r="A3" s="146" t="s">
        <v>839</v>
      </c>
      <c r="B3" s="146" t="s">
        <v>840</v>
      </c>
      <c r="C3" s="146" t="s">
        <v>850</v>
      </c>
      <c r="D3" s="146" t="s">
        <v>850</v>
      </c>
      <c r="E3" s="146" t="s">
        <v>842</v>
      </c>
      <c r="J3" s="146" t="s">
        <v>843</v>
      </c>
      <c r="K3" s="146">
        <v>11.33</v>
      </c>
      <c r="L3" s="146" t="s">
        <v>844</v>
      </c>
      <c r="M3" s="146" t="s">
        <v>341</v>
      </c>
      <c r="N3" s="146">
        <v>7</v>
      </c>
      <c r="O3" s="146" t="s">
        <v>845</v>
      </c>
      <c r="P3" s="477">
        <v>79</v>
      </c>
      <c r="Q3" s="478">
        <v>0</v>
      </c>
      <c r="R3" s="478">
        <v>79</v>
      </c>
      <c r="S3" s="479">
        <v>0</v>
      </c>
      <c r="T3" s="146">
        <v>79</v>
      </c>
      <c r="U3" s="479">
        <v>16</v>
      </c>
      <c r="V3" s="146">
        <v>13</v>
      </c>
      <c r="W3" s="146">
        <v>0</v>
      </c>
      <c r="X3" s="146">
        <v>13</v>
      </c>
      <c r="Y3" s="146">
        <v>0.8</v>
      </c>
      <c r="Z3" s="146">
        <v>0.32800000000000001</v>
      </c>
      <c r="AB3" s="146" t="s">
        <v>851</v>
      </c>
      <c r="AF3" s="146" t="s">
        <v>852</v>
      </c>
      <c r="AG3" s="146">
        <v>10</v>
      </c>
      <c r="AH3" s="146">
        <v>4</v>
      </c>
      <c r="AI3" s="146">
        <v>0</v>
      </c>
      <c r="AJ3" s="146">
        <v>63</v>
      </c>
      <c r="AK3" s="146">
        <v>63</v>
      </c>
      <c r="AL3" s="146">
        <v>63</v>
      </c>
      <c r="AM3" s="146">
        <v>10</v>
      </c>
      <c r="AQ3" s="146">
        <f t="shared" ref="AQ3:AQ66" si="0">ROUND(AH3*11.63,0)</f>
        <v>47</v>
      </c>
    </row>
    <row r="4" spans="1:43">
      <c r="A4" s="146" t="s">
        <v>839</v>
      </c>
      <c r="B4" s="146" t="s">
        <v>840</v>
      </c>
      <c r="C4" s="146" t="s">
        <v>853</v>
      </c>
      <c r="D4" s="146" t="s">
        <v>853</v>
      </c>
      <c r="E4" s="146" t="s">
        <v>854</v>
      </c>
      <c r="J4" s="146" t="s">
        <v>843</v>
      </c>
      <c r="K4" s="146">
        <v>15</v>
      </c>
      <c r="L4" s="146" t="s">
        <v>844</v>
      </c>
      <c r="M4" s="146" t="s">
        <v>341</v>
      </c>
      <c r="N4" s="146">
        <v>30</v>
      </c>
      <c r="O4" s="146" t="s">
        <v>845</v>
      </c>
      <c r="P4" s="477">
        <v>450</v>
      </c>
      <c r="Q4" s="478">
        <v>0</v>
      </c>
      <c r="R4" s="478">
        <v>450</v>
      </c>
      <c r="S4" s="479">
        <v>0</v>
      </c>
      <c r="T4" s="146">
        <v>450</v>
      </c>
      <c r="U4" s="479">
        <v>100</v>
      </c>
      <c r="V4" s="146">
        <v>450</v>
      </c>
      <c r="W4" s="146">
        <v>0</v>
      </c>
      <c r="X4" s="146">
        <v>450</v>
      </c>
      <c r="Y4" s="477">
        <v>0.2</v>
      </c>
      <c r="Z4" s="477">
        <v>9.4000000000000004E-3</v>
      </c>
      <c r="AA4" s="477">
        <v>11</v>
      </c>
      <c r="AB4" s="146" t="s">
        <v>855</v>
      </c>
      <c r="AC4" s="146" t="s">
        <v>856</v>
      </c>
      <c r="AF4" s="146" t="s">
        <v>857</v>
      </c>
      <c r="AG4" s="146">
        <v>90</v>
      </c>
      <c r="AH4" s="146">
        <v>4</v>
      </c>
      <c r="AI4" s="146">
        <v>4950</v>
      </c>
      <c r="AJ4" s="146">
        <v>90</v>
      </c>
      <c r="AK4" s="146">
        <v>90</v>
      </c>
      <c r="AL4" s="146">
        <v>90</v>
      </c>
      <c r="AM4" s="146">
        <v>90</v>
      </c>
      <c r="AQ4" s="146">
        <f t="shared" si="0"/>
        <v>47</v>
      </c>
    </row>
    <row r="5" spans="1:43">
      <c r="A5" s="146" t="s">
        <v>839</v>
      </c>
      <c r="B5" s="146" t="s">
        <v>840</v>
      </c>
      <c r="C5" s="146" t="s">
        <v>858</v>
      </c>
      <c r="D5" s="146" t="s">
        <v>859</v>
      </c>
      <c r="E5" s="146" t="s">
        <v>854</v>
      </c>
      <c r="J5" s="146" t="s">
        <v>843</v>
      </c>
      <c r="K5" s="146">
        <v>486</v>
      </c>
      <c r="L5" s="146" t="s">
        <v>844</v>
      </c>
      <c r="M5" s="146" t="s">
        <v>341</v>
      </c>
      <c r="N5" s="146">
        <v>30</v>
      </c>
      <c r="O5" s="146" t="s">
        <v>845</v>
      </c>
      <c r="P5" s="477">
        <v>14580</v>
      </c>
      <c r="Q5" s="478">
        <v>0</v>
      </c>
      <c r="R5" s="478">
        <v>14580</v>
      </c>
      <c r="S5" s="479"/>
      <c r="T5" s="146">
        <v>10470</v>
      </c>
      <c r="U5" s="479">
        <v>0</v>
      </c>
      <c r="V5" s="146">
        <v>0</v>
      </c>
      <c r="W5" s="146">
        <v>0</v>
      </c>
      <c r="X5" s="146">
        <v>0</v>
      </c>
      <c r="Y5" s="146">
        <v>0.16</v>
      </c>
      <c r="Z5" s="477">
        <v>3.8300000000000001E-2</v>
      </c>
      <c r="AA5" s="146">
        <v>45</v>
      </c>
      <c r="AB5" s="146" t="s">
        <v>846</v>
      </c>
      <c r="AC5" s="146" t="s">
        <v>856</v>
      </c>
      <c r="AG5" s="146">
        <v>0</v>
      </c>
      <c r="AH5" s="146">
        <v>0</v>
      </c>
      <c r="AI5" s="146">
        <v>0</v>
      </c>
      <c r="AJ5" s="146">
        <v>2333</v>
      </c>
      <c r="AK5" s="146">
        <v>2333</v>
      </c>
      <c r="AL5" s="146">
        <v>1675</v>
      </c>
      <c r="AM5" s="146">
        <v>0</v>
      </c>
      <c r="AQ5" s="146">
        <f t="shared" si="0"/>
        <v>0</v>
      </c>
    </row>
    <row r="6" spans="1:43">
      <c r="A6" s="146" t="s">
        <v>839</v>
      </c>
      <c r="B6" s="146" t="s">
        <v>840</v>
      </c>
      <c r="C6" s="146" t="s">
        <v>860</v>
      </c>
      <c r="D6" s="146" t="s">
        <v>861</v>
      </c>
      <c r="E6" s="146" t="s">
        <v>862</v>
      </c>
      <c r="J6" s="146" t="s">
        <v>843</v>
      </c>
      <c r="K6" s="146">
        <v>15</v>
      </c>
      <c r="L6" s="146" t="s">
        <v>844</v>
      </c>
      <c r="M6" s="146" t="s">
        <v>341</v>
      </c>
      <c r="N6" s="146">
        <v>30</v>
      </c>
      <c r="O6" s="146" t="s">
        <v>845</v>
      </c>
      <c r="P6" s="477">
        <v>450</v>
      </c>
      <c r="Q6" s="478">
        <v>0</v>
      </c>
      <c r="R6" s="478">
        <v>450</v>
      </c>
      <c r="S6" s="479">
        <v>0</v>
      </c>
      <c r="T6" s="146">
        <v>450</v>
      </c>
      <c r="U6" s="479">
        <v>100</v>
      </c>
      <c r="V6" s="146">
        <v>450</v>
      </c>
      <c r="W6" s="146">
        <v>0</v>
      </c>
      <c r="X6" s="146">
        <v>450</v>
      </c>
      <c r="Y6" s="146">
        <v>0.75</v>
      </c>
      <c r="Z6" s="477">
        <v>9.4000000000000004E-3</v>
      </c>
      <c r="AA6" s="146">
        <v>11</v>
      </c>
      <c r="AB6" s="146" t="s">
        <v>863</v>
      </c>
      <c r="AF6" s="330" t="s">
        <v>864</v>
      </c>
      <c r="AG6" s="146">
        <v>338</v>
      </c>
      <c r="AH6" s="146">
        <v>4</v>
      </c>
      <c r="AI6" s="146">
        <v>4950</v>
      </c>
      <c r="AJ6" s="146">
        <v>338</v>
      </c>
      <c r="AK6" s="146">
        <v>338</v>
      </c>
      <c r="AL6" s="146">
        <v>338</v>
      </c>
      <c r="AM6" s="146">
        <v>338</v>
      </c>
      <c r="AQ6" s="146">
        <f t="shared" si="0"/>
        <v>47</v>
      </c>
    </row>
    <row r="7" spans="1:43">
      <c r="A7" s="146" t="s">
        <v>839</v>
      </c>
      <c r="B7" s="146" t="s">
        <v>840</v>
      </c>
      <c r="C7" s="146" t="s">
        <v>860</v>
      </c>
      <c r="D7" s="146" t="s">
        <v>865</v>
      </c>
      <c r="E7" s="146" t="s">
        <v>862</v>
      </c>
      <c r="H7" s="477"/>
      <c r="J7" s="146" t="s">
        <v>843</v>
      </c>
      <c r="L7" s="146" t="s">
        <v>844</v>
      </c>
      <c r="M7" s="146" t="s">
        <v>341</v>
      </c>
      <c r="O7" s="146" t="s">
        <v>845</v>
      </c>
      <c r="P7" s="477">
        <v>0</v>
      </c>
      <c r="Q7" s="478">
        <v>0</v>
      </c>
      <c r="R7" s="478">
        <v>0</v>
      </c>
      <c r="S7" s="479"/>
      <c r="T7" s="146">
        <v>0</v>
      </c>
      <c r="U7" s="479"/>
      <c r="V7" s="146">
        <v>0</v>
      </c>
      <c r="W7" s="146">
        <v>0</v>
      </c>
      <c r="X7" s="146">
        <v>0</v>
      </c>
      <c r="AG7" s="146">
        <v>0</v>
      </c>
      <c r="AH7" s="146">
        <v>0</v>
      </c>
      <c r="AI7" s="146">
        <v>0</v>
      </c>
      <c r="AJ7" s="146">
        <v>0</v>
      </c>
      <c r="AK7" s="146">
        <v>0</v>
      </c>
      <c r="AL7" s="146">
        <v>0</v>
      </c>
      <c r="AM7" s="146">
        <v>0</v>
      </c>
      <c r="AQ7" s="146">
        <f t="shared" si="0"/>
        <v>0</v>
      </c>
    </row>
    <row r="8" spans="1:43">
      <c r="A8" s="146" t="s">
        <v>839</v>
      </c>
      <c r="B8" s="146" t="s">
        <v>840</v>
      </c>
      <c r="C8" s="146" t="s">
        <v>860</v>
      </c>
      <c r="D8" s="146" t="s">
        <v>866</v>
      </c>
      <c r="E8" s="146" t="s">
        <v>862</v>
      </c>
      <c r="J8" s="146" t="s">
        <v>843</v>
      </c>
      <c r="K8" s="146">
        <v>2</v>
      </c>
      <c r="L8" s="146" t="s">
        <v>844</v>
      </c>
      <c r="M8" s="146" t="s">
        <v>341</v>
      </c>
      <c r="N8" s="146">
        <v>20</v>
      </c>
      <c r="O8" s="146" t="s">
        <v>845</v>
      </c>
      <c r="P8" s="477">
        <v>40</v>
      </c>
      <c r="Q8" s="478">
        <v>0</v>
      </c>
      <c r="R8" s="478">
        <v>40</v>
      </c>
      <c r="S8" s="479">
        <v>0</v>
      </c>
      <c r="T8" s="146">
        <v>40</v>
      </c>
      <c r="U8" s="479">
        <v>100</v>
      </c>
      <c r="V8" s="146">
        <v>40</v>
      </c>
      <c r="W8" s="146">
        <v>0</v>
      </c>
      <c r="X8" s="146">
        <v>40</v>
      </c>
      <c r="Y8" s="146">
        <v>0.5</v>
      </c>
      <c r="Z8" s="146">
        <v>0.215</v>
      </c>
      <c r="AA8" s="146">
        <v>253</v>
      </c>
      <c r="AG8" s="146">
        <v>20</v>
      </c>
      <c r="AH8" s="146">
        <v>9</v>
      </c>
      <c r="AI8" s="146">
        <v>10120</v>
      </c>
      <c r="AJ8" s="146">
        <v>20</v>
      </c>
      <c r="AK8" s="146">
        <v>20</v>
      </c>
      <c r="AL8" s="146">
        <v>20</v>
      </c>
      <c r="AM8" s="146">
        <v>20</v>
      </c>
      <c r="AQ8" s="146">
        <f t="shared" si="0"/>
        <v>105</v>
      </c>
    </row>
    <row r="9" spans="1:43">
      <c r="A9" s="146" t="s">
        <v>839</v>
      </c>
      <c r="B9" s="146" t="s">
        <v>840</v>
      </c>
      <c r="C9" s="146" t="s">
        <v>867</v>
      </c>
      <c r="D9" s="146" t="s">
        <v>868</v>
      </c>
      <c r="E9" s="146" t="s">
        <v>854</v>
      </c>
      <c r="J9" s="146" t="s">
        <v>843</v>
      </c>
      <c r="K9" s="477">
        <v>300</v>
      </c>
      <c r="L9" s="146" t="s">
        <v>844</v>
      </c>
      <c r="M9" s="146" t="s">
        <v>341</v>
      </c>
      <c r="N9" s="477">
        <v>3.3</v>
      </c>
      <c r="O9" s="146" t="s">
        <v>845</v>
      </c>
      <c r="P9" s="477">
        <v>990</v>
      </c>
      <c r="Q9" s="478">
        <v>0</v>
      </c>
      <c r="R9" s="478">
        <v>990</v>
      </c>
      <c r="S9" s="479">
        <v>100</v>
      </c>
      <c r="T9" s="146">
        <v>0</v>
      </c>
      <c r="U9" s="479">
        <v>100</v>
      </c>
      <c r="V9" s="146">
        <v>0</v>
      </c>
      <c r="W9" s="146">
        <v>0</v>
      </c>
      <c r="X9" s="146">
        <v>0</v>
      </c>
      <c r="AB9" s="146" t="s">
        <v>869</v>
      </c>
      <c r="AG9" s="146">
        <v>0</v>
      </c>
      <c r="AH9" s="146">
        <v>0</v>
      </c>
      <c r="AI9" s="146">
        <v>0</v>
      </c>
      <c r="AJ9" s="146">
        <v>0</v>
      </c>
      <c r="AK9" s="146">
        <v>0</v>
      </c>
      <c r="AL9" s="146">
        <v>0</v>
      </c>
      <c r="AM9" s="146">
        <v>0</v>
      </c>
      <c r="AQ9" s="146">
        <f t="shared" si="0"/>
        <v>0</v>
      </c>
    </row>
    <row r="10" spans="1:43">
      <c r="A10" s="146" t="s">
        <v>839</v>
      </c>
      <c r="B10" s="146" t="s">
        <v>840</v>
      </c>
      <c r="C10" s="146" t="s">
        <v>867</v>
      </c>
      <c r="D10" s="146" t="s">
        <v>870</v>
      </c>
      <c r="E10" s="323" t="s">
        <v>854</v>
      </c>
      <c r="J10" s="146" t="s">
        <v>843</v>
      </c>
      <c r="K10" s="477">
        <v>17</v>
      </c>
      <c r="L10" s="146" t="s">
        <v>844</v>
      </c>
      <c r="M10" s="146" t="s">
        <v>341</v>
      </c>
      <c r="N10" s="477">
        <v>5.3</v>
      </c>
      <c r="O10" s="146" t="s">
        <v>845</v>
      </c>
      <c r="P10" s="477">
        <v>90</v>
      </c>
      <c r="Q10" s="478">
        <v>0</v>
      </c>
      <c r="R10" s="478">
        <v>90</v>
      </c>
      <c r="S10" s="479">
        <v>100</v>
      </c>
      <c r="T10" s="146">
        <v>0</v>
      </c>
      <c r="U10" s="479">
        <v>100</v>
      </c>
      <c r="V10" s="146">
        <v>0</v>
      </c>
      <c r="W10" s="146">
        <v>0</v>
      </c>
      <c r="X10" s="146">
        <v>0</v>
      </c>
      <c r="AB10" s="146" t="s">
        <v>869</v>
      </c>
      <c r="AC10" s="158"/>
      <c r="AG10" s="146">
        <v>0</v>
      </c>
      <c r="AH10" s="146">
        <v>0</v>
      </c>
      <c r="AI10" s="146">
        <v>0</v>
      </c>
      <c r="AJ10" s="146">
        <v>0</v>
      </c>
      <c r="AK10" s="146">
        <v>0</v>
      </c>
      <c r="AL10" s="146">
        <v>0</v>
      </c>
      <c r="AM10" s="146">
        <v>0</v>
      </c>
      <c r="AQ10" s="146">
        <f t="shared" si="0"/>
        <v>0</v>
      </c>
    </row>
    <row r="11" spans="1:43">
      <c r="A11" s="146" t="s">
        <v>839</v>
      </c>
      <c r="B11" s="146" t="s">
        <v>840</v>
      </c>
      <c r="C11" s="146" t="s">
        <v>871</v>
      </c>
      <c r="D11" s="146" t="s">
        <v>872</v>
      </c>
      <c r="E11" s="323" t="s">
        <v>854</v>
      </c>
      <c r="J11" s="146" t="s">
        <v>843</v>
      </c>
      <c r="K11" s="477">
        <v>513</v>
      </c>
      <c r="L11" s="146" t="s">
        <v>844</v>
      </c>
      <c r="M11" s="146" t="s">
        <v>341</v>
      </c>
      <c r="N11" s="477">
        <v>4.9000000000000004</v>
      </c>
      <c r="O11" s="146" t="s">
        <v>845</v>
      </c>
      <c r="P11" s="477">
        <v>2514</v>
      </c>
      <c r="Q11" s="478">
        <v>0</v>
      </c>
      <c r="R11" s="478">
        <v>2514</v>
      </c>
      <c r="S11" s="479">
        <v>100</v>
      </c>
      <c r="T11" s="146">
        <v>0</v>
      </c>
      <c r="U11" s="479">
        <v>100</v>
      </c>
      <c r="V11" s="146">
        <v>0</v>
      </c>
      <c r="W11" s="146">
        <v>0</v>
      </c>
      <c r="X11" s="146">
        <v>0</v>
      </c>
      <c r="Y11" s="146">
        <v>0.83</v>
      </c>
      <c r="Z11" s="146">
        <v>0.34029999999999994</v>
      </c>
      <c r="AB11" s="146" t="s">
        <v>869</v>
      </c>
      <c r="AC11" s="146" t="s">
        <v>873</v>
      </c>
      <c r="AG11" s="146">
        <v>0</v>
      </c>
      <c r="AH11" s="146">
        <v>0</v>
      </c>
      <c r="AI11" s="146">
        <v>0</v>
      </c>
      <c r="AJ11" s="146">
        <v>2087</v>
      </c>
      <c r="AK11" s="146">
        <v>2087</v>
      </c>
      <c r="AL11" s="146">
        <v>0</v>
      </c>
      <c r="AM11" s="146">
        <v>0</v>
      </c>
      <c r="AQ11" s="146">
        <f t="shared" si="0"/>
        <v>0</v>
      </c>
    </row>
    <row r="12" spans="1:43">
      <c r="A12" s="146" t="s">
        <v>839</v>
      </c>
      <c r="B12" s="146" t="s">
        <v>840</v>
      </c>
      <c r="C12" s="146" t="s">
        <v>871</v>
      </c>
      <c r="D12" s="146" t="s">
        <v>874</v>
      </c>
      <c r="E12" s="323" t="s">
        <v>854</v>
      </c>
      <c r="J12" s="146" t="s">
        <v>843</v>
      </c>
      <c r="K12" s="477">
        <v>114</v>
      </c>
      <c r="L12" s="146" t="s">
        <v>844</v>
      </c>
      <c r="M12" s="146" t="s">
        <v>341</v>
      </c>
      <c r="N12" s="477">
        <v>4.7699999999999996</v>
      </c>
      <c r="O12" s="146" t="s">
        <v>845</v>
      </c>
      <c r="P12" s="477">
        <v>544</v>
      </c>
      <c r="Q12" s="478">
        <v>0</v>
      </c>
      <c r="R12" s="478">
        <v>544</v>
      </c>
      <c r="S12" s="479">
        <v>100</v>
      </c>
      <c r="T12" s="146">
        <v>0</v>
      </c>
      <c r="U12" s="479">
        <v>100</v>
      </c>
      <c r="V12" s="146">
        <v>0</v>
      </c>
      <c r="W12" s="146">
        <v>0</v>
      </c>
      <c r="X12" s="146">
        <v>0</v>
      </c>
      <c r="Y12" s="146">
        <v>0.83</v>
      </c>
      <c r="Z12" s="146">
        <v>0.34029999999999994</v>
      </c>
      <c r="AB12" s="146" t="s">
        <v>869</v>
      </c>
      <c r="AC12" s="146" t="s">
        <v>873</v>
      </c>
      <c r="AD12" s="146" t="s">
        <v>847</v>
      </c>
      <c r="AG12" s="146">
        <v>0</v>
      </c>
      <c r="AH12" s="146">
        <v>0</v>
      </c>
      <c r="AI12" s="146">
        <v>0</v>
      </c>
      <c r="AJ12" s="146">
        <v>452</v>
      </c>
      <c r="AK12" s="146">
        <v>452</v>
      </c>
      <c r="AL12" s="146">
        <v>0</v>
      </c>
      <c r="AM12" s="146">
        <v>0</v>
      </c>
      <c r="AQ12" s="146">
        <f t="shared" si="0"/>
        <v>0</v>
      </c>
    </row>
    <row r="13" spans="1:43">
      <c r="A13" s="146" t="s">
        <v>839</v>
      </c>
      <c r="B13" s="146" t="s">
        <v>840</v>
      </c>
      <c r="C13" s="146" t="s">
        <v>871</v>
      </c>
      <c r="D13" s="146" t="s">
        <v>875</v>
      </c>
      <c r="E13" s="323" t="s">
        <v>854</v>
      </c>
      <c r="J13" s="146" t="s">
        <v>843</v>
      </c>
      <c r="K13" s="477">
        <v>5334</v>
      </c>
      <c r="L13" s="146" t="s">
        <v>844</v>
      </c>
      <c r="M13" s="146" t="s">
        <v>341</v>
      </c>
      <c r="N13" s="477">
        <v>7.25</v>
      </c>
      <c r="O13" s="146" t="s">
        <v>845</v>
      </c>
      <c r="P13" s="477">
        <v>38672</v>
      </c>
      <c r="Q13" s="146">
        <v>0</v>
      </c>
      <c r="R13" s="478">
        <v>38672</v>
      </c>
      <c r="S13" s="479">
        <v>94.2</v>
      </c>
      <c r="T13" s="146">
        <v>2243</v>
      </c>
      <c r="U13" s="479">
        <v>100</v>
      </c>
      <c r="V13" s="146">
        <v>2243</v>
      </c>
      <c r="W13" s="146">
        <v>0</v>
      </c>
      <c r="X13" s="146">
        <v>2243</v>
      </c>
      <c r="Y13" s="146">
        <v>0.83</v>
      </c>
      <c r="Z13" s="146">
        <v>0.34029999999999994</v>
      </c>
      <c r="AB13" s="146" t="s">
        <v>869</v>
      </c>
      <c r="AC13" s="146" t="s">
        <v>873</v>
      </c>
      <c r="AD13" s="146" t="s">
        <v>847</v>
      </c>
      <c r="AG13" s="146">
        <v>1862</v>
      </c>
      <c r="AH13" s="146">
        <v>763</v>
      </c>
      <c r="AI13" s="146">
        <v>0</v>
      </c>
      <c r="AJ13" s="146">
        <v>32098</v>
      </c>
      <c r="AK13" s="146">
        <v>32098</v>
      </c>
      <c r="AL13" s="146">
        <v>1862</v>
      </c>
      <c r="AM13" s="146">
        <v>1862</v>
      </c>
      <c r="AQ13" s="146">
        <f t="shared" si="0"/>
        <v>8874</v>
      </c>
    </row>
    <row r="14" spans="1:43">
      <c r="A14" s="146" t="s">
        <v>839</v>
      </c>
      <c r="B14" s="146" t="s">
        <v>840</v>
      </c>
      <c r="C14" s="146" t="s">
        <v>871</v>
      </c>
      <c r="D14" s="146" t="s">
        <v>876</v>
      </c>
      <c r="E14" s="146" t="s">
        <v>854</v>
      </c>
      <c r="J14" s="146" t="s">
        <v>843</v>
      </c>
      <c r="K14" s="146">
        <v>1908</v>
      </c>
      <c r="L14" s="146" t="s">
        <v>844</v>
      </c>
      <c r="M14" s="146" t="s">
        <v>341</v>
      </c>
      <c r="N14" s="146">
        <v>6.33</v>
      </c>
      <c r="O14" s="146" t="s">
        <v>845</v>
      </c>
      <c r="P14" s="477">
        <v>12078</v>
      </c>
      <c r="Q14" s="146">
        <v>0</v>
      </c>
      <c r="R14" s="478">
        <v>12078</v>
      </c>
      <c r="S14" s="479">
        <v>100</v>
      </c>
      <c r="T14" s="146">
        <v>0</v>
      </c>
      <c r="U14" s="479">
        <v>100</v>
      </c>
      <c r="V14" s="146">
        <v>0</v>
      </c>
      <c r="W14" s="146">
        <v>0</v>
      </c>
      <c r="X14" s="146">
        <v>0</v>
      </c>
      <c r="Y14" s="146">
        <v>0.83</v>
      </c>
      <c r="Z14" s="146">
        <v>0.34029999999999994</v>
      </c>
      <c r="AB14" s="146" t="s">
        <v>869</v>
      </c>
      <c r="AC14" s="146" t="s">
        <v>873</v>
      </c>
      <c r="AD14" s="146" t="s">
        <v>847</v>
      </c>
      <c r="AG14" s="146">
        <v>0</v>
      </c>
      <c r="AH14" s="146">
        <v>0</v>
      </c>
      <c r="AI14" s="146">
        <v>0</v>
      </c>
      <c r="AJ14" s="146">
        <v>10025</v>
      </c>
      <c r="AK14" s="146">
        <v>10025</v>
      </c>
      <c r="AL14" s="146">
        <v>0</v>
      </c>
      <c r="AM14" s="146">
        <v>0</v>
      </c>
      <c r="AQ14" s="146">
        <f t="shared" si="0"/>
        <v>0</v>
      </c>
    </row>
    <row r="15" spans="1:43">
      <c r="A15" s="146" t="s">
        <v>839</v>
      </c>
      <c r="B15" s="146" t="s">
        <v>840</v>
      </c>
      <c r="C15" s="146" t="s">
        <v>871</v>
      </c>
      <c r="D15" s="146" t="s">
        <v>877</v>
      </c>
      <c r="E15" s="323" t="s">
        <v>854</v>
      </c>
      <c r="J15" s="146" t="s">
        <v>843</v>
      </c>
      <c r="K15" s="477">
        <v>24</v>
      </c>
      <c r="L15" s="146" t="s">
        <v>844</v>
      </c>
      <c r="M15" s="146" t="s">
        <v>341</v>
      </c>
      <c r="N15" s="477">
        <v>4.57</v>
      </c>
      <c r="O15" s="146" t="s">
        <v>845</v>
      </c>
      <c r="P15" s="477">
        <v>110</v>
      </c>
      <c r="Q15" s="478">
        <v>0</v>
      </c>
      <c r="R15" s="478">
        <v>110</v>
      </c>
      <c r="S15" s="479">
        <v>100</v>
      </c>
      <c r="T15" s="146">
        <v>0</v>
      </c>
      <c r="U15" s="479">
        <v>100</v>
      </c>
      <c r="V15" s="146">
        <v>0</v>
      </c>
      <c r="W15" s="146">
        <v>0</v>
      </c>
      <c r="X15" s="146">
        <v>0</v>
      </c>
      <c r="Y15" s="146">
        <v>0.83</v>
      </c>
      <c r="Z15" s="146">
        <v>0.34029999999999994</v>
      </c>
      <c r="AB15" s="146" t="s">
        <v>869</v>
      </c>
      <c r="AC15" s="146" t="s">
        <v>873</v>
      </c>
      <c r="AD15" s="146" t="s">
        <v>847</v>
      </c>
      <c r="AG15" s="146">
        <v>0</v>
      </c>
      <c r="AH15" s="146">
        <v>0</v>
      </c>
      <c r="AI15" s="146">
        <v>0</v>
      </c>
      <c r="AJ15" s="146">
        <v>91</v>
      </c>
      <c r="AK15" s="146">
        <v>91</v>
      </c>
      <c r="AL15" s="146">
        <v>0</v>
      </c>
      <c r="AM15" s="146">
        <v>0</v>
      </c>
      <c r="AQ15" s="146">
        <f t="shared" si="0"/>
        <v>0</v>
      </c>
    </row>
    <row r="16" spans="1:43">
      <c r="A16" s="146" t="s">
        <v>839</v>
      </c>
      <c r="B16" s="146" t="s">
        <v>840</v>
      </c>
      <c r="C16" s="146" t="s">
        <v>878</v>
      </c>
      <c r="D16" s="146" t="s">
        <v>879</v>
      </c>
      <c r="E16" s="323" t="s">
        <v>854</v>
      </c>
      <c r="J16" s="146" t="s">
        <v>843</v>
      </c>
      <c r="K16" s="477">
        <v>1436</v>
      </c>
      <c r="L16" s="146" t="s">
        <v>844</v>
      </c>
      <c r="M16" s="146" t="s">
        <v>341</v>
      </c>
      <c r="N16" s="477">
        <v>10.1</v>
      </c>
      <c r="O16" s="146" t="s">
        <v>845</v>
      </c>
      <c r="P16" s="477">
        <v>14504</v>
      </c>
      <c r="Q16" s="478">
        <v>0</v>
      </c>
      <c r="R16" s="478">
        <v>14504</v>
      </c>
      <c r="S16" s="479">
        <v>89.54</v>
      </c>
      <c r="T16" s="146">
        <v>1517</v>
      </c>
      <c r="U16" s="479">
        <v>100</v>
      </c>
      <c r="V16" s="146">
        <v>1517</v>
      </c>
      <c r="W16" s="146">
        <v>0</v>
      </c>
      <c r="X16" s="146">
        <v>1517</v>
      </c>
      <c r="Y16" s="146">
        <v>0.85</v>
      </c>
      <c r="Z16" s="146">
        <v>0.28699999999999998</v>
      </c>
      <c r="AB16" s="146" t="s">
        <v>869</v>
      </c>
      <c r="AC16" s="146" t="s">
        <v>873</v>
      </c>
      <c r="AD16" s="146" t="s">
        <v>847</v>
      </c>
      <c r="AG16" s="146">
        <v>1289</v>
      </c>
      <c r="AH16" s="146">
        <v>435</v>
      </c>
      <c r="AI16" s="146">
        <v>0</v>
      </c>
      <c r="AJ16" s="146">
        <v>12328</v>
      </c>
      <c r="AK16" s="146">
        <v>12328</v>
      </c>
      <c r="AL16" s="146">
        <v>1289</v>
      </c>
      <c r="AM16" s="146">
        <v>1289</v>
      </c>
      <c r="AQ16" s="146">
        <f t="shared" si="0"/>
        <v>5059</v>
      </c>
    </row>
    <row r="17" spans="1:43">
      <c r="A17" s="146" t="s">
        <v>839</v>
      </c>
      <c r="B17" s="146" t="s">
        <v>840</v>
      </c>
      <c r="C17" s="146" t="s">
        <v>880</v>
      </c>
      <c r="D17" s="146" t="s">
        <v>881</v>
      </c>
      <c r="E17" s="323" t="s">
        <v>854</v>
      </c>
      <c r="J17" s="146" t="s">
        <v>843</v>
      </c>
      <c r="K17" s="477">
        <v>39</v>
      </c>
      <c r="L17" s="146" t="s">
        <v>844</v>
      </c>
      <c r="M17" s="146" t="s">
        <v>341</v>
      </c>
      <c r="N17" s="477">
        <v>1.9</v>
      </c>
      <c r="O17" s="146" t="s">
        <v>845</v>
      </c>
      <c r="P17" s="477">
        <v>74</v>
      </c>
      <c r="Q17" s="478">
        <v>0</v>
      </c>
      <c r="R17" s="478">
        <v>74</v>
      </c>
      <c r="S17" s="479">
        <v>100</v>
      </c>
      <c r="T17" s="146">
        <v>0</v>
      </c>
      <c r="U17" s="479">
        <v>100</v>
      </c>
      <c r="V17" s="146">
        <v>0</v>
      </c>
      <c r="W17" s="146">
        <v>0</v>
      </c>
      <c r="X17" s="146">
        <v>0</v>
      </c>
      <c r="Y17" s="146">
        <v>0.9</v>
      </c>
      <c r="Z17" s="146">
        <v>0.56700000000000006</v>
      </c>
      <c r="AB17" s="146" t="s">
        <v>869</v>
      </c>
      <c r="AC17" s="158" t="s">
        <v>882</v>
      </c>
      <c r="AD17" s="146" t="s">
        <v>847</v>
      </c>
      <c r="AG17" s="146">
        <v>0</v>
      </c>
      <c r="AH17" s="146">
        <v>0</v>
      </c>
      <c r="AI17" s="146">
        <v>0</v>
      </c>
      <c r="AJ17" s="146">
        <v>67</v>
      </c>
      <c r="AK17" s="146">
        <v>67</v>
      </c>
      <c r="AL17" s="146">
        <v>0</v>
      </c>
      <c r="AM17" s="146">
        <v>0</v>
      </c>
      <c r="AQ17" s="146">
        <f t="shared" si="0"/>
        <v>0</v>
      </c>
    </row>
    <row r="18" spans="1:43">
      <c r="A18" s="146" t="s">
        <v>839</v>
      </c>
      <c r="B18" s="146" t="s">
        <v>840</v>
      </c>
      <c r="C18" s="146" t="s">
        <v>880</v>
      </c>
      <c r="D18" s="146" t="s">
        <v>883</v>
      </c>
      <c r="E18" s="323" t="s">
        <v>854</v>
      </c>
      <c r="J18" s="146" t="s">
        <v>843</v>
      </c>
      <c r="K18" s="477">
        <v>1408</v>
      </c>
      <c r="L18" s="146" t="s">
        <v>844</v>
      </c>
      <c r="M18" s="146" t="s">
        <v>341</v>
      </c>
      <c r="N18" s="477">
        <v>3.8</v>
      </c>
      <c r="O18" s="146" t="s">
        <v>845</v>
      </c>
      <c r="P18" s="477">
        <v>5350</v>
      </c>
      <c r="Q18" s="478">
        <v>0</v>
      </c>
      <c r="R18" s="478">
        <v>5350</v>
      </c>
      <c r="S18" s="479">
        <v>47.67</v>
      </c>
      <c r="T18" s="146">
        <v>2800</v>
      </c>
      <c r="U18" s="479">
        <v>100</v>
      </c>
      <c r="V18" s="146">
        <v>2800</v>
      </c>
      <c r="W18" s="146">
        <v>300</v>
      </c>
      <c r="X18" s="146">
        <v>3100</v>
      </c>
      <c r="Y18" s="146">
        <v>0.91</v>
      </c>
      <c r="Z18" s="146">
        <v>0.56700000000000006</v>
      </c>
      <c r="AB18" s="146" t="s">
        <v>869</v>
      </c>
      <c r="AC18" s="146" t="s">
        <v>884</v>
      </c>
      <c r="AD18" s="146" t="s">
        <v>847</v>
      </c>
      <c r="AG18" s="146">
        <v>2821</v>
      </c>
      <c r="AH18" s="146">
        <v>1758</v>
      </c>
      <c r="AI18" s="146">
        <v>0</v>
      </c>
      <c r="AJ18" s="146">
        <v>4868</v>
      </c>
      <c r="AK18" s="146">
        <v>4868</v>
      </c>
      <c r="AL18" s="146">
        <v>2548</v>
      </c>
      <c r="AM18" s="146">
        <v>2548</v>
      </c>
      <c r="AQ18" s="146">
        <v>20446</v>
      </c>
    </row>
    <row r="19" spans="1:43">
      <c r="A19" s="146" t="s">
        <v>839</v>
      </c>
      <c r="B19" s="146" t="s">
        <v>840</v>
      </c>
      <c r="C19" s="146" t="s">
        <v>880</v>
      </c>
      <c r="D19" s="146" t="s">
        <v>885</v>
      </c>
      <c r="E19" s="323" t="s">
        <v>854</v>
      </c>
      <c r="J19" s="146" t="s">
        <v>843</v>
      </c>
      <c r="K19" s="477">
        <v>141</v>
      </c>
      <c r="L19" s="146" t="s">
        <v>844</v>
      </c>
      <c r="M19" s="146" t="s">
        <v>341</v>
      </c>
      <c r="N19" s="477">
        <v>2.9</v>
      </c>
      <c r="O19" s="146" t="s">
        <v>845</v>
      </c>
      <c r="P19" s="477">
        <v>409</v>
      </c>
      <c r="Q19" s="478">
        <v>0</v>
      </c>
      <c r="R19" s="478">
        <v>409</v>
      </c>
      <c r="S19" s="479">
        <v>100</v>
      </c>
      <c r="T19" s="146">
        <v>0</v>
      </c>
      <c r="U19" s="479">
        <v>100</v>
      </c>
      <c r="V19" s="146">
        <v>0</v>
      </c>
      <c r="W19" s="146">
        <v>0</v>
      </c>
      <c r="X19" s="146">
        <v>0</v>
      </c>
      <c r="Y19" s="146">
        <v>0.85</v>
      </c>
      <c r="Z19" s="146">
        <v>0.53549999999999998</v>
      </c>
      <c r="AB19" s="146" t="s">
        <v>869</v>
      </c>
      <c r="AC19" s="158" t="s">
        <v>886</v>
      </c>
      <c r="AD19" s="146" t="s">
        <v>847</v>
      </c>
      <c r="AG19" s="146">
        <v>0</v>
      </c>
      <c r="AH19" s="146">
        <v>0</v>
      </c>
      <c r="AI19" s="146">
        <v>0</v>
      </c>
      <c r="AJ19" s="146">
        <v>348</v>
      </c>
      <c r="AK19" s="146">
        <v>348</v>
      </c>
      <c r="AL19" s="146">
        <v>0</v>
      </c>
      <c r="AM19" s="146">
        <v>0</v>
      </c>
      <c r="AQ19" s="146">
        <f t="shared" si="0"/>
        <v>0</v>
      </c>
    </row>
    <row r="20" spans="1:43">
      <c r="A20" s="146" t="s">
        <v>839</v>
      </c>
      <c r="B20" s="146" t="s">
        <v>840</v>
      </c>
      <c r="C20" s="146" t="s">
        <v>880</v>
      </c>
      <c r="D20" s="146" t="s">
        <v>887</v>
      </c>
      <c r="E20" s="323" t="s">
        <v>854</v>
      </c>
      <c r="J20" s="146" t="s">
        <v>843</v>
      </c>
      <c r="K20" s="477">
        <v>587</v>
      </c>
      <c r="L20" s="146" t="s">
        <v>844</v>
      </c>
      <c r="M20" s="146" t="s">
        <v>341</v>
      </c>
      <c r="N20" s="477">
        <v>2.8</v>
      </c>
      <c r="O20" s="146" t="s">
        <v>845</v>
      </c>
      <c r="P20" s="477">
        <v>1644</v>
      </c>
      <c r="Q20" s="478">
        <v>0</v>
      </c>
      <c r="R20" s="478">
        <v>1644</v>
      </c>
      <c r="S20" s="479">
        <v>92.09</v>
      </c>
      <c r="T20" s="146">
        <v>130</v>
      </c>
      <c r="U20" s="479">
        <v>100</v>
      </c>
      <c r="V20" s="146">
        <v>130</v>
      </c>
      <c r="W20" s="146">
        <v>0</v>
      </c>
      <c r="X20" s="146">
        <v>130</v>
      </c>
      <c r="Y20" s="146">
        <v>0.91</v>
      </c>
      <c r="Z20" s="146">
        <v>0.58590000000000009</v>
      </c>
      <c r="AB20" s="146" t="s">
        <v>869</v>
      </c>
      <c r="AC20" s="146" t="s">
        <v>888</v>
      </c>
      <c r="AD20" s="146" t="s">
        <v>847</v>
      </c>
      <c r="AG20" s="146">
        <v>118</v>
      </c>
      <c r="AH20" s="146">
        <v>76</v>
      </c>
      <c r="AI20" s="146">
        <v>0</v>
      </c>
      <c r="AJ20" s="146">
        <v>1496</v>
      </c>
      <c r="AK20" s="146">
        <v>1496</v>
      </c>
      <c r="AL20" s="146">
        <v>118</v>
      </c>
      <c r="AM20" s="146">
        <v>118</v>
      </c>
      <c r="AQ20" s="146">
        <f t="shared" si="0"/>
        <v>884</v>
      </c>
    </row>
    <row r="21" spans="1:43">
      <c r="A21" s="146" t="s">
        <v>839</v>
      </c>
      <c r="B21" s="146" t="s">
        <v>840</v>
      </c>
      <c r="C21" s="146" t="s">
        <v>889</v>
      </c>
      <c r="D21" s="146" t="s">
        <v>890</v>
      </c>
      <c r="E21" s="323" t="s">
        <v>854</v>
      </c>
      <c r="P21" s="477">
        <v>0</v>
      </c>
      <c r="Q21" s="478">
        <v>0</v>
      </c>
      <c r="R21" s="478">
        <v>0</v>
      </c>
      <c r="S21" s="479">
        <v>0</v>
      </c>
      <c r="T21" s="146">
        <v>0</v>
      </c>
      <c r="U21" s="479"/>
      <c r="V21" s="146">
        <v>0</v>
      </c>
      <c r="W21" s="146">
        <v>0</v>
      </c>
      <c r="X21" s="146">
        <v>0</v>
      </c>
      <c r="AF21" s="146" t="s">
        <v>891</v>
      </c>
      <c r="AG21" s="146">
        <v>0</v>
      </c>
      <c r="AH21" s="146">
        <v>0</v>
      </c>
      <c r="AI21" s="146">
        <v>0</v>
      </c>
      <c r="AJ21" s="146">
        <v>0</v>
      </c>
      <c r="AK21" s="146">
        <v>0</v>
      </c>
      <c r="AL21" s="146">
        <v>0</v>
      </c>
      <c r="AM21" s="146">
        <v>0</v>
      </c>
      <c r="AQ21" s="146">
        <f t="shared" si="0"/>
        <v>0</v>
      </c>
    </row>
    <row r="22" spans="1:43">
      <c r="A22" s="146" t="s">
        <v>839</v>
      </c>
      <c r="B22" s="146" t="s">
        <v>840</v>
      </c>
      <c r="C22" s="146" t="s">
        <v>892</v>
      </c>
      <c r="D22" s="320" t="s">
        <v>893</v>
      </c>
      <c r="E22" s="146" t="s">
        <v>862</v>
      </c>
      <c r="F22" s="146" t="s">
        <v>872</v>
      </c>
      <c r="G22" s="146">
        <v>2514</v>
      </c>
      <c r="H22" s="477">
        <v>3.5000000000000001E-3</v>
      </c>
      <c r="I22" s="146" t="s">
        <v>894</v>
      </c>
      <c r="P22" s="477">
        <v>9</v>
      </c>
      <c r="Q22" s="478">
        <v>0</v>
      </c>
      <c r="R22" s="478">
        <v>9</v>
      </c>
      <c r="S22" s="479"/>
      <c r="T22" s="146">
        <v>9</v>
      </c>
      <c r="U22" s="479">
        <v>10</v>
      </c>
      <c r="V22" s="146">
        <v>1</v>
      </c>
      <c r="W22" s="146">
        <v>0</v>
      </c>
      <c r="X22" s="146">
        <v>1</v>
      </c>
      <c r="Y22" s="146">
        <v>0.85</v>
      </c>
      <c r="Z22" s="477">
        <v>0.21279999999999999</v>
      </c>
      <c r="AA22" s="146">
        <v>250</v>
      </c>
      <c r="AB22" s="146" t="s">
        <v>895</v>
      </c>
      <c r="AC22" s="146" t="s">
        <v>896</v>
      </c>
      <c r="AG22" s="146">
        <v>1</v>
      </c>
      <c r="AH22" s="146">
        <v>0</v>
      </c>
      <c r="AI22" s="146">
        <v>250</v>
      </c>
      <c r="AJ22" s="146">
        <v>8</v>
      </c>
      <c r="AK22" s="146">
        <v>8</v>
      </c>
      <c r="AL22" s="146">
        <v>8</v>
      </c>
      <c r="AM22" s="146">
        <v>1</v>
      </c>
      <c r="AQ22" s="146">
        <f t="shared" si="0"/>
        <v>0</v>
      </c>
    </row>
    <row r="23" spans="1:43">
      <c r="A23" s="146" t="s">
        <v>839</v>
      </c>
      <c r="B23" s="146" t="s">
        <v>840</v>
      </c>
      <c r="C23" s="146" t="s">
        <v>892</v>
      </c>
      <c r="D23" s="320" t="s">
        <v>897</v>
      </c>
      <c r="E23" s="146" t="s">
        <v>862</v>
      </c>
      <c r="F23" s="146" t="s">
        <v>874</v>
      </c>
      <c r="G23" s="146">
        <v>544</v>
      </c>
      <c r="H23" s="477">
        <v>3.5000000000000001E-3</v>
      </c>
      <c r="I23" s="146" t="s">
        <v>894</v>
      </c>
      <c r="P23" s="477">
        <v>2</v>
      </c>
      <c r="Q23" s="478">
        <v>0</v>
      </c>
      <c r="R23" s="478">
        <v>2</v>
      </c>
      <c r="S23" s="479"/>
      <c r="T23" s="146">
        <v>2</v>
      </c>
      <c r="U23" s="479">
        <v>10</v>
      </c>
      <c r="V23" s="146">
        <v>0</v>
      </c>
      <c r="W23" s="146">
        <v>0</v>
      </c>
      <c r="X23" s="146">
        <v>0</v>
      </c>
      <c r="Y23" s="477">
        <v>0.85</v>
      </c>
      <c r="Z23" s="477">
        <v>0.21279999999999999</v>
      </c>
      <c r="AA23" s="146">
        <v>250</v>
      </c>
      <c r="AB23" s="146" t="s">
        <v>895</v>
      </c>
      <c r="AC23" s="146" t="s">
        <v>896</v>
      </c>
      <c r="AG23" s="146">
        <v>0</v>
      </c>
      <c r="AH23" s="146">
        <v>0</v>
      </c>
      <c r="AI23" s="146">
        <v>0</v>
      </c>
      <c r="AJ23" s="146">
        <v>2</v>
      </c>
      <c r="AK23" s="146">
        <v>2</v>
      </c>
      <c r="AL23" s="146">
        <v>2</v>
      </c>
      <c r="AM23" s="146">
        <v>0</v>
      </c>
      <c r="AQ23" s="146">
        <f t="shared" si="0"/>
        <v>0</v>
      </c>
    </row>
    <row r="24" spans="1:43">
      <c r="A24" s="146" t="s">
        <v>839</v>
      </c>
      <c r="B24" s="146" t="s">
        <v>840</v>
      </c>
      <c r="C24" s="146" t="s">
        <v>892</v>
      </c>
      <c r="D24" s="320" t="s">
        <v>898</v>
      </c>
      <c r="E24" s="146" t="s">
        <v>862</v>
      </c>
      <c r="F24" s="146" t="s">
        <v>875</v>
      </c>
      <c r="G24" s="146">
        <v>38672</v>
      </c>
      <c r="H24" s="477">
        <v>3.5000000000000001E-3</v>
      </c>
      <c r="I24" s="146" t="s">
        <v>894</v>
      </c>
      <c r="P24" s="477">
        <v>135</v>
      </c>
      <c r="Q24" s="478">
        <v>0</v>
      </c>
      <c r="R24" s="478">
        <v>135</v>
      </c>
      <c r="S24" s="479"/>
      <c r="T24" s="146">
        <v>135</v>
      </c>
      <c r="U24" s="479">
        <v>10</v>
      </c>
      <c r="V24" s="146">
        <v>14</v>
      </c>
      <c r="W24" s="146">
        <v>0</v>
      </c>
      <c r="X24" s="146">
        <v>14</v>
      </c>
      <c r="Y24" s="477">
        <v>0.85</v>
      </c>
      <c r="Z24" s="477">
        <v>0.21279999999999999</v>
      </c>
      <c r="AA24" s="146">
        <v>250</v>
      </c>
      <c r="AB24" s="146" t="s">
        <v>895</v>
      </c>
      <c r="AC24" s="146" t="s">
        <v>896</v>
      </c>
      <c r="AG24" s="146">
        <v>12</v>
      </c>
      <c r="AH24" s="146">
        <v>3</v>
      </c>
      <c r="AI24" s="146">
        <v>3500</v>
      </c>
      <c r="AJ24" s="146">
        <v>115</v>
      </c>
      <c r="AK24" s="146">
        <v>115</v>
      </c>
      <c r="AL24" s="146">
        <v>115</v>
      </c>
      <c r="AM24" s="146">
        <v>12</v>
      </c>
      <c r="AQ24" s="146">
        <f t="shared" si="0"/>
        <v>35</v>
      </c>
    </row>
    <row r="25" spans="1:43">
      <c r="A25" s="146" t="s">
        <v>839</v>
      </c>
      <c r="B25" s="146" t="s">
        <v>840</v>
      </c>
      <c r="C25" s="146" t="s">
        <v>899</v>
      </c>
      <c r="D25" s="320" t="s">
        <v>900</v>
      </c>
      <c r="E25" s="146" t="s">
        <v>862</v>
      </c>
      <c r="F25" s="146" t="s">
        <v>883</v>
      </c>
      <c r="G25" s="146">
        <v>5350</v>
      </c>
      <c r="H25" s="477">
        <v>1.7000000000000001E-2</v>
      </c>
      <c r="I25" s="146" t="s">
        <v>894</v>
      </c>
      <c r="P25" s="477">
        <v>91</v>
      </c>
      <c r="Q25" s="478">
        <v>0</v>
      </c>
      <c r="R25" s="478">
        <v>91</v>
      </c>
      <c r="S25" s="479"/>
      <c r="T25" s="146">
        <v>91</v>
      </c>
      <c r="U25" s="479">
        <v>10</v>
      </c>
      <c r="V25" s="146">
        <v>9</v>
      </c>
      <c r="W25" s="146">
        <v>0</v>
      </c>
      <c r="X25" s="146">
        <v>9</v>
      </c>
      <c r="Y25" s="146">
        <v>0.91</v>
      </c>
      <c r="Z25" s="477">
        <v>0.21279999999999999</v>
      </c>
      <c r="AA25" s="146">
        <v>250</v>
      </c>
      <c r="AB25" s="146" t="s">
        <v>895</v>
      </c>
      <c r="AC25" s="146" t="s">
        <v>896</v>
      </c>
      <c r="AG25" s="146">
        <v>8</v>
      </c>
      <c r="AH25" s="146">
        <v>2</v>
      </c>
      <c r="AI25" s="146">
        <v>2250</v>
      </c>
      <c r="AJ25" s="146">
        <v>83</v>
      </c>
      <c r="AK25" s="146">
        <v>83</v>
      </c>
      <c r="AL25" s="146">
        <v>83</v>
      </c>
      <c r="AM25" s="146">
        <v>8</v>
      </c>
      <c r="AQ25" s="146">
        <v>23</v>
      </c>
    </row>
    <row r="26" spans="1:43">
      <c r="A26" s="146" t="s">
        <v>839</v>
      </c>
      <c r="B26" s="146" t="s">
        <v>840</v>
      </c>
      <c r="C26" s="146" t="s">
        <v>901</v>
      </c>
      <c r="D26" s="320" t="s">
        <v>902</v>
      </c>
      <c r="E26" s="146" t="s">
        <v>862</v>
      </c>
      <c r="F26" s="146" t="s">
        <v>879</v>
      </c>
      <c r="G26" s="146">
        <v>14504</v>
      </c>
      <c r="H26" s="477">
        <v>8.0000000000000002E-3</v>
      </c>
      <c r="I26" s="146" t="s">
        <v>894</v>
      </c>
      <c r="P26" s="477">
        <v>116</v>
      </c>
      <c r="Q26" s="478">
        <v>0</v>
      </c>
      <c r="R26" s="478">
        <v>116</v>
      </c>
      <c r="S26" s="479"/>
      <c r="T26" s="146">
        <v>116</v>
      </c>
      <c r="U26" s="479">
        <v>10</v>
      </c>
      <c r="V26" s="146">
        <v>12</v>
      </c>
      <c r="W26" s="146">
        <v>0</v>
      </c>
      <c r="X26" s="146">
        <v>12</v>
      </c>
      <c r="Y26" s="146">
        <v>0.85</v>
      </c>
      <c r="Z26" s="477">
        <v>0.21279999999999999</v>
      </c>
      <c r="AA26" s="146">
        <v>250</v>
      </c>
      <c r="AB26" s="146" t="s">
        <v>895</v>
      </c>
      <c r="AC26" s="146" t="s">
        <v>896</v>
      </c>
      <c r="AG26" s="146">
        <v>10</v>
      </c>
      <c r="AH26" s="146">
        <v>3</v>
      </c>
      <c r="AI26" s="146">
        <v>3000</v>
      </c>
      <c r="AJ26" s="146">
        <v>99</v>
      </c>
      <c r="AK26" s="146">
        <v>99</v>
      </c>
      <c r="AL26" s="146">
        <v>99</v>
      </c>
      <c r="AM26" s="146">
        <v>10</v>
      </c>
      <c r="AQ26" s="146">
        <f t="shared" si="0"/>
        <v>35</v>
      </c>
    </row>
    <row r="27" spans="1:43">
      <c r="A27" s="146" t="s">
        <v>839</v>
      </c>
      <c r="B27" s="146" t="s">
        <v>840</v>
      </c>
      <c r="C27" s="146" t="s">
        <v>892</v>
      </c>
      <c r="D27" s="320" t="s">
        <v>903</v>
      </c>
      <c r="E27" s="146" t="s">
        <v>862</v>
      </c>
      <c r="F27" s="146" t="s">
        <v>876</v>
      </c>
      <c r="G27" s="146">
        <v>12078</v>
      </c>
      <c r="H27" s="477">
        <v>1.0999999999999999E-2</v>
      </c>
      <c r="I27" s="146" t="s">
        <v>894</v>
      </c>
      <c r="P27" s="477">
        <v>133</v>
      </c>
      <c r="Q27" s="478">
        <v>0</v>
      </c>
      <c r="R27" s="478">
        <v>133</v>
      </c>
      <c r="S27" s="479"/>
      <c r="T27" s="146">
        <v>133</v>
      </c>
      <c r="U27" s="479">
        <v>10</v>
      </c>
      <c r="V27" s="146">
        <v>13</v>
      </c>
      <c r="W27" s="146">
        <v>0</v>
      </c>
      <c r="X27" s="146">
        <v>13</v>
      </c>
      <c r="Y27" s="477">
        <v>0.85</v>
      </c>
      <c r="Z27" s="477">
        <v>0.21279999999999999</v>
      </c>
      <c r="AA27" s="146">
        <v>250</v>
      </c>
      <c r="AB27" s="146" t="s">
        <v>895</v>
      </c>
      <c r="AC27" s="146" t="s">
        <v>896</v>
      </c>
      <c r="AG27" s="146">
        <v>11</v>
      </c>
      <c r="AH27" s="146">
        <v>3</v>
      </c>
      <c r="AI27" s="146">
        <v>3250</v>
      </c>
      <c r="AJ27" s="146">
        <v>113</v>
      </c>
      <c r="AK27" s="146">
        <v>113</v>
      </c>
      <c r="AL27" s="146">
        <v>113</v>
      </c>
      <c r="AM27" s="146">
        <v>11</v>
      </c>
      <c r="AQ27" s="146">
        <f t="shared" si="0"/>
        <v>35</v>
      </c>
    </row>
    <row r="28" spans="1:43">
      <c r="A28" s="146" t="s">
        <v>839</v>
      </c>
      <c r="B28" s="146" t="s">
        <v>840</v>
      </c>
      <c r="C28" s="146" t="s">
        <v>892</v>
      </c>
      <c r="D28" s="320" t="s">
        <v>904</v>
      </c>
      <c r="E28" s="146" t="s">
        <v>862</v>
      </c>
      <c r="F28" s="146" t="s">
        <v>877</v>
      </c>
      <c r="G28" s="146">
        <v>110</v>
      </c>
      <c r="H28" s="477">
        <v>3.5000000000000001E-3</v>
      </c>
      <c r="I28" s="146" t="s">
        <v>894</v>
      </c>
      <c r="P28" s="477">
        <v>0</v>
      </c>
      <c r="Q28" s="478">
        <v>0</v>
      </c>
      <c r="R28" s="478">
        <v>0</v>
      </c>
      <c r="S28" s="479"/>
      <c r="T28" s="146">
        <v>0</v>
      </c>
      <c r="U28" s="479">
        <v>10</v>
      </c>
      <c r="V28" s="146">
        <v>0</v>
      </c>
      <c r="W28" s="146">
        <v>0</v>
      </c>
      <c r="X28" s="146">
        <v>0</v>
      </c>
      <c r="Y28" s="146">
        <v>0.85</v>
      </c>
      <c r="Z28" s="477">
        <v>0.21279999999999999</v>
      </c>
      <c r="AA28" s="146">
        <v>250</v>
      </c>
      <c r="AB28" s="146" t="s">
        <v>895</v>
      </c>
      <c r="AC28" s="146" t="s">
        <v>896</v>
      </c>
      <c r="AG28" s="146">
        <v>0</v>
      </c>
      <c r="AH28" s="146">
        <v>0</v>
      </c>
      <c r="AI28" s="146">
        <v>0</v>
      </c>
      <c r="AJ28" s="146">
        <v>0</v>
      </c>
      <c r="AK28" s="146">
        <v>0</v>
      </c>
      <c r="AL28" s="146">
        <v>0</v>
      </c>
      <c r="AM28" s="146">
        <v>0</v>
      </c>
      <c r="AQ28" s="146">
        <f t="shared" si="0"/>
        <v>0</v>
      </c>
    </row>
    <row r="29" spans="1:43">
      <c r="A29" s="146" t="s">
        <v>839</v>
      </c>
      <c r="B29" s="146" t="s">
        <v>840</v>
      </c>
      <c r="C29" s="146" t="s">
        <v>899</v>
      </c>
      <c r="D29" s="320" t="s">
        <v>905</v>
      </c>
      <c r="E29" s="146" t="s">
        <v>862</v>
      </c>
      <c r="F29" s="146" t="s">
        <v>906</v>
      </c>
      <c r="G29" s="146">
        <v>1644</v>
      </c>
      <c r="H29" s="477">
        <v>1.7000000000000001E-2</v>
      </c>
      <c r="I29" s="146" t="s">
        <v>894</v>
      </c>
      <c r="P29" s="477">
        <v>28</v>
      </c>
      <c r="Q29" s="478">
        <v>0</v>
      </c>
      <c r="R29" s="478">
        <v>28</v>
      </c>
      <c r="S29" s="479"/>
      <c r="T29" s="146">
        <v>28</v>
      </c>
      <c r="U29" s="479">
        <v>10</v>
      </c>
      <c r="V29" s="146">
        <v>3</v>
      </c>
      <c r="W29" s="146">
        <v>0</v>
      </c>
      <c r="X29" s="146">
        <v>3</v>
      </c>
      <c r="Y29" s="146">
        <v>0.91</v>
      </c>
      <c r="Z29" s="477">
        <v>0.21279999999999999</v>
      </c>
      <c r="AA29" s="146">
        <v>250</v>
      </c>
      <c r="AB29" s="146" t="s">
        <v>895</v>
      </c>
      <c r="AC29" s="146" t="s">
        <v>896</v>
      </c>
      <c r="AG29" s="146">
        <v>3</v>
      </c>
      <c r="AH29" s="146">
        <v>1</v>
      </c>
      <c r="AI29" s="146">
        <v>750</v>
      </c>
      <c r="AJ29" s="146">
        <v>25</v>
      </c>
      <c r="AK29" s="146">
        <v>25</v>
      </c>
      <c r="AL29" s="146">
        <v>25</v>
      </c>
      <c r="AM29" s="146">
        <v>3</v>
      </c>
      <c r="AQ29" s="146">
        <f t="shared" si="0"/>
        <v>12</v>
      </c>
    </row>
    <row r="30" spans="1:43">
      <c r="A30" s="146" t="s">
        <v>839</v>
      </c>
      <c r="B30" s="146" t="s">
        <v>840</v>
      </c>
      <c r="C30" s="146" t="s">
        <v>907</v>
      </c>
      <c r="D30" s="146" t="s">
        <v>907</v>
      </c>
      <c r="E30" s="146" t="s">
        <v>842</v>
      </c>
      <c r="J30" s="146" t="s">
        <v>843</v>
      </c>
      <c r="K30" s="146">
        <v>69.13</v>
      </c>
      <c r="L30" s="146" t="s">
        <v>844</v>
      </c>
      <c r="M30" s="146" t="s">
        <v>341</v>
      </c>
      <c r="N30" s="146">
        <v>6.9</v>
      </c>
      <c r="O30" s="146" t="s">
        <v>845</v>
      </c>
      <c r="P30" s="477">
        <v>477</v>
      </c>
      <c r="Q30" s="478">
        <v>0</v>
      </c>
      <c r="R30" s="478">
        <v>477</v>
      </c>
      <c r="S30" s="479">
        <v>0</v>
      </c>
      <c r="T30" s="146">
        <v>477</v>
      </c>
      <c r="U30" s="479">
        <v>100</v>
      </c>
      <c r="V30" s="146">
        <v>477</v>
      </c>
      <c r="W30" s="146">
        <v>0</v>
      </c>
      <c r="X30" s="146">
        <v>477</v>
      </c>
      <c r="Y30" s="146">
        <v>0.8</v>
      </c>
      <c r="Z30" s="146">
        <v>0.32800000000000001</v>
      </c>
      <c r="AB30" s="146" t="s">
        <v>851</v>
      </c>
      <c r="AF30" s="146" t="s">
        <v>852</v>
      </c>
      <c r="AG30" s="146">
        <v>382</v>
      </c>
      <c r="AH30" s="146">
        <v>156</v>
      </c>
      <c r="AI30" s="146">
        <v>0</v>
      </c>
      <c r="AJ30" s="146">
        <v>382</v>
      </c>
      <c r="AK30" s="146">
        <v>382</v>
      </c>
      <c r="AL30" s="146">
        <v>382</v>
      </c>
      <c r="AM30" s="146">
        <v>382</v>
      </c>
      <c r="AQ30" s="146">
        <f t="shared" si="0"/>
        <v>1814</v>
      </c>
    </row>
    <row r="31" spans="1:43">
      <c r="A31" s="146" t="s">
        <v>839</v>
      </c>
      <c r="B31" s="146" t="s">
        <v>908</v>
      </c>
      <c r="C31" s="146" t="s">
        <v>909</v>
      </c>
      <c r="D31" s="146" t="s">
        <v>910</v>
      </c>
      <c r="E31" s="146" t="s">
        <v>842</v>
      </c>
      <c r="J31" s="146" t="s">
        <v>911</v>
      </c>
      <c r="K31" s="477">
        <v>60036</v>
      </c>
      <c r="L31" s="146" t="s">
        <v>912</v>
      </c>
      <c r="M31" s="146" t="s">
        <v>913</v>
      </c>
      <c r="N31" s="477">
        <v>1.18E-2</v>
      </c>
      <c r="O31" s="146" t="s">
        <v>914</v>
      </c>
      <c r="P31" s="477">
        <v>708</v>
      </c>
      <c r="Q31" s="478">
        <v>23.6</v>
      </c>
      <c r="R31" s="478">
        <v>541</v>
      </c>
      <c r="S31" s="479">
        <v>0</v>
      </c>
      <c r="T31" s="146">
        <v>541</v>
      </c>
      <c r="U31" s="479">
        <v>5</v>
      </c>
      <c r="V31" s="146">
        <v>27</v>
      </c>
      <c r="W31" s="146">
        <v>0</v>
      </c>
      <c r="X31" s="146">
        <v>27</v>
      </c>
      <c r="Y31" s="477">
        <v>0.78</v>
      </c>
      <c r="Z31" s="477">
        <v>0.13089999999999999</v>
      </c>
      <c r="AA31" s="477">
        <v>154</v>
      </c>
      <c r="AB31" s="146" t="s">
        <v>915</v>
      </c>
      <c r="AC31" s="146" t="s">
        <v>916</v>
      </c>
      <c r="AG31" s="146">
        <v>21</v>
      </c>
      <c r="AH31" s="146">
        <v>4</v>
      </c>
      <c r="AI31" s="146">
        <v>4158</v>
      </c>
      <c r="AJ31" s="146">
        <v>552</v>
      </c>
      <c r="AK31" s="146">
        <v>422</v>
      </c>
      <c r="AL31" s="146">
        <v>422</v>
      </c>
      <c r="AM31" s="146">
        <v>21</v>
      </c>
      <c r="AQ31" s="146">
        <v>47</v>
      </c>
    </row>
    <row r="32" spans="1:43">
      <c r="A32" s="146" t="s">
        <v>839</v>
      </c>
      <c r="B32" s="146" t="s">
        <v>908</v>
      </c>
      <c r="C32" s="146" t="s">
        <v>909</v>
      </c>
      <c r="D32" s="146" t="s">
        <v>917</v>
      </c>
      <c r="E32" s="146" t="s">
        <v>842</v>
      </c>
      <c r="J32" s="146" t="s">
        <v>911</v>
      </c>
      <c r="K32" s="477">
        <v>43926</v>
      </c>
      <c r="L32" s="146" t="s">
        <v>912</v>
      </c>
      <c r="M32" s="146" t="s">
        <v>913</v>
      </c>
      <c r="N32" s="477">
        <v>0.01</v>
      </c>
      <c r="O32" s="146" t="s">
        <v>914</v>
      </c>
      <c r="P32" s="477">
        <v>439</v>
      </c>
      <c r="Q32" s="478">
        <v>0</v>
      </c>
      <c r="R32" s="478">
        <v>439</v>
      </c>
      <c r="S32" s="479">
        <v>0</v>
      </c>
      <c r="T32" s="146">
        <v>439</v>
      </c>
      <c r="U32" s="479">
        <v>5</v>
      </c>
      <c r="V32" s="146">
        <v>22</v>
      </c>
      <c r="W32" s="146">
        <v>0</v>
      </c>
      <c r="X32" s="146">
        <v>22</v>
      </c>
      <c r="Y32" s="477">
        <v>0.6</v>
      </c>
      <c r="Z32" s="477">
        <v>0.1226</v>
      </c>
      <c r="AA32" s="477">
        <v>144</v>
      </c>
      <c r="AB32" s="146" t="s">
        <v>915</v>
      </c>
      <c r="AC32" s="146" t="s">
        <v>918</v>
      </c>
      <c r="AD32" s="146" t="s">
        <v>856</v>
      </c>
      <c r="AG32" s="146">
        <v>13</v>
      </c>
      <c r="AH32" s="146">
        <v>3</v>
      </c>
      <c r="AI32" s="146">
        <v>3168</v>
      </c>
      <c r="AJ32" s="146">
        <v>263</v>
      </c>
      <c r="AK32" s="146">
        <v>263</v>
      </c>
      <c r="AL32" s="146">
        <v>263</v>
      </c>
      <c r="AM32" s="146">
        <v>13</v>
      </c>
      <c r="AQ32" s="146">
        <f t="shared" si="0"/>
        <v>35</v>
      </c>
    </row>
    <row r="33" spans="1:43">
      <c r="A33" s="146" t="s">
        <v>839</v>
      </c>
      <c r="B33" s="146" t="s">
        <v>908</v>
      </c>
      <c r="C33" s="146" t="s">
        <v>909</v>
      </c>
      <c r="D33" s="146" t="s">
        <v>919</v>
      </c>
      <c r="E33" s="146" t="s">
        <v>842</v>
      </c>
      <c r="J33" s="146" t="s">
        <v>911</v>
      </c>
      <c r="K33" s="477">
        <v>60036</v>
      </c>
      <c r="L33" s="146" t="s">
        <v>912</v>
      </c>
      <c r="M33" s="146" t="s">
        <v>913</v>
      </c>
      <c r="N33" s="477">
        <v>1.55E-2</v>
      </c>
      <c r="O33" s="146" t="s">
        <v>914</v>
      </c>
      <c r="P33" s="477">
        <v>931</v>
      </c>
      <c r="Q33" s="478">
        <v>0</v>
      </c>
      <c r="R33" s="478">
        <v>931</v>
      </c>
      <c r="S33" s="479">
        <v>0</v>
      </c>
      <c r="T33" s="146">
        <v>931</v>
      </c>
      <c r="U33" s="479">
        <v>5</v>
      </c>
      <c r="V33" s="146">
        <v>47</v>
      </c>
      <c r="W33" s="146">
        <v>0</v>
      </c>
      <c r="X33" s="146">
        <v>47</v>
      </c>
      <c r="Y33" s="477">
        <v>0.6</v>
      </c>
      <c r="Z33" s="477">
        <v>0.1226</v>
      </c>
      <c r="AA33" s="477">
        <v>144</v>
      </c>
      <c r="AB33" s="146" t="s">
        <v>915</v>
      </c>
      <c r="AC33" s="146" t="s">
        <v>918</v>
      </c>
      <c r="AD33" s="146" t="s">
        <v>856</v>
      </c>
      <c r="AG33" s="146">
        <v>28</v>
      </c>
      <c r="AH33" s="146">
        <v>6</v>
      </c>
      <c r="AI33" s="146">
        <v>6768</v>
      </c>
      <c r="AJ33" s="146">
        <v>559</v>
      </c>
      <c r="AK33" s="146">
        <v>559</v>
      </c>
      <c r="AL33" s="146">
        <v>559</v>
      </c>
      <c r="AM33" s="146">
        <v>28</v>
      </c>
      <c r="AQ33" s="146">
        <f t="shared" si="0"/>
        <v>70</v>
      </c>
    </row>
    <row r="34" spans="1:43">
      <c r="A34" s="146" t="s">
        <v>839</v>
      </c>
      <c r="B34" s="146" t="s">
        <v>908</v>
      </c>
      <c r="C34" s="146" t="s">
        <v>909</v>
      </c>
      <c r="D34" s="146" t="s">
        <v>920</v>
      </c>
      <c r="E34" s="146" t="s">
        <v>842</v>
      </c>
      <c r="J34" s="146" t="s">
        <v>911</v>
      </c>
      <c r="K34" s="477">
        <v>193777</v>
      </c>
      <c r="L34" s="146" t="s">
        <v>912</v>
      </c>
      <c r="M34" s="146" t="s">
        <v>913</v>
      </c>
      <c r="N34" s="477">
        <v>2.2000000000000001E-3</v>
      </c>
      <c r="O34" s="146" t="s">
        <v>914</v>
      </c>
      <c r="P34" s="477">
        <v>426</v>
      </c>
      <c r="Q34" s="478">
        <v>0</v>
      </c>
      <c r="R34" s="478">
        <v>426</v>
      </c>
      <c r="S34" s="479">
        <v>0</v>
      </c>
      <c r="T34" s="146">
        <v>426</v>
      </c>
      <c r="U34" s="479">
        <v>5</v>
      </c>
      <c r="V34" s="146">
        <v>21</v>
      </c>
      <c r="W34" s="146">
        <v>0</v>
      </c>
      <c r="X34" s="146">
        <v>21</v>
      </c>
      <c r="Y34" s="477">
        <v>0.6</v>
      </c>
      <c r="Z34" s="477">
        <v>0.1226</v>
      </c>
      <c r="AA34" s="477">
        <v>144</v>
      </c>
      <c r="AB34" s="146" t="s">
        <v>915</v>
      </c>
      <c r="AC34" s="146" t="s">
        <v>918</v>
      </c>
      <c r="AD34" s="146" t="s">
        <v>856</v>
      </c>
      <c r="AG34" s="146">
        <v>13</v>
      </c>
      <c r="AH34" s="146">
        <v>3</v>
      </c>
      <c r="AI34" s="146">
        <v>3024</v>
      </c>
      <c r="AJ34" s="146">
        <v>256</v>
      </c>
      <c r="AK34" s="146">
        <v>256</v>
      </c>
      <c r="AL34" s="146">
        <v>256</v>
      </c>
      <c r="AM34" s="146">
        <v>13</v>
      </c>
      <c r="AQ34" s="146">
        <f t="shared" si="0"/>
        <v>35</v>
      </c>
    </row>
    <row r="35" spans="1:43">
      <c r="A35" s="146" t="s">
        <v>839</v>
      </c>
      <c r="B35" s="146" t="s">
        <v>908</v>
      </c>
      <c r="C35" s="146" t="s">
        <v>909</v>
      </c>
      <c r="D35" s="146" t="s">
        <v>921</v>
      </c>
      <c r="E35" s="146" t="s">
        <v>842</v>
      </c>
      <c r="J35" s="146" t="s">
        <v>911</v>
      </c>
      <c r="K35" s="477">
        <v>5940</v>
      </c>
      <c r="L35" s="146" t="s">
        <v>912</v>
      </c>
      <c r="M35" s="146" t="s">
        <v>913</v>
      </c>
      <c r="N35" s="477">
        <v>5.4</v>
      </c>
      <c r="O35" s="146" t="s">
        <v>914</v>
      </c>
      <c r="P35" s="477">
        <v>32076</v>
      </c>
      <c r="Q35" s="478">
        <v>36.6</v>
      </c>
      <c r="R35" s="478">
        <v>20336</v>
      </c>
      <c r="S35" s="479">
        <v>0</v>
      </c>
      <c r="T35" s="146">
        <v>20336</v>
      </c>
      <c r="U35" s="479">
        <v>5</v>
      </c>
      <c r="V35" s="146">
        <v>1017</v>
      </c>
      <c r="W35" s="146">
        <v>0</v>
      </c>
      <c r="X35" s="146">
        <v>1017</v>
      </c>
      <c r="Y35" s="477">
        <v>0.24</v>
      </c>
      <c r="Z35" s="477">
        <v>2.47E-2</v>
      </c>
      <c r="AA35" s="477">
        <v>29</v>
      </c>
      <c r="AB35" s="146" t="s">
        <v>915</v>
      </c>
      <c r="AC35" s="146" t="s">
        <v>918</v>
      </c>
      <c r="AD35" s="146" t="s">
        <v>856</v>
      </c>
      <c r="AG35" s="146">
        <v>244</v>
      </c>
      <c r="AH35" s="146">
        <v>25</v>
      </c>
      <c r="AI35" s="146">
        <v>29493</v>
      </c>
      <c r="AJ35" s="146">
        <v>7698</v>
      </c>
      <c r="AK35" s="146">
        <v>4881</v>
      </c>
      <c r="AL35" s="146">
        <v>4881</v>
      </c>
      <c r="AM35" s="146">
        <v>244</v>
      </c>
      <c r="AQ35" s="146">
        <f t="shared" si="0"/>
        <v>291</v>
      </c>
    </row>
    <row r="36" spans="1:43">
      <c r="A36" s="146" t="s">
        <v>839</v>
      </c>
      <c r="B36" s="146" t="s">
        <v>908</v>
      </c>
      <c r="C36" s="146" t="s">
        <v>909</v>
      </c>
      <c r="D36" s="146" t="s">
        <v>922</v>
      </c>
      <c r="E36" s="146" t="s">
        <v>842</v>
      </c>
      <c r="J36" s="146" t="s">
        <v>911</v>
      </c>
      <c r="K36" s="477">
        <v>5251</v>
      </c>
      <c r="L36" s="146" t="s">
        <v>912</v>
      </c>
      <c r="M36" s="146" t="s">
        <v>913</v>
      </c>
      <c r="N36" s="477">
        <v>3.18</v>
      </c>
      <c r="O36" s="146" t="s">
        <v>914</v>
      </c>
      <c r="P36" s="477">
        <v>16698</v>
      </c>
      <c r="Q36" s="478">
        <v>36.6</v>
      </c>
      <c r="R36" s="478">
        <v>10587</v>
      </c>
      <c r="S36" s="479">
        <v>0</v>
      </c>
      <c r="T36" s="146">
        <v>10587</v>
      </c>
      <c r="U36" s="479">
        <v>5</v>
      </c>
      <c r="V36" s="146">
        <v>529</v>
      </c>
      <c r="W36" s="146">
        <v>0</v>
      </c>
      <c r="X36" s="146">
        <v>529</v>
      </c>
      <c r="Y36" s="477">
        <v>0.24</v>
      </c>
      <c r="Z36" s="477">
        <v>2.47E-2</v>
      </c>
      <c r="AA36" s="477">
        <v>29</v>
      </c>
      <c r="AB36" s="146" t="s">
        <v>915</v>
      </c>
      <c r="AC36" s="146" t="s">
        <v>918</v>
      </c>
      <c r="AD36" s="146" t="s">
        <v>856</v>
      </c>
      <c r="AG36" s="146">
        <v>127</v>
      </c>
      <c r="AH36" s="146">
        <v>13</v>
      </c>
      <c r="AI36" s="146">
        <v>15341</v>
      </c>
      <c r="AJ36" s="146">
        <v>4008</v>
      </c>
      <c r="AK36" s="146">
        <v>2541</v>
      </c>
      <c r="AL36" s="146">
        <v>2541</v>
      </c>
      <c r="AM36" s="146">
        <v>127</v>
      </c>
      <c r="AQ36" s="146">
        <v>151</v>
      </c>
    </row>
    <row r="37" spans="1:43">
      <c r="A37" s="146" t="s">
        <v>839</v>
      </c>
      <c r="B37" s="146" t="s">
        <v>908</v>
      </c>
      <c r="C37" s="146" t="s">
        <v>909</v>
      </c>
      <c r="D37" s="146" t="s">
        <v>923</v>
      </c>
      <c r="E37" s="146" t="s">
        <v>842</v>
      </c>
      <c r="J37" s="146" t="s">
        <v>911</v>
      </c>
      <c r="K37" s="146">
        <v>3594</v>
      </c>
      <c r="L37" s="146" t="s">
        <v>912</v>
      </c>
      <c r="M37" s="146" t="s">
        <v>913</v>
      </c>
      <c r="N37" s="146">
        <v>16.5</v>
      </c>
      <c r="O37" s="146" t="s">
        <v>914</v>
      </c>
      <c r="P37" s="477">
        <v>59301</v>
      </c>
      <c r="Q37" s="478">
        <v>36.6</v>
      </c>
      <c r="R37" s="478">
        <v>37597</v>
      </c>
      <c r="S37" s="479">
        <v>0</v>
      </c>
      <c r="T37" s="146">
        <v>37597</v>
      </c>
      <c r="U37" s="479">
        <v>5</v>
      </c>
      <c r="V37" s="146">
        <v>1880</v>
      </c>
      <c r="W37" s="146">
        <v>0</v>
      </c>
      <c r="X37" s="146">
        <v>1880</v>
      </c>
      <c r="Y37" s="477">
        <v>0.24</v>
      </c>
      <c r="Z37" s="477">
        <v>2.47E-2</v>
      </c>
      <c r="AA37" s="477">
        <v>29</v>
      </c>
      <c r="AB37" s="146" t="s">
        <v>915</v>
      </c>
      <c r="AC37" s="146" t="s">
        <v>918</v>
      </c>
      <c r="AD37" s="146" t="s">
        <v>856</v>
      </c>
      <c r="AG37" s="146">
        <v>451</v>
      </c>
      <c r="AH37" s="146">
        <v>46</v>
      </c>
      <c r="AI37" s="146">
        <v>54520</v>
      </c>
      <c r="AJ37" s="146">
        <v>14232</v>
      </c>
      <c r="AK37" s="146">
        <v>9023</v>
      </c>
      <c r="AL37" s="146">
        <v>9023</v>
      </c>
      <c r="AM37" s="146">
        <v>451</v>
      </c>
      <c r="AQ37" s="146">
        <f t="shared" si="0"/>
        <v>535</v>
      </c>
    </row>
    <row r="38" spans="1:43">
      <c r="A38" s="146" t="s">
        <v>839</v>
      </c>
      <c r="B38" s="146" t="s">
        <v>908</v>
      </c>
      <c r="C38" s="146" t="s">
        <v>909</v>
      </c>
      <c r="D38" s="146" t="s">
        <v>924</v>
      </c>
      <c r="E38" s="146" t="s">
        <v>842</v>
      </c>
      <c r="J38" s="146" t="s">
        <v>911</v>
      </c>
      <c r="K38" s="146">
        <v>4148</v>
      </c>
      <c r="L38" s="146" t="s">
        <v>912</v>
      </c>
      <c r="M38" s="146" t="s">
        <v>913</v>
      </c>
      <c r="N38" s="146">
        <v>0</v>
      </c>
      <c r="O38" s="146" t="s">
        <v>914</v>
      </c>
      <c r="P38" s="477">
        <v>0</v>
      </c>
      <c r="Q38" s="478">
        <v>36.6</v>
      </c>
      <c r="R38" s="478">
        <v>0</v>
      </c>
      <c r="S38" s="479">
        <v>0</v>
      </c>
      <c r="T38" s="146">
        <v>0</v>
      </c>
      <c r="U38" s="479">
        <v>5</v>
      </c>
      <c r="V38" s="146">
        <v>0</v>
      </c>
      <c r="W38" s="146">
        <v>0</v>
      </c>
      <c r="X38" s="146">
        <v>0</v>
      </c>
      <c r="Y38" s="477">
        <v>0.24</v>
      </c>
      <c r="Z38" s="477">
        <v>2.47E-2</v>
      </c>
      <c r="AA38" s="477">
        <v>29</v>
      </c>
      <c r="AB38" s="146" t="s">
        <v>915</v>
      </c>
      <c r="AC38" s="146" t="s">
        <v>918</v>
      </c>
      <c r="AD38" s="146" t="s">
        <v>856</v>
      </c>
      <c r="AG38" s="146">
        <v>0</v>
      </c>
      <c r="AH38" s="146">
        <v>0</v>
      </c>
      <c r="AI38" s="146">
        <v>0</v>
      </c>
      <c r="AJ38" s="146">
        <v>0</v>
      </c>
      <c r="AK38" s="146">
        <v>0</v>
      </c>
      <c r="AL38" s="146">
        <v>0</v>
      </c>
      <c r="AM38" s="146">
        <v>0</v>
      </c>
      <c r="AQ38" s="146">
        <f t="shared" si="0"/>
        <v>0</v>
      </c>
    </row>
    <row r="39" spans="1:43">
      <c r="A39" s="146" t="s">
        <v>839</v>
      </c>
      <c r="B39" s="146" t="s">
        <v>908</v>
      </c>
      <c r="C39" s="146" t="s">
        <v>909</v>
      </c>
      <c r="D39" s="146" t="s">
        <v>925</v>
      </c>
      <c r="E39" s="146" t="s">
        <v>842</v>
      </c>
      <c r="J39" s="146" t="s">
        <v>911</v>
      </c>
      <c r="K39" s="477">
        <v>1264</v>
      </c>
      <c r="L39" s="146" t="s">
        <v>912</v>
      </c>
      <c r="M39" s="146" t="s">
        <v>913</v>
      </c>
      <c r="N39" s="477">
        <v>5</v>
      </c>
      <c r="O39" s="146" t="s">
        <v>914</v>
      </c>
      <c r="P39" s="477">
        <v>6320</v>
      </c>
      <c r="Q39" s="478">
        <v>81.099999999999994</v>
      </c>
      <c r="R39" s="478">
        <v>1194</v>
      </c>
      <c r="S39" s="479">
        <v>0</v>
      </c>
      <c r="T39" s="146">
        <v>1194</v>
      </c>
      <c r="U39" s="479">
        <v>5</v>
      </c>
      <c r="V39" s="146">
        <v>60</v>
      </c>
      <c r="W39" s="146">
        <v>0</v>
      </c>
      <c r="X39" s="146">
        <v>60</v>
      </c>
      <c r="Y39" s="477">
        <v>0.45</v>
      </c>
      <c r="Z39" s="477">
        <v>7.0699999999999999E-2</v>
      </c>
      <c r="AA39" s="477">
        <v>83</v>
      </c>
      <c r="AB39" s="146" t="s">
        <v>915</v>
      </c>
      <c r="AC39" s="146" t="s">
        <v>918</v>
      </c>
      <c r="AD39" s="146" t="s">
        <v>856</v>
      </c>
      <c r="AG39" s="146">
        <v>27</v>
      </c>
      <c r="AH39" s="146">
        <v>4</v>
      </c>
      <c r="AI39" s="146">
        <v>4980</v>
      </c>
      <c r="AJ39" s="146">
        <v>2844</v>
      </c>
      <c r="AK39" s="146">
        <v>537</v>
      </c>
      <c r="AL39" s="146">
        <v>537</v>
      </c>
      <c r="AM39" s="146">
        <v>27</v>
      </c>
      <c r="AQ39" s="146">
        <f t="shared" si="0"/>
        <v>47</v>
      </c>
    </row>
    <row r="40" spans="1:43">
      <c r="A40" s="146" t="s">
        <v>839</v>
      </c>
      <c r="B40" s="146" t="s">
        <v>908</v>
      </c>
      <c r="C40" s="146" t="s">
        <v>909</v>
      </c>
      <c r="D40" s="146" t="s">
        <v>926</v>
      </c>
      <c r="E40" s="146" t="s">
        <v>842</v>
      </c>
      <c r="J40" s="146" t="s">
        <v>911</v>
      </c>
      <c r="K40" s="477">
        <v>562</v>
      </c>
      <c r="L40" s="146" t="s">
        <v>912</v>
      </c>
      <c r="M40" s="146" t="s">
        <v>913</v>
      </c>
      <c r="N40" s="477">
        <v>10</v>
      </c>
      <c r="O40" s="146" t="s">
        <v>914</v>
      </c>
      <c r="P40" s="477">
        <v>5620</v>
      </c>
      <c r="Q40" s="478">
        <v>32.1</v>
      </c>
      <c r="R40" s="478">
        <v>3816</v>
      </c>
      <c r="S40" s="479">
        <v>0</v>
      </c>
      <c r="T40" s="146">
        <v>3816</v>
      </c>
      <c r="U40" s="479">
        <v>5</v>
      </c>
      <c r="V40" s="146">
        <v>191</v>
      </c>
      <c r="W40" s="146">
        <v>0</v>
      </c>
      <c r="X40" s="146">
        <v>191</v>
      </c>
      <c r="Y40" s="477">
        <v>0.45</v>
      </c>
      <c r="Z40" s="477">
        <v>0.1013</v>
      </c>
      <c r="AA40" s="477">
        <v>119</v>
      </c>
      <c r="AB40" s="146" t="s">
        <v>915</v>
      </c>
      <c r="AC40" s="146" t="s">
        <v>916</v>
      </c>
      <c r="AG40" s="146">
        <v>86</v>
      </c>
      <c r="AH40" s="146">
        <v>19</v>
      </c>
      <c r="AI40" s="146">
        <v>22729</v>
      </c>
      <c r="AJ40" s="146">
        <v>2529</v>
      </c>
      <c r="AK40" s="146">
        <v>1717</v>
      </c>
      <c r="AL40" s="146">
        <v>1717</v>
      </c>
      <c r="AM40" s="146">
        <v>86</v>
      </c>
      <c r="AQ40" s="146">
        <f t="shared" si="0"/>
        <v>221</v>
      </c>
    </row>
    <row r="41" spans="1:43">
      <c r="A41" s="146" t="s">
        <v>839</v>
      </c>
      <c r="B41" s="146" t="s">
        <v>908</v>
      </c>
      <c r="C41" s="146" t="s">
        <v>909</v>
      </c>
      <c r="D41" s="146" t="s">
        <v>927</v>
      </c>
      <c r="E41" s="146" t="s">
        <v>842</v>
      </c>
      <c r="J41" s="146" t="s">
        <v>911</v>
      </c>
      <c r="K41" s="477">
        <v>6904</v>
      </c>
      <c r="L41" s="146" t="s">
        <v>912</v>
      </c>
      <c r="M41" s="146" t="s">
        <v>913</v>
      </c>
      <c r="N41" s="477">
        <v>5</v>
      </c>
      <c r="O41" s="146" t="s">
        <v>914</v>
      </c>
      <c r="P41" s="477">
        <v>34520</v>
      </c>
      <c r="Q41" s="478">
        <v>95.3</v>
      </c>
      <c r="R41" s="478">
        <v>1622</v>
      </c>
      <c r="S41" s="479">
        <v>0</v>
      </c>
      <c r="T41" s="146">
        <v>1622</v>
      </c>
      <c r="U41" s="479">
        <v>5</v>
      </c>
      <c r="V41" s="146">
        <v>81</v>
      </c>
      <c r="W41" s="146">
        <v>0</v>
      </c>
      <c r="X41" s="146">
        <v>81</v>
      </c>
      <c r="Y41" s="477">
        <v>0.45</v>
      </c>
      <c r="Z41" s="477">
        <v>4.9399999999999999E-2</v>
      </c>
      <c r="AA41" s="477">
        <v>58</v>
      </c>
      <c r="AB41" s="146" t="s">
        <v>915</v>
      </c>
      <c r="AC41" s="146" t="s">
        <v>916</v>
      </c>
      <c r="AG41" s="146">
        <v>36</v>
      </c>
      <c r="AH41" s="146">
        <v>4</v>
      </c>
      <c r="AI41" s="146">
        <v>4698</v>
      </c>
      <c r="AJ41" s="146">
        <v>15534</v>
      </c>
      <c r="AK41" s="146">
        <v>730</v>
      </c>
      <c r="AL41" s="146">
        <v>730</v>
      </c>
      <c r="AM41" s="146">
        <v>36</v>
      </c>
      <c r="AQ41" s="146">
        <f t="shared" si="0"/>
        <v>47</v>
      </c>
    </row>
    <row r="42" spans="1:43">
      <c r="A42" s="146" t="s">
        <v>839</v>
      </c>
      <c r="B42" s="146" t="s">
        <v>908</v>
      </c>
      <c r="C42" s="146" t="s">
        <v>909</v>
      </c>
      <c r="D42" s="146" t="s">
        <v>928</v>
      </c>
      <c r="E42" s="146" t="s">
        <v>842</v>
      </c>
      <c r="J42" s="146" t="s">
        <v>911</v>
      </c>
      <c r="K42" s="477">
        <v>7293</v>
      </c>
      <c r="L42" s="146" t="s">
        <v>912</v>
      </c>
      <c r="M42" s="146" t="s">
        <v>913</v>
      </c>
      <c r="N42" s="477">
        <v>0.24199999999999999</v>
      </c>
      <c r="O42" s="146" t="s">
        <v>914</v>
      </c>
      <c r="P42" s="477">
        <v>1765</v>
      </c>
      <c r="Q42" s="478">
        <v>82.6</v>
      </c>
      <c r="R42" s="478">
        <v>307</v>
      </c>
      <c r="S42" s="479">
        <v>0</v>
      </c>
      <c r="T42" s="146">
        <v>307</v>
      </c>
      <c r="U42" s="479">
        <v>5</v>
      </c>
      <c r="V42" s="146">
        <v>15</v>
      </c>
      <c r="W42" s="146">
        <v>0</v>
      </c>
      <c r="X42" s="146">
        <v>15</v>
      </c>
      <c r="Y42" s="477">
        <v>0.28999999999999998</v>
      </c>
      <c r="Z42" s="477">
        <v>4.9399999999999999E-2</v>
      </c>
      <c r="AA42" s="477">
        <v>58</v>
      </c>
      <c r="AB42" s="146" t="s">
        <v>929</v>
      </c>
      <c r="AC42" s="146" t="s">
        <v>918</v>
      </c>
      <c r="AD42" s="146" t="s">
        <v>856</v>
      </c>
      <c r="AG42" s="146">
        <v>4</v>
      </c>
      <c r="AH42" s="146">
        <v>1</v>
      </c>
      <c r="AI42" s="146">
        <v>870</v>
      </c>
      <c r="AJ42" s="146">
        <v>512</v>
      </c>
      <c r="AK42" s="146">
        <v>89</v>
      </c>
      <c r="AL42" s="146">
        <v>89</v>
      </c>
      <c r="AM42" s="146">
        <v>4</v>
      </c>
      <c r="AQ42" s="146">
        <f t="shared" si="0"/>
        <v>12</v>
      </c>
    </row>
    <row r="43" spans="1:43">
      <c r="A43" s="146" t="s">
        <v>839</v>
      </c>
      <c r="B43" s="146" t="s">
        <v>908</v>
      </c>
      <c r="C43" s="146" t="s">
        <v>909</v>
      </c>
      <c r="D43" s="146" t="s">
        <v>930</v>
      </c>
      <c r="E43" s="146" t="s">
        <v>842</v>
      </c>
      <c r="J43" s="146" t="s">
        <v>911</v>
      </c>
      <c r="K43" s="477">
        <v>4810</v>
      </c>
      <c r="L43" s="146" t="s">
        <v>912</v>
      </c>
      <c r="M43" s="146" t="s">
        <v>913</v>
      </c>
      <c r="N43" s="477">
        <v>3.5999999999999997E-2</v>
      </c>
      <c r="O43" s="146" t="s">
        <v>914</v>
      </c>
      <c r="P43" s="477">
        <v>173</v>
      </c>
      <c r="Q43" s="478">
        <v>82.6</v>
      </c>
      <c r="R43" s="478">
        <v>30</v>
      </c>
      <c r="S43" s="479">
        <v>0</v>
      </c>
      <c r="T43" s="146">
        <v>30</v>
      </c>
      <c r="U43" s="479">
        <v>5</v>
      </c>
      <c r="V43" s="146">
        <v>2</v>
      </c>
      <c r="W43" s="146">
        <v>0</v>
      </c>
      <c r="X43" s="146">
        <v>2</v>
      </c>
      <c r="Y43" s="477">
        <v>0.28999999999999998</v>
      </c>
      <c r="Z43" s="477">
        <v>4.9399999999999999E-2</v>
      </c>
      <c r="AA43" s="477">
        <v>58</v>
      </c>
      <c r="AB43" s="146" t="s">
        <v>929</v>
      </c>
      <c r="AC43" s="146" t="s">
        <v>918</v>
      </c>
      <c r="AD43" s="146" t="s">
        <v>856</v>
      </c>
      <c r="AG43" s="146">
        <v>1</v>
      </c>
      <c r="AH43" s="146">
        <v>0</v>
      </c>
      <c r="AI43" s="146">
        <v>116</v>
      </c>
      <c r="AJ43" s="146">
        <v>50</v>
      </c>
      <c r="AK43" s="146">
        <v>9</v>
      </c>
      <c r="AL43" s="146">
        <v>9</v>
      </c>
      <c r="AM43" s="146">
        <v>1</v>
      </c>
      <c r="AQ43" s="146">
        <f t="shared" si="0"/>
        <v>0</v>
      </c>
    </row>
    <row r="44" spans="1:43">
      <c r="A44" s="146" t="s">
        <v>839</v>
      </c>
      <c r="B44" s="146" t="s">
        <v>908</v>
      </c>
      <c r="C44" s="146" t="s">
        <v>909</v>
      </c>
      <c r="D44" s="146" t="s">
        <v>931</v>
      </c>
      <c r="E44" s="146" t="s">
        <v>842</v>
      </c>
      <c r="J44" s="146" t="s">
        <v>911</v>
      </c>
      <c r="K44" s="477">
        <v>985</v>
      </c>
      <c r="L44" s="146" t="s">
        <v>912</v>
      </c>
      <c r="M44" s="146" t="s">
        <v>913</v>
      </c>
      <c r="N44" s="477">
        <v>1.7629999999999999</v>
      </c>
      <c r="O44" s="146" t="s">
        <v>914</v>
      </c>
      <c r="P44" s="477">
        <v>1737</v>
      </c>
      <c r="Q44" s="478">
        <v>82.6</v>
      </c>
      <c r="R44" s="478">
        <v>302</v>
      </c>
      <c r="S44" s="479">
        <v>0</v>
      </c>
      <c r="T44" s="146">
        <v>302</v>
      </c>
      <c r="U44" s="479">
        <v>5</v>
      </c>
      <c r="V44" s="146">
        <v>15</v>
      </c>
      <c r="W44" s="146">
        <v>0</v>
      </c>
      <c r="X44" s="146">
        <v>15</v>
      </c>
      <c r="Y44" s="477">
        <v>0.28999999999999998</v>
      </c>
      <c r="Z44" s="477">
        <v>4.9399999999999999E-2</v>
      </c>
      <c r="AA44" s="477">
        <v>58</v>
      </c>
      <c r="AB44" s="146" t="s">
        <v>929</v>
      </c>
      <c r="AC44" s="146" t="s">
        <v>918</v>
      </c>
      <c r="AD44" s="146" t="s">
        <v>856</v>
      </c>
      <c r="AG44" s="146">
        <v>4</v>
      </c>
      <c r="AH44" s="146">
        <v>1</v>
      </c>
      <c r="AI44" s="146">
        <v>870</v>
      </c>
      <c r="AJ44" s="146">
        <v>504</v>
      </c>
      <c r="AK44" s="146">
        <v>88</v>
      </c>
      <c r="AL44" s="146">
        <v>88</v>
      </c>
      <c r="AM44" s="146">
        <v>4</v>
      </c>
      <c r="AQ44" s="146">
        <v>12</v>
      </c>
    </row>
    <row r="45" spans="1:43">
      <c r="A45" s="146" t="s">
        <v>839</v>
      </c>
      <c r="B45" s="146" t="s">
        <v>908</v>
      </c>
      <c r="C45" s="146" t="s">
        <v>909</v>
      </c>
      <c r="D45" s="146" t="s">
        <v>932</v>
      </c>
      <c r="E45" s="146" t="s">
        <v>842</v>
      </c>
      <c r="J45" s="146" t="s">
        <v>911</v>
      </c>
      <c r="K45" s="477">
        <v>5940</v>
      </c>
      <c r="L45" s="146" t="s">
        <v>912</v>
      </c>
      <c r="M45" s="146" t="s">
        <v>913</v>
      </c>
      <c r="N45" s="477">
        <v>6.67</v>
      </c>
      <c r="O45" s="146" t="s">
        <v>914</v>
      </c>
      <c r="P45" s="477">
        <v>39620</v>
      </c>
      <c r="Q45" s="478">
        <v>82.2</v>
      </c>
      <c r="R45" s="478">
        <v>7052</v>
      </c>
      <c r="S45" s="479">
        <v>0</v>
      </c>
      <c r="T45" s="146">
        <v>7052</v>
      </c>
      <c r="U45" s="479">
        <v>5</v>
      </c>
      <c r="V45" s="146">
        <v>353</v>
      </c>
      <c r="W45" s="146">
        <v>0</v>
      </c>
      <c r="X45" s="146">
        <v>353</v>
      </c>
      <c r="Y45" s="477">
        <v>0.06</v>
      </c>
      <c r="Z45" s="477">
        <v>1.3599999999999999E-2</v>
      </c>
      <c r="AA45" s="477">
        <v>16</v>
      </c>
      <c r="AB45" s="146" t="s">
        <v>915</v>
      </c>
      <c r="AC45" s="146" t="s">
        <v>918</v>
      </c>
      <c r="AD45" s="146" t="s">
        <v>856</v>
      </c>
      <c r="AG45" s="146">
        <v>21</v>
      </c>
      <c r="AH45" s="146">
        <v>5</v>
      </c>
      <c r="AI45" s="146">
        <v>5648</v>
      </c>
      <c r="AJ45" s="146">
        <v>2377</v>
      </c>
      <c r="AK45" s="146">
        <v>423</v>
      </c>
      <c r="AL45" s="146">
        <v>423</v>
      </c>
      <c r="AM45" s="146">
        <v>21</v>
      </c>
      <c r="AQ45" s="146">
        <f t="shared" si="0"/>
        <v>58</v>
      </c>
    </row>
    <row r="46" spans="1:43">
      <c r="A46" s="146" t="s">
        <v>839</v>
      </c>
      <c r="B46" s="146" t="s">
        <v>908</v>
      </c>
      <c r="C46" s="146" t="s">
        <v>909</v>
      </c>
      <c r="D46" s="146" t="s">
        <v>933</v>
      </c>
      <c r="E46" s="146" t="s">
        <v>842</v>
      </c>
      <c r="J46" s="146" t="s">
        <v>911</v>
      </c>
      <c r="K46" s="477">
        <v>5251</v>
      </c>
      <c r="L46" s="146" t="s">
        <v>912</v>
      </c>
      <c r="M46" s="146" t="s">
        <v>913</v>
      </c>
      <c r="N46" s="477">
        <v>0</v>
      </c>
      <c r="O46" s="146" t="s">
        <v>914</v>
      </c>
      <c r="P46" s="477">
        <v>0</v>
      </c>
      <c r="Q46" s="478">
        <v>82.2</v>
      </c>
      <c r="R46" s="478">
        <v>0</v>
      </c>
      <c r="S46" s="479">
        <v>0</v>
      </c>
      <c r="T46" s="146">
        <v>0</v>
      </c>
      <c r="U46" s="479">
        <v>5</v>
      </c>
      <c r="V46" s="146">
        <v>0</v>
      </c>
      <c r="W46" s="146">
        <v>0</v>
      </c>
      <c r="X46" s="146">
        <v>0</v>
      </c>
      <c r="Y46" s="477">
        <v>0.06</v>
      </c>
      <c r="Z46" s="477">
        <v>1.3599999999999999E-2</v>
      </c>
      <c r="AA46" s="477">
        <v>16</v>
      </c>
      <c r="AB46" s="146" t="s">
        <v>915</v>
      </c>
      <c r="AC46" s="146" t="s">
        <v>918</v>
      </c>
      <c r="AD46" s="146" t="s">
        <v>856</v>
      </c>
      <c r="AG46" s="146">
        <v>0</v>
      </c>
      <c r="AH46" s="146">
        <v>0</v>
      </c>
      <c r="AI46" s="146">
        <v>0</v>
      </c>
      <c r="AJ46" s="146">
        <v>0</v>
      </c>
      <c r="AK46" s="146">
        <v>0</v>
      </c>
      <c r="AL46" s="146">
        <v>0</v>
      </c>
      <c r="AM46" s="146">
        <v>0</v>
      </c>
      <c r="AQ46" s="146">
        <f t="shared" si="0"/>
        <v>0</v>
      </c>
    </row>
    <row r="47" spans="1:43">
      <c r="A47" s="146" t="s">
        <v>839</v>
      </c>
      <c r="B47" s="146" t="s">
        <v>908</v>
      </c>
      <c r="C47" s="146" t="s">
        <v>909</v>
      </c>
      <c r="D47" s="146" t="s">
        <v>934</v>
      </c>
      <c r="E47" s="146" t="s">
        <v>842</v>
      </c>
      <c r="J47" s="146" t="s">
        <v>911</v>
      </c>
      <c r="K47" s="477">
        <v>3594</v>
      </c>
      <c r="L47" s="146" t="s">
        <v>912</v>
      </c>
      <c r="M47" s="146" t="s">
        <v>913</v>
      </c>
      <c r="N47" s="477">
        <v>2.2250000000000001</v>
      </c>
      <c r="O47" s="146" t="s">
        <v>914</v>
      </c>
      <c r="P47" s="477">
        <v>7997</v>
      </c>
      <c r="Q47" s="478">
        <v>82.2</v>
      </c>
      <c r="R47" s="478">
        <v>1423</v>
      </c>
      <c r="S47" s="479">
        <v>0</v>
      </c>
      <c r="T47" s="146">
        <v>1423</v>
      </c>
      <c r="U47" s="479">
        <v>5</v>
      </c>
      <c r="V47" s="146">
        <v>71</v>
      </c>
      <c r="W47" s="146">
        <v>0</v>
      </c>
      <c r="X47" s="146">
        <v>71</v>
      </c>
      <c r="Y47" s="477">
        <v>0.06</v>
      </c>
      <c r="Z47" s="477">
        <v>1.3599999999999999E-2</v>
      </c>
      <c r="AA47" s="477">
        <v>16</v>
      </c>
      <c r="AB47" s="146" t="s">
        <v>915</v>
      </c>
      <c r="AC47" s="146" t="s">
        <v>918</v>
      </c>
      <c r="AD47" s="146" t="s">
        <v>856</v>
      </c>
      <c r="AG47" s="146">
        <v>4</v>
      </c>
      <c r="AH47" s="146">
        <v>1</v>
      </c>
      <c r="AI47" s="146">
        <v>1136</v>
      </c>
      <c r="AJ47" s="146">
        <v>480</v>
      </c>
      <c r="AK47" s="146">
        <v>85</v>
      </c>
      <c r="AL47" s="146">
        <v>85</v>
      </c>
      <c r="AM47" s="146">
        <v>4</v>
      </c>
      <c r="AQ47" s="146">
        <f t="shared" si="0"/>
        <v>12</v>
      </c>
    </row>
    <row r="48" spans="1:43">
      <c r="A48" s="146" t="s">
        <v>839</v>
      </c>
      <c r="B48" s="146" t="s">
        <v>908</v>
      </c>
      <c r="C48" s="146" t="s">
        <v>909</v>
      </c>
      <c r="D48" s="146" t="s">
        <v>935</v>
      </c>
      <c r="E48" s="146" t="s">
        <v>842</v>
      </c>
      <c r="J48" s="146" t="s">
        <v>911</v>
      </c>
      <c r="K48" s="477">
        <v>4148</v>
      </c>
      <c r="L48" s="146" t="s">
        <v>912</v>
      </c>
      <c r="M48" s="146" t="s">
        <v>913</v>
      </c>
      <c r="N48" s="477">
        <v>12.85</v>
      </c>
      <c r="O48" s="146" t="s">
        <v>914</v>
      </c>
      <c r="P48" s="477">
        <v>53302</v>
      </c>
      <c r="Q48" s="478">
        <v>82.2</v>
      </c>
      <c r="R48" s="478">
        <v>9488</v>
      </c>
      <c r="S48" s="479">
        <v>0</v>
      </c>
      <c r="T48" s="146">
        <v>9488</v>
      </c>
      <c r="U48" s="479">
        <v>5</v>
      </c>
      <c r="V48" s="146">
        <v>474</v>
      </c>
      <c r="W48" s="146">
        <v>0</v>
      </c>
      <c r="X48" s="146">
        <v>474</v>
      </c>
      <c r="Y48" s="477">
        <v>0.06</v>
      </c>
      <c r="Z48" s="477">
        <v>1.3599999999999999E-2</v>
      </c>
      <c r="AA48" s="477">
        <v>16</v>
      </c>
      <c r="AB48" s="146" t="s">
        <v>915</v>
      </c>
      <c r="AC48" s="146" t="s">
        <v>918</v>
      </c>
      <c r="AD48" s="146" t="s">
        <v>856</v>
      </c>
      <c r="AG48" s="146">
        <v>28</v>
      </c>
      <c r="AH48" s="146">
        <v>6</v>
      </c>
      <c r="AI48" s="146">
        <v>7584</v>
      </c>
      <c r="AJ48" s="146">
        <v>3198</v>
      </c>
      <c r="AK48" s="146">
        <v>569</v>
      </c>
      <c r="AL48" s="146">
        <v>569</v>
      </c>
      <c r="AM48" s="146">
        <v>28</v>
      </c>
      <c r="AQ48" s="146">
        <f t="shared" si="0"/>
        <v>70</v>
      </c>
    </row>
    <row r="49" spans="1:43">
      <c r="A49" s="146" t="s">
        <v>839</v>
      </c>
      <c r="B49" s="146" t="s">
        <v>908</v>
      </c>
      <c r="C49" s="146" t="s">
        <v>909</v>
      </c>
      <c r="D49" s="146" t="s">
        <v>936</v>
      </c>
      <c r="E49" s="146" t="s">
        <v>842</v>
      </c>
      <c r="J49" s="146" t="s">
        <v>911</v>
      </c>
      <c r="K49" s="477">
        <v>7293</v>
      </c>
      <c r="L49" s="146" t="s">
        <v>912</v>
      </c>
      <c r="M49" s="146" t="s">
        <v>913</v>
      </c>
      <c r="N49" s="477">
        <v>0.49</v>
      </c>
      <c r="O49" s="146" t="s">
        <v>914</v>
      </c>
      <c r="P49" s="477">
        <v>3574</v>
      </c>
      <c r="Q49" s="478">
        <v>0</v>
      </c>
      <c r="R49" s="478">
        <v>3574</v>
      </c>
      <c r="S49" s="479">
        <v>0</v>
      </c>
      <c r="T49" s="146">
        <v>3574</v>
      </c>
      <c r="U49" s="479">
        <v>5</v>
      </c>
      <c r="V49" s="146">
        <v>179</v>
      </c>
      <c r="W49" s="146">
        <v>0</v>
      </c>
      <c r="X49" s="146">
        <v>179</v>
      </c>
      <c r="Y49" s="477">
        <v>0.05</v>
      </c>
      <c r="Z49" s="477">
        <v>1.0200000000000001E-2</v>
      </c>
      <c r="AA49" s="477">
        <v>12</v>
      </c>
      <c r="AB49" s="146" t="s">
        <v>929</v>
      </c>
      <c r="AC49" s="146" t="s">
        <v>918</v>
      </c>
      <c r="AD49" s="146" t="s">
        <v>856</v>
      </c>
      <c r="AG49" s="146">
        <v>9</v>
      </c>
      <c r="AH49" s="146">
        <v>2</v>
      </c>
      <c r="AI49" s="146">
        <v>2148</v>
      </c>
      <c r="AJ49" s="146">
        <v>179</v>
      </c>
      <c r="AK49" s="146">
        <v>179</v>
      </c>
      <c r="AL49" s="146">
        <v>179</v>
      </c>
      <c r="AM49" s="146">
        <v>9</v>
      </c>
      <c r="AQ49" s="146">
        <f t="shared" si="0"/>
        <v>23</v>
      </c>
    </row>
    <row r="50" spans="1:43">
      <c r="A50" s="146" t="s">
        <v>839</v>
      </c>
      <c r="B50" s="146" t="s">
        <v>908</v>
      </c>
      <c r="C50" s="146" t="s">
        <v>909</v>
      </c>
      <c r="D50" s="146" t="s">
        <v>937</v>
      </c>
      <c r="E50" s="146" t="s">
        <v>842</v>
      </c>
      <c r="J50" s="146" t="s">
        <v>911</v>
      </c>
      <c r="K50" s="477">
        <v>4810</v>
      </c>
      <c r="L50" s="146" t="s">
        <v>912</v>
      </c>
      <c r="M50" s="146" t="s">
        <v>913</v>
      </c>
      <c r="N50" s="477">
        <v>9.1999999999999998E-2</v>
      </c>
      <c r="O50" s="146" t="s">
        <v>914</v>
      </c>
      <c r="P50" s="477">
        <v>443</v>
      </c>
      <c r="Q50" s="478">
        <v>0</v>
      </c>
      <c r="R50" s="478">
        <v>443</v>
      </c>
      <c r="S50" s="479">
        <v>0</v>
      </c>
      <c r="T50" s="146">
        <v>443</v>
      </c>
      <c r="U50" s="479">
        <v>5</v>
      </c>
      <c r="V50" s="146">
        <v>22</v>
      </c>
      <c r="W50" s="146">
        <v>0</v>
      </c>
      <c r="X50" s="146">
        <v>22</v>
      </c>
      <c r="Y50" s="477">
        <v>0.05</v>
      </c>
      <c r="Z50" s="477">
        <v>1.0200000000000001E-2</v>
      </c>
      <c r="AA50" s="477">
        <v>12</v>
      </c>
      <c r="AB50" s="146" t="s">
        <v>929</v>
      </c>
      <c r="AC50" s="146" t="s">
        <v>918</v>
      </c>
      <c r="AD50" s="146" t="s">
        <v>856</v>
      </c>
      <c r="AG50" s="146">
        <v>1</v>
      </c>
      <c r="AH50" s="146">
        <v>0</v>
      </c>
      <c r="AI50" s="146">
        <v>264</v>
      </c>
      <c r="AJ50" s="146">
        <v>22</v>
      </c>
      <c r="AK50" s="146">
        <v>22</v>
      </c>
      <c r="AL50" s="146">
        <v>22</v>
      </c>
      <c r="AM50" s="146">
        <v>1</v>
      </c>
      <c r="AQ50" s="146">
        <f t="shared" si="0"/>
        <v>0</v>
      </c>
    </row>
    <row r="51" spans="1:43">
      <c r="A51" s="146" t="s">
        <v>839</v>
      </c>
      <c r="B51" s="146" t="s">
        <v>908</v>
      </c>
      <c r="C51" s="146" t="s">
        <v>909</v>
      </c>
      <c r="D51" s="146" t="s">
        <v>938</v>
      </c>
      <c r="E51" s="146" t="s">
        <v>842</v>
      </c>
      <c r="J51" s="146" t="s">
        <v>911</v>
      </c>
      <c r="K51" s="477">
        <v>985</v>
      </c>
      <c r="L51" s="146" t="s">
        <v>912</v>
      </c>
      <c r="M51" s="146" t="s">
        <v>913</v>
      </c>
      <c r="N51" s="477">
        <v>6.3339999999999996</v>
      </c>
      <c r="O51" s="146" t="s">
        <v>914</v>
      </c>
      <c r="P51" s="477">
        <v>6239</v>
      </c>
      <c r="Q51" s="478">
        <v>0</v>
      </c>
      <c r="R51" s="478">
        <v>6239</v>
      </c>
      <c r="S51" s="479">
        <v>0</v>
      </c>
      <c r="T51" s="146">
        <v>6239</v>
      </c>
      <c r="U51" s="479">
        <v>5</v>
      </c>
      <c r="V51" s="146">
        <v>312</v>
      </c>
      <c r="W51" s="146">
        <v>0</v>
      </c>
      <c r="X51" s="146">
        <v>312</v>
      </c>
      <c r="Y51" s="477">
        <v>0.05</v>
      </c>
      <c r="Z51" s="477">
        <v>1.0200000000000001E-2</v>
      </c>
      <c r="AA51" s="477">
        <v>12</v>
      </c>
      <c r="AB51" s="146" t="s">
        <v>929</v>
      </c>
      <c r="AC51" s="146" t="s">
        <v>918</v>
      </c>
      <c r="AD51" s="146" t="s">
        <v>856</v>
      </c>
      <c r="AG51" s="146">
        <v>16</v>
      </c>
      <c r="AH51" s="146">
        <v>3</v>
      </c>
      <c r="AI51" s="146">
        <v>3744</v>
      </c>
      <c r="AJ51" s="146">
        <v>312</v>
      </c>
      <c r="AK51" s="146">
        <v>312</v>
      </c>
      <c r="AL51" s="146">
        <v>312</v>
      </c>
      <c r="AM51" s="146">
        <v>16</v>
      </c>
      <c r="AQ51" s="146">
        <f t="shared" si="0"/>
        <v>35</v>
      </c>
    </row>
    <row r="52" spans="1:43">
      <c r="A52" s="146" t="s">
        <v>839</v>
      </c>
      <c r="B52" s="146" t="s">
        <v>908</v>
      </c>
      <c r="C52" s="146" t="s">
        <v>909</v>
      </c>
      <c r="D52" s="146" t="s">
        <v>939</v>
      </c>
      <c r="E52" s="146" t="s">
        <v>842</v>
      </c>
      <c r="J52" s="146" t="s">
        <v>911</v>
      </c>
      <c r="K52" s="477">
        <v>43926</v>
      </c>
      <c r="L52" s="146" t="s">
        <v>912</v>
      </c>
      <c r="M52" s="146" t="s">
        <v>913</v>
      </c>
      <c r="N52" s="477">
        <v>2.75E-2</v>
      </c>
      <c r="O52" s="146" t="s">
        <v>914</v>
      </c>
      <c r="P52" s="477">
        <v>1208</v>
      </c>
      <c r="Q52" s="478">
        <v>0</v>
      </c>
      <c r="R52" s="478">
        <v>1208</v>
      </c>
      <c r="S52" s="479">
        <v>0</v>
      </c>
      <c r="T52" s="146">
        <v>1208</v>
      </c>
      <c r="U52" s="479">
        <v>5</v>
      </c>
      <c r="V52" s="146">
        <v>60</v>
      </c>
      <c r="W52" s="146">
        <v>0</v>
      </c>
      <c r="X52" s="146">
        <v>60</v>
      </c>
      <c r="Y52" s="477">
        <v>0.15</v>
      </c>
      <c r="Z52" s="477">
        <v>3.0599999999999999E-2</v>
      </c>
      <c r="AA52" s="477">
        <v>36</v>
      </c>
      <c r="AB52" s="146" t="s">
        <v>915</v>
      </c>
      <c r="AC52" s="146" t="s">
        <v>918</v>
      </c>
      <c r="AD52" s="146" t="s">
        <v>856</v>
      </c>
      <c r="AG52" s="146">
        <v>9</v>
      </c>
      <c r="AH52" s="146">
        <v>2</v>
      </c>
      <c r="AI52" s="146">
        <v>2160</v>
      </c>
      <c r="AJ52" s="146">
        <v>181</v>
      </c>
      <c r="AK52" s="146">
        <v>181</v>
      </c>
      <c r="AL52" s="146">
        <v>181</v>
      </c>
      <c r="AM52" s="146">
        <v>9</v>
      </c>
      <c r="AQ52" s="146">
        <f t="shared" si="0"/>
        <v>23</v>
      </c>
    </row>
    <row r="53" spans="1:43">
      <c r="A53" s="146" t="s">
        <v>839</v>
      </c>
      <c r="B53" s="146" t="s">
        <v>940</v>
      </c>
      <c r="C53" s="146" t="s">
        <v>941</v>
      </c>
      <c r="D53" s="320" t="s">
        <v>942</v>
      </c>
      <c r="E53" s="146" t="s">
        <v>862</v>
      </c>
      <c r="F53" s="146" t="s">
        <v>872</v>
      </c>
      <c r="G53" s="146">
        <v>2514</v>
      </c>
      <c r="H53" s="477">
        <v>0.23</v>
      </c>
      <c r="I53" s="146" t="s">
        <v>894</v>
      </c>
      <c r="P53" s="477">
        <v>578</v>
      </c>
      <c r="Q53" s="478">
        <v>100</v>
      </c>
      <c r="R53" s="478">
        <v>0</v>
      </c>
      <c r="S53" s="479">
        <v>93.300000000000011</v>
      </c>
      <c r="T53" s="146">
        <v>0</v>
      </c>
      <c r="U53" s="479">
        <v>0.5</v>
      </c>
      <c r="V53" s="146">
        <v>0</v>
      </c>
      <c r="W53" s="146">
        <v>0</v>
      </c>
      <c r="X53" s="146">
        <v>0</v>
      </c>
      <c r="Y53" s="477">
        <v>0.88</v>
      </c>
      <c r="Z53" s="146">
        <v>0.37840000000000001</v>
      </c>
      <c r="AA53" s="477">
        <v>185</v>
      </c>
      <c r="AB53" s="146" t="s">
        <v>943</v>
      </c>
      <c r="AC53" s="146" t="s">
        <v>856</v>
      </c>
      <c r="AG53" s="146">
        <v>0</v>
      </c>
      <c r="AH53" s="146">
        <v>0</v>
      </c>
      <c r="AI53" s="146">
        <v>0</v>
      </c>
      <c r="AJ53" s="146">
        <v>509</v>
      </c>
      <c r="AK53" s="146">
        <v>0</v>
      </c>
      <c r="AL53" s="146">
        <v>0</v>
      </c>
      <c r="AM53" s="146">
        <v>0</v>
      </c>
      <c r="AQ53" s="146">
        <f t="shared" si="0"/>
        <v>0</v>
      </c>
    </row>
    <row r="54" spans="1:43">
      <c r="A54" s="146" t="s">
        <v>839</v>
      </c>
      <c r="B54" s="146" t="s">
        <v>940</v>
      </c>
      <c r="C54" s="146" t="s">
        <v>941</v>
      </c>
      <c r="D54" s="320" t="s">
        <v>944</v>
      </c>
      <c r="E54" s="146" t="s">
        <v>862</v>
      </c>
      <c r="F54" s="146" t="s">
        <v>874</v>
      </c>
      <c r="G54" s="146">
        <v>544</v>
      </c>
      <c r="H54" s="477">
        <v>0.23</v>
      </c>
      <c r="I54" s="146" t="s">
        <v>894</v>
      </c>
      <c r="P54" s="477">
        <v>125</v>
      </c>
      <c r="Q54" s="478">
        <v>100</v>
      </c>
      <c r="R54" s="478">
        <v>0</v>
      </c>
      <c r="S54" s="479">
        <v>93.300000000000011</v>
      </c>
      <c r="T54" s="146">
        <v>0</v>
      </c>
      <c r="U54" s="479">
        <v>0.5</v>
      </c>
      <c r="V54" s="146">
        <v>0</v>
      </c>
      <c r="W54" s="146">
        <v>0</v>
      </c>
      <c r="X54" s="146">
        <v>0</v>
      </c>
      <c r="Y54" s="477">
        <v>0.88</v>
      </c>
      <c r="Z54" s="146">
        <v>0.37840000000000001</v>
      </c>
      <c r="AA54" s="477">
        <v>185</v>
      </c>
      <c r="AB54" s="146" t="s">
        <v>943</v>
      </c>
      <c r="AC54" s="146" t="s">
        <v>856</v>
      </c>
      <c r="AG54" s="146">
        <v>0</v>
      </c>
      <c r="AH54" s="146">
        <v>0</v>
      </c>
      <c r="AI54" s="146">
        <v>0</v>
      </c>
      <c r="AJ54" s="146">
        <v>110</v>
      </c>
      <c r="AK54" s="146">
        <v>0</v>
      </c>
      <c r="AL54" s="146">
        <v>0</v>
      </c>
      <c r="AM54" s="146">
        <v>0</v>
      </c>
      <c r="AQ54" s="146">
        <f t="shared" si="0"/>
        <v>0</v>
      </c>
    </row>
    <row r="55" spans="1:43">
      <c r="A55" s="146" t="s">
        <v>839</v>
      </c>
      <c r="B55" s="146" t="s">
        <v>940</v>
      </c>
      <c r="C55" s="146" t="s">
        <v>941</v>
      </c>
      <c r="D55" s="320" t="s">
        <v>945</v>
      </c>
      <c r="E55" s="146" t="s">
        <v>862</v>
      </c>
      <c r="F55" s="146" t="s">
        <v>875</v>
      </c>
      <c r="G55" s="146">
        <v>38672</v>
      </c>
      <c r="H55" s="477">
        <v>0.23</v>
      </c>
      <c r="I55" s="146" t="s">
        <v>894</v>
      </c>
      <c r="P55" s="477">
        <v>8895</v>
      </c>
      <c r="Q55" s="478">
        <v>100</v>
      </c>
      <c r="R55" s="478">
        <v>0</v>
      </c>
      <c r="S55" s="479">
        <v>93.300000000000011</v>
      </c>
      <c r="T55" s="146">
        <v>0</v>
      </c>
      <c r="U55" s="479">
        <v>0.5</v>
      </c>
      <c r="V55" s="146">
        <v>0</v>
      </c>
      <c r="W55" s="146">
        <v>0</v>
      </c>
      <c r="X55" s="146">
        <v>0</v>
      </c>
      <c r="Y55" s="477">
        <v>0.88</v>
      </c>
      <c r="Z55" s="146">
        <v>0.37840000000000001</v>
      </c>
      <c r="AA55" s="477">
        <v>185</v>
      </c>
      <c r="AB55" s="146" t="s">
        <v>943</v>
      </c>
      <c r="AC55" s="146" t="s">
        <v>856</v>
      </c>
      <c r="AG55" s="146">
        <v>0</v>
      </c>
      <c r="AH55" s="146">
        <v>0</v>
      </c>
      <c r="AI55" s="146">
        <v>0</v>
      </c>
      <c r="AJ55" s="146">
        <v>7828</v>
      </c>
      <c r="AK55" s="146">
        <v>0</v>
      </c>
      <c r="AL55" s="146">
        <v>0</v>
      </c>
      <c r="AM55" s="146">
        <v>0</v>
      </c>
      <c r="AQ55" s="146">
        <f t="shared" si="0"/>
        <v>0</v>
      </c>
    </row>
    <row r="56" spans="1:43">
      <c r="A56" s="146" t="s">
        <v>839</v>
      </c>
      <c r="B56" s="146" t="s">
        <v>940</v>
      </c>
      <c r="C56" s="146" t="s">
        <v>946</v>
      </c>
      <c r="D56" s="320" t="s">
        <v>947</v>
      </c>
      <c r="E56" s="146" t="s">
        <v>862</v>
      </c>
      <c r="F56" s="146" t="s">
        <v>883</v>
      </c>
      <c r="G56" s="146">
        <v>5350</v>
      </c>
      <c r="H56" s="477">
        <v>0.55000000000000004</v>
      </c>
      <c r="I56" s="146" t="s">
        <v>894</v>
      </c>
      <c r="P56" s="477">
        <v>2943</v>
      </c>
      <c r="Q56" s="478">
        <v>100</v>
      </c>
      <c r="R56" s="478">
        <v>0</v>
      </c>
      <c r="S56" s="479">
        <v>96.649999999999991</v>
      </c>
      <c r="T56" s="146">
        <v>0</v>
      </c>
      <c r="U56" s="479">
        <v>0.5</v>
      </c>
      <c r="V56" s="146">
        <v>0</v>
      </c>
      <c r="W56" s="146">
        <v>0</v>
      </c>
      <c r="X56" s="146">
        <v>0</v>
      </c>
      <c r="Y56" s="477">
        <v>0.88</v>
      </c>
      <c r="Z56" s="146">
        <v>0.37840000000000001</v>
      </c>
      <c r="AA56" s="477">
        <v>185</v>
      </c>
      <c r="AB56" s="146" t="s">
        <v>943</v>
      </c>
      <c r="AC56" s="146" t="s">
        <v>856</v>
      </c>
      <c r="AG56" s="146">
        <v>0</v>
      </c>
      <c r="AH56" s="146">
        <v>0</v>
      </c>
      <c r="AI56" s="146">
        <v>0</v>
      </c>
      <c r="AJ56" s="146">
        <v>2590</v>
      </c>
      <c r="AK56" s="146">
        <v>0</v>
      </c>
      <c r="AL56" s="146">
        <v>0</v>
      </c>
      <c r="AM56" s="146">
        <v>0</v>
      </c>
      <c r="AQ56" s="146">
        <v>0</v>
      </c>
    </row>
    <row r="57" spans="1:43">
      <c r="A57" s="146" t="s">
        <v>839</v>
      </c>
      <c r="B57" s="146" t="s">
        <v>940</v>
      </c>
      <c r="C57" s="146" t="s">
        <v>941</v>
      </c>
      <c r="D57" s="320" t="s">
        <v>948</v>
      </c>
      <c r="E57" s="146" t="s">
        <v>862</v>
      </c>
      <c r="F57" s="146" t="s">
        <v>876</v>
      </c>
      <c r="G57" s="146">
        <v>12078</v>
      </c>
      <c r="H57" s="477">
        <v>0.23</v>
      </c>
      <c r="I57" s="146" t="s">
        <v>894</v>
      </c>
      <c r="P57" s="477">
        <v>2778</v>
      </c>
      <c r="Q57" s="478">
        <v>100</v>
      </c>
      <c r="R57" s="478">
        <v>0</v>
      </c>
      <c r="S57" s="479">
        <v>93.300000000000011</v>
      </c>
      <c r="T57" s="146">
        <v>0</v>
      </c>
      <c r="U57" s="479">
        <v>0.5</v>
      </c>
      <c r="V57" s="146">
        <v>0</v>
      </c>
      <c r="W57" s="146">
        <v>0</v>
      </c>
      <c r="X57" s="146">
        <v>0</v>
      </c>
      <c r="Y57" s="477">
        <v>0.88</v>
      </c>
      <c r="Z57" s="146">
        <v>0.37840000000000001</v>
      </c>
      <c r="AA57" s="477">
        <v>185</v>
      </c>
      <c r="AB57" s="146" t="s">
        <v>943</v>
      </c>
      <c r="AC57" s="146" t="s">
        <v>856</v>
      </c>
      <c r="AG57" s="146">
        <v>0</v>
      </c>
      <c r="AH57" s="146">
        <v>0</v>
      </c>
      <c r="AI57" s="146">
        <v>0</v>
      </c>
      <c r="AJ57" s="146">
        <v>2445</v>
      </c>
      <c r="AK57" s="146">
        <v>0</v>
      </c>
      <c r="AL57" s="146">
        <v>0</v>
      </c>
      <c r="AM57" s="146">
        <v>0</v>
      </c>
      <c r="AQ57" s="146">
        <f t="shared" si="0"/>
        <v>0</v>
      </c>
    </row>
    <row r="58" spans="1:43">
      <c r="A58" s="146" t="s">
        <v>839</v>
      </c>
      <c r="B58" s="146" t="s">
        <v>940</v>
      </c>
      <c r="C58" s="146" t="s">
        <v>941</v>
      </c>
      <c r="D58" s="320" t="s">
        <v>949</v>
      </c>
      <c r="E58" s="146" t="s">
        <v>862</v>
      </c>
      <c r="F58" s="146" t="s">
        <v>877</v>
      </c>
      <c r="G58" s="146">
        <v>110</v>
      </c>
      <c r="H58" s="477">
        <v>0.23</v>
      </c>
      <c r="I58" s="146" t="s">
        <v>894</v>
      </c>
      <c r="P58" s="477">
        <v>25</v>
      </c>
      <c r="Q58" s="478">
        <v>100</v>
      </c>
      <c r="R58" s="478">
        <v>0</v>
      </c>
      <c r="S58" s="479">
        <v>93.300000000000011</v>
      </c>
      <c r="T58" s="146">
        <v>0</v>
      </c>
      <c r="U58" s="479">
        <v>0.5</v>
      </c>
      <c r="V58" s="146">
        <v>0</v>
      </c>
      <c r="W58" s="146">
        <v>0</v>
      </c>
      <c r="X58" s="146">
        <v>0</v>
      </c>
      <c r="Y58" s="477">
        <v>0.88</v>
      </c>
      <c r="Z58" s="146">
        <v>0.37840000000000001</v>
      </c>
      <c r="AA58" s="477">
        <v>185</v>
      </c>
      <c r="AB58" s="146" t="s">
        <v>943</v>
      </c>
      <c r="AC58" s="146" t="s">
        <v>856</v>
      </c>
      <c r="AG58" s="146">
        <v>0</v>
      </c>
      <c r="AH58" s="146">
        <v>0</v>
      </c>
      <c r="AI58" s="146">
        <v>0</v>
      </c>
      <c r="AJ58" s="146">
        <v>22</v>
      </c>
      <c r="AK58" s="146">
        <v>0</v>
      </c>
      <c r="AL58" s="146">
        <v>0</v>
      </c>
      <c r="AM58" s="146">
        <v>0</v>
      </c>
      <c r="AQ58" s="146">
        <f t="shared" si="0"/>
        <v>0</v>
      </c>
    </row>
    <row r="59" spans="1:43">
      <c r="A59" s="146" t="s">
        <v>839</v>
      </c>
      <c r="B59" s="146" t="s">
        <v>940</v>
      </c>
      <c r="C59" s="146" t="s">
        <v>950</v>
      </c>
      <c r="D59" s="320" t="s">
        <v>951</v>
      </c>
      <c r="E59" s="146" t="s">
        <v>862</v>
      </c>
      <c r="F59" s="146" t="s">
        <v>868</v>
      </c>
      <c r="G59" s="146">
        <v>990</v>
      </c>
      <c r="H59" s="477"/>
      <c r="P59" s="477">
        <v>0</v>
      </c>
      <c r="Q59" s="478">
        <v>0</v>
      </c>
      <c r="R59" s="478">
        <v>0</v>
      </c>
      <c r="S59" s="479">
        <v>69.180000000000007</v>
      </c>
      <c r="T59" s="146">
        <v>0</v>
      </c>
      <c r="U59" s="479">
        <v>0.5</v>
      </c>
      <c r="V59" s="146">
        <v>0</v>
      </c>
      <c r="W59" s="146">
        <v>0</v>
      </c>
      <c r="X59" s="146">
        <v>0</v>
      </c>
      <c r="Y59" s="477">
        <v>0.88</v>
      </c>
      <c r="Z59" s="146">
        <v>0.37840000000000001</v>
      </c>
      <c r="AA59" s="477"/>
      <c r="AF59" s="330"/>
      <c r="AG59" s="146">
        <v>0</v>
      </c>
      <c r="AH59" s="146">
        <v>0</v>
      </c>
      <c r="AI59" s="146">
        <v>0</v>
      </c>
      <c r="AJ59" s="146">
        <v>0</v>
      </c>
      <c r="AK59" s="146">
        <v>0</v>
      </c>
      <c r="AL59" s="146">
        <v>0</v>
      </c>
      <c r="AM59" s="146">
        <v>0</v>
      </c>
      <c r="AQ59" s="146">
        <f t="shared" si="0"/>
        <v>0</v>
      </c>
    </row>
    <row r="60" spans="1:43">
      <c r="A60" s="146" t="s">
        <v>839</v>
      </c>
      <c r="B60" s="146" t="s">
        <v>940</v>
      </c>
      <c r="C60" s="146" t="s">
        <v>950</v>
      </c>
      <c r="D60" s="320" t="s">
        <v>952</v>
      </c>
      <c r="E60" s="146" t="s">
        <v>862</v>
      </c>
      <c r="F60" s="146" t="s">
        <v>870</v>
      </c>
      <c r="G60" s="146">
        <v>90</v>
      </c>
      <c r="H60" s="477"/>
      <c r="P60" s="477">
        <v>0</v>
      </c>
      <c r="Q60" s="478">
        <v>0</v>
      </c>
      <c r="R60" s="478">
        <v>0</v>
      </c>
      <c r="S60" s="479">
        <v>69.180000000000007</v>
      </c>
      <c r="T60" s="146">
        <v>0</v>
      </c>
      <c r="U60" s="479">
        <v>0.5</v>
      </c>
      <c r="V60" s="146">
        <v>0</v>
      </c>
      <c r="W60" s="146">
        <v>0</v>
      </c>
      <c r="X60" s="146">
        <v>0</v>
      </c>
      <c r="Y60" s="477">
        <v>0.88</v>
      </c>
      <c r="Z60" s="146">
        <v>0.37840000000000001</v>
      </c>
      <c r="AA60" s="477"/>
      <c r="AF60" s="330"/>
      <c r="AG60" s="146">
        <v>0</v>
      </c>
      <c r="AH60" s="146">
        <v>0</v>
      </c>
      <c r="AI60" s="146">
        <v>0</v>
      </c>
      <c r="AJ60" s="146">
        <v>0</v>
      </c>
      <c r="AK60" s="146">
        <v>0</v>
      </c>
      <c r="AL60" s="146">
        <v>0</v>
      </c>
      <c r="AM60" s="146">
        <v>0</v>
      </c>
      <c r="AQ60" s="146">
        <f t="shared" si="0"/>
        <v>0</v>
      </c>
    </row>
    <row r="61" spans="1:43">
      <c r="A61" s="146" t="s">
        <v>839</v>
      </c>
      <c r="B61" s="146" t="s">
        <v>940</v>
      </c>
      <c r="C61" s="146" t="s">
        <v>953</v>
      </c>
      <c r="D61" s="320" t="s">
        <v>954</v>
      </c>
      <c r="E61" s="146" t="s">
        <v>862</v>
      </c>
      <c r="F61" s="146" t="s">
        <v>872</v>
      </c>
      <c r="G61" s="146">
        <v>2514</v>
      </c>
      <c r="H61" s="477">
        <v>0.56000000000000005</v>
      </c>
      <c r="I61" s="146" t="s">
        <v>894</v>
      </c>
      <c r="P61" s="477">
        <v>1408</v>
      </c>
      <c r="Q61" s="478">
        <v>50</v>
      </c>
      <c r="R61" s="478">
        <v>704</v>
      </c>
      <c r="S61" s="479">
        <v>69.180000000000007</v>
      </c>
      <c r="T61" s="146">
        <v>217</v>
      </c>
      <c r="U61" s="479">
        <v>0.5</v>
      </c>
      <c r="V61" s="146">
        <v>1</v>
      </c>
      <c r="W61" s="146">
        <v>0</v>
      </c>
      <c r="X61" s="146">
        <v>1</v>
      </c>
      <c r="Y61" s="477">
        <v>0.88</v>
      </c>
      <c r="Z61" s="146">
        <v>0.37840000000000001</v>
      </c>
      <c r="AA61" s="477">
        <v>194</v>
      </c>
      <c r="AB61" s="146" t="s">
        <v>955</v>
      </c>
      <c r="AC61" s="146" t="s">
        <v>856</v>
      </c>
      <c r="AG61" s="146">
        <v>1</v>
      </c>
      <c r="AH61" s="146">
        <v>0</v>
      </c>
      <c r="AI61" s="146">
        <v>194</v>
      </c>
      <c r="AJ61" s="146">
        <v>1239</v>
      </c>
      <c r="AK61" s="146">
        <v>620</v>
      </c>
      <c r="AL61" s="146">
        <v>191</v>
      </c>
      <c r="AM61" s="146">
        <v>1</v>
      </c>
      <c r="AQ61" s="146">
        <f t="shared" si="0"/>
        <v>0</v>
      </c>
    </row>
    <row r="62" spans="1:43">
      <c r="A62" s="146" t="s">
        <v>839</v>
      </c>
      <c r="B62" s="146" t="s">
        <v>940</v>
      </c>
      <c r="C62" s="146" t="s">
        <v>953</v>
      </c>
      <c r="D62" s="320" t="s">
        <v>956</v>
      </c>
      <c r="E62" s="146" t="s">
        <v>862</v>
      </c>
      <c r="F62" s="146" t="s">
        <v>874</v>
      </c>
      <c r="G62" s="146">
        <v>544</v>
      </c>
      <c r="H62" s="477">
        <v>0.56000000000000005</v>
      </c>
      <c r="I62" s="146" t="s">
        <v>894</v>
      </c>
      <c r="P62" s="477">
        <v>305</v>
      </c>
      <c r="Q62" s="478">
        <v>50</v>
      </c>
      <c r="R62" s="478">
        <v>152</v>
      </c>
      <c r="S62" s="479">
        <v>69.180000000000007</v>
      </c>
      <c r="T62" s="146">
        <v>47</v>
      </c>
      <c r="U62" s="479">
        <v>0.5</v>
      </c>
      <c r="V62" s="146">
        <v>0</v>
      </c>
      <c r="W62" s="146">
        <v>0</v>
      </c>
      <c r="X62" s="146">
        <v>0</v>
      </c>
      <c r="Y62" s="477">
        <v>0.88</v>
      </c>
      <c r="Z62" s="146">
        <v>0.37840000000000001</v>
      </c>
      <c r="AA62" s="477">
        <v>194</v>
      </c>
      <c r="AB62" s="146" t="s">
        <v>943</v>
      </c>
      <c r="AC62" s="146" t="s">
        <v>856</v>
      </c>
      <c r="AG62" s="146">
        <v>0</v>
      </c>
      <c r="AH62" s="146">
        <v>0</v>
      </c>
      <c r="AI62" s="146">
        <v>0</v>
      </c>
      <c r="AJ62" s="146">
        <v>268</v>
      </c>
      <c r="AK62" s="146">
        <v>134</v>
      </c>
      <c r="AL62" s="146">
        <v>41</v>
      </c>
      <c r="AM62" s="146">
        <v>0</v>
      </c>
      <c r="AQ62" s="146">
        <f t="shared" si="0"/>
        <v>0</v>
      </c>
    </row>
    <row r="63" spans="1:43">
      <c r="A63" s="146" t="s">
        <v>839</v>
      </c>
      <c r="B63" s="146" t="s">
        <v>940</v>
      </c>
      <c r="C63" s="146" t="s">
        <v>953</v>
      </c>
      <c r="D63" s="320" t="s">
        <v>957</v>
      </c>
      <c r="E63" s="146" t="s">
        <v>862</v>
      </c>
      <c r="F63" s="146" t="s">
        <v>875</v>
      </c>
      <c r="G63" s="146">
        <v>38672</v>
      </c>
      <c r="H63" s="146">
        <v>0.56000000000000005</v>
      </c>
      <c r="I63" s="146" t="s">
        <v>894</v>
      </c>
      <c r="K63" s="477"/>
      <c r="N63" s="477"/>
      <c r="P63" s="477">
        <v>21656</v>
      </c>
      <c r="Q63" s="478">
        <v>40</v>
      </c>
      <c r="R63" s="478">
        <v>12994</v>
      </c>
      <c r="S63" s="479">
        <v>69.180000000000007</v>
      </c>
      <c r="T63" s="146">
        <v>4005</v>
      </c>
      <c r="U63" s="479">
        <v>0.5</v>
      </c>
      <c r="V63" s="146">
        <v>20</v>
      </c>
      <c r="W63" s="146">
        <v>0</v>
      </c>
      <c r="X63" s="146">
        <v>20</v>
      </c>
      <c r="Y63" s="146">
        <v>0.88</v>
      </c>
      <c r="Z63" s="146">
        <v>0.37840000000000001</v>
      </c>
      <c r="AA63" s="146">
        <v>194</v>
      </c>
      <c r="AB63" s="146" t="s">
        <v>943</v>
      </c>
      <c r="AC63" s="146" t="s">
        <v>856</v>
      </c>
      <c r="AG63" s="146">
        <v>18</v>
      </c>
      <c r="AH63" s="146">
        <v>8</v>
      </c>
      <c r="AI63" s="146">
        <v>3880</v>
      </c>
      <c r="AJ63" s="146">
        <v>19057</v>
      </c>
      <c r="AK63" s="146">
        <v>11435</v>
      </c>
      <c r="AL63" s="146">
        <v>3524</v>
      </c>
      <c r="AM63" s="146">
        <v>18</v>
      </c>
      <c r="AQ63" s="146">
        <f t="shared" si="0"/>
        <v>93</v>
      </c>
    </row>
    <row r="64" spans="1:43">
      <c r="A64" s="146" t="s">
        <v>839</v>
      </c>
      <c r="B64" s="146" t="s">
        <v>940</v>
      </c>
      <c r="C64" s="146" t="s">
        <v>953</v>
      </c>
      <c r="D64" s="320" t="s">
        <v>958</v>
      </c>
      <c r="E64" s="146" t="s">
        <v>862</v>
      </c>
      <c r="F64" s="146" t="s">
        <v>876</v>
      </c>
      <c r="G64" s="146">
        <v>12078</v>
      </c>
      <c r="H64" s="146">
        <v>0.56000000000000005</v>
      </c>
      <c r="I64" s="146" t="s">
        <v>894</v>
      </c>
      <c r="K64" s="477"/>
      <c r="N64" s="477"/>
      <c r="P64" s="477">
        <v>6764</v>
      </c>
      <c r="Q64" s="478">
        <v>50</v>
      </c>
      <c r="R64" s="478">
        <v>3382</v>
      </c>
      <c r="S64" s="479">
        <v>69.180000000000007</v>
      </c>
      <c r="T64" s="146">
        <v>1042</v>
      </c>
      <c r="U64" s="479">
        <v>0.5</v>
      </c>
      <c r="V64" s="146">
        <v>5</v>
      </c>
      <c r="W64" s="146">
        <v>0</v>
      </c>
      <c r="X64" s="146">
        <v>5</v>
      </c>
      <c r="Y64" s="146">
        <v>0.88</v>
      </c>
      <c r="Z64" s="146">
        <v>0.37840000000000001</v>
      </c>
      <c r="AA64" s="146">
        <v>194</v>
      </c>
      <c r="AB64" s="146" t="s">
        <v>943</v>
      </c>
      <c r="AC64" s="146" t="s">
        <v>856</v>
      </c>
      <c r="AG64" s="146">
        <v>4</v>
      </c>
      <c r="AH64" s="146">
        <v>2</v>
      </c>
      <c r="AI64" s="146">
        <v>970</v>
      </c>
      <c r="AJ64" s="146">
        <v>5952</v>
      </c>
      <c r="AK64" s="146">
        <v>2976</v>
      </c>
      <c r="AL64" s="146">
        <v>917</v>
      </c>
      <c r="AM64" s="146">
        <v>4</v>
      </c>
      <c r="AQ64" s="146">
        <f t="shared" si="0"/>
        <v>23</v>
      </c>
    </row>
    <row r="65" spans="1:43">
      <c r="A65" s="146" t="s">
        <v>839</v>
      </c>
      <c r="B65" s="146" t="s">
        <v>940</v>
      </c>
      <c r="C65" s="146" t="s">
        <v>953</v>
      </c>
      <c r="D65" s="320" t="s">
        <v>959</v>
      </c>
      <c r="E65" s="146" t="s">
        <v>862</v>
      </c>
      <c r="F65" s="146" t="s">
        <v>877</v>
      </c>
      <c r="G65" s="146">
        <v>110</v>
      </c>
      <c r="H65" s="477">
        <v>0.56000000000000005</v>
      </c>
      <c r="I65" s="146" t="s">
        <v>894</v>
      </c>
      <c r="K65" s="480"/>
      <c r="P65" s="477">
        <v>62</v>
      </c>
      <c r="Q65" s="478">
        <v>50</v>
      </c>
      <c r="R65" s="478">
        <v>31</v>
      </c>
      <c r="S65" s="479">
        <v>69.180000000000007</v>
      </c>
      <c r="T65" s="146">
        <v>10</v>
      </c>
      <c r="U65" s="479">
        <v>0.5</v>
      </c>
      <c r="V65" s="146">
        <v>0</v>
      </c>
      <c r="W65" s="146">
        <v>0</v>
      </c>
      <c r="X65" s="146">
        <v>0</v>
      </c>
      <c r="Y65" s="477">
        <v>0.88</v>
      </c>
      <c r="Z65" s="146">
        <v>0.37840000000000001</v>
      </c>
      <c r="AA65" s="477">
        <v>194</v>
      </c>
      <c r="AB65" s="146" t="s">
        <v>943</v>
      </c>
      <c r="AC65" s="146" t="s">
        <v>856</v>
      </c>
      <c r="AG65" s="146">
        <v>0</v>
      </c>
      <c r="AH65" s="146">
        <v>0</v>
      </c>
      <c r="AI65" s="146">
        <v>0</v>
      </c>
      <c r="AJ65" s="146">
        <v>55</v>
      </c>
      <c r="AK65" s="146">
        <v>27</v>
      </c>
      <c r="AL65" s="146">
        <v>9</v>
      </c>
      <c r="AM65" s="146">
        <v>0</v>
      </c>
      <c r="AQ65" s="146">
        <f t="shared" si="0"/>
        <v>0</v>
      </c>
    </row>
    <row r="66" spans="1:43">
      <c r="A66" s="146" t="s">
        <v>839</v>
      </c>
      <c r="B66" s="146" t="s">
        <v>940</v>
      </c>
      <c r="C66" s="146" t="s">
        <v>960</v>
      </c>
      <c r="D66" s="320" t="s">
        <v>961</v>
      </c>
      <c r="E66" s="146" t="s">
        <v>862</v>
      </c>
      <c r="F66" s="146" t="s">
        <v>879</v>
      </c>
      <c r="G66" s="146">
        <v>14504</v>
      </c>
      <c r="H66" s="477">
        <v>0.33</v>
      </c>
      <c r="I66" s="146" t="s">
        <v>894</v>
      </c>
      <c r="P66" s="477">
        <v>4786</v>
      </c>
      <c r="Q66" s="478">
        <v>40</v>
      </c>
      <c r="R66" s="478">
        <v>2872</v>
      </c>
      <c r="S66" s="479">
        <v>90</v>
      </c>
      <c r="T66" s="146">
        <v>287</v>
      </c>
      <c r="U66" s="479">
        <v>0.5</v>
      </c>
      <c r="V66" s="146">
        <v>1</v>
      </c>
      <c r="W66" s="146">
        <v>0</v>
      </c>
      <c r="X66" s="146">
        <v>1</v>
      </c>
      <c r="Y66" s="477">
        <v>0.88</v>
      </c>
      <c r="Z66" s="146">
        <v>0.37840000000000001</v>
      </c>
      <c r="AA66" s="477">
        <v>214</v>
      </c>
      <c r="AB66" s="146" t="s">
        <v>943</v>
      </c>
      <c r="AC66" s="146" t="s">
        <v>856</v>
      </c>
      <c r="AG66" s="146">
        <v>1</v>
      </c>
      <c r="AH66" s="146">
        <v>0</v>
      </c>
      <c r="AI66" s="146">
        <v>214</v>
      </c>
      <c r="AJ66" s="146">
        <v>4212</v>
      </c>
      <c r="AK66" s="146">
        <v>2527</v>
      </c>
      <c r="AL66" s="146">
        <v>253</v>
      </c>
      <c r="AM66" s="146">
        <v>1</v>
      </c>
      <c r="AQ66" s="146">
        <f t="shared" si="0"/>
        <v>0</v>
      </c>
    </row>
    <row r="67" spans="1:43">
      <c r="A67" s="146" t="s">
        <v>839</v>
      </c>
      <c r="B67" s="146" t="s">
        <v>940</v>
      </c>
      <c r="C67" s="146" t="s">
        <v>962</v>
      </c>
      <c r="D67" s="320" t="s">
        <v>963</v>
      </c>
      <c r="E67" s="146" t="s">
        <v>862</v>
      </c>
      <c r="F67" s="146" t="s">
        <v>881</v>
      </c>
      <c r="G67" s="146">
        <v>74</v>
      </c>
      <c r="H67" s="477">
        <v>0.55000000000000004</v>
      </c>
      <c r="I67" s="146" t="s">
        <v>894</v>
      </c>
      <c r="P67" s="477">
        <v>41</v>
      </c>
      <c r="Q67" s="478">
        <v>40</v>
      </c>
      <c r="R67" s="478">
        <v>25</v>
      </c>
      <c r="S67" s="479">
        <v>69.180000000000007</v>
      </c>
      <c r="T67" s="146">
        <v>8</v>
      </c>
      <c r="U67" s="479">
        <v>0.5</v>
      </c>
      <c r="V67" s="146">
        <v>0</v>
      </c>
      <c r="W67" s="146">
        <v>0</v>
      </c>
      <c r="X67" s="146">
        <v>0</v>
      </c>
      <c r="Y67" s="477">
        <v>0.88</v>
      </c>
      <c r="Z67" s="146">
        <v>0.37840000000000001</v>
      </c>
      <c r="AA67" s="477"/>
      <c r="AB67" s="146" t="s">
        <v>964</v>
      </c>
      <c r="AG67" s="146">
        <v>0</v>
      </c>
      <c r="AH67" s="146">
        <v>0</v>
      </c>
      <c r="AI67" s="146">
        <v>0</v>
      </c>
      <c r="AJ67" s="146">
        <v>36</v>
      </c>
      <c r="AK67" s="146">
        <v>22</v>
      </c>
      <c r="AL67" s="146">
        <v>7</v>
      </c>
      <c r="AM67" s="146">
        <v>0</v>
      </c>
      <c r="AQ67" s="146">
        <f t="shared" ref="AQ67:AQ130" si="1">ROUND(AH67*11.63,0)</f>
        <v>0</v>
      </c>
    </row>
    <row r="68" spans="1:43">
      <c r="A68" s="146" t="s">
        <v>839</v>
      </c>
      <c r="B68" s="146" t="s">
        <v>940</v>
      </c>
      <c r="C68" s="146" t="s">
        <v>962</v>
      </c>
      <c r="D68" s="320" t="s">
        <v>965</v>
      </c>
      <c r="E68" s="146" t="s">
        <v>862</v>
      </c>
      <c r="F68" s="146" t="s">
        <v>883</v>
      </c>
      <c r="G68" s="146">
        <v>5350</v>
      </c>
      <c r="H68" s="477">
        <v>0.55000000000000004</v>
      </c>
      <c r="I68" s="146" t="s">
        <v>894</v>
      </c>
      <c r="P68" s="477">
        <v>2943</v>
      </c>
      <c r="Q68" s="478">
        <v>50</v>
      </c>
      <c r="R68" s="478">
        <v>1472</v>
      </c>
      <c r="S68" s="479">
        <v>89.95</v>
      </c>
      <c r="T68" s="146">
        <v>148</v>
      </c>
      <c r="U68" s="479">
        <v>0.5</v>
      </c>
      <c r="V68" s="146">
        <v>1</v>
      </c>
      <c r="W68" s="146">
        <v>0</v>
      </c>
      <c r="X68" s="146">
        <v>1</v>
      </c>
      <c r="Y68" s="477">
        <v>0.88</v>
      </c>
      <c r="Z68" s="146">
        <v>0.37840000000000001</v>
      </c>
      <c r="AA68" s="477">
        <v>103</v>
      </c>
      <c r="AB68" s="146" t="s">
        <v>943</v>
      </c>
      <c r="AC68" s="146" t="s">
        <v>856</v>
      </c>
      <c r="AG68" s="146">
        <v>1</v>
      </c>
      <c r="AH68" s="146">
        <v>0</v>
      </c>
      <c r="AI68" s="146">
        <v>103</v>
      </c>
      <c r="AJ68" s="146">
        <v>2590</v>
      </c>
      <c r="AK68" s="146">
        <v>1295</v>
      </c>
      <c r="AL68" s="146">
        <v>130</v>
      </c>
      <c r="AM68" s="146">
        <v>1</v>
      </c>
      <c r="AQ68" s="146">
        <v>0</v>
      </c>
    </row>
    <row r="69" spans="1:43">
      <c r="A69" s="146" t="s">
        <v>839</v>
      </c>
      <c r="B69" s="146" t="s">
        <v>940</v>
      </c>
      <c r="C69" s="146" t="s">
        <v>962</v>
      </c>
      <c r="D69" s="320" t="s">
        <v>966</v>
      </c>
      <c r="E69" s="146" t="s">
        <v>862</v>
      </c>
      <c r="F69" s="146" t="s">
        <v>885</v>
      </c>
      <c r="G69" s="146">
        <v>409</v>
      </c>
      <c r="H69" s="477">
        <v>0.55000000000000004</v>
      </c>
      <c r="I69" s="146" t="s">
        <v>894</v>
      </c>
      <c r="P69" s="477">
        <v>225</v>
      </c>
      <c r="Q69" s="478">
        <v>40</v>
      </c>
      <c r="R69" s="478">
        <v>135</v>
      </c>
      <c r="S69" s="479">
        <v>69.180000000000007</v>
      </c>
      <c r="T69" s="146">
        <v>42</v>
      </c>
      <c r="U69" s="479">
        <v>0.5</v>
      </c>
      <c r="V69" s="146">
        <v>0</v>
      </c>
      <c r="W69" s="146">
        <v>0</v>
      </c>
      <c r="X69" s="146">
        <v>0</v>
      </c>
      <c r="Y69" s="477">
        <v>0.88</v>
      </c>
      <c r="Z69" s="146">
        <v>0.37840000000000001</v>
      </c>
      <c r="AA69" s="477"/>
      <c r="AB69" s="146" t="s">
        <v>964</v>
      </c>
      <c r="AG69" s="146">
        <v>0</v>
      </c>
      <c r="AH69" s="146">
        <v>0</v>
      </c>
      <c r="AI69" s="146">
        <v>0</v>
      </c>
      <c r="AJ69" s="146">
        <v>198</v>
      </c>
      <c r="AK69" s="146">
        <v>119</v>
      </c>
      <c r="AL69" s="146">
        <v>37</v>
      </c>
      <c r="AM69" s="146">
        <v>0</v>
      </c>
      <c r="AQ69" s="146">
        <f t="shared" si="1"/>
        <v>0</v>
      </c>
    </row>
    <row r="70" spans="1:43">
      <c r="A70" s="146" t="s">
        <v>839</v>
      </c>
      <c r="B70" s="146" t="s">
        <v>940</v>
      </c>
      <c r="C70" s="146" t="s">
        <v>962</v>
      </c>
      <c r="D70" s="320" t="s">
        <v>967</v>
      </c>
      <c r="E70" s="146" t="s">
        <v>862</v>
      </c>
      <c r="F70" s="146" t="s">
        <v>906</v>
      </c>
      <c r="G70" s="146">
        <v>1644</v>
      </c>
      <c r="H70" s="477">
        <v>1.04</v>
      </c>
      <c r="I70" s="146" t="s">
        <v>894</v>
      </c>
      <c r="P70" s="477">
        <v>1710</v>
      </c>
      <c r="Q70" s="478">
        <v>40</v>
      </c>
      <c r="R70" s="478">
        <v>1026</v>
      </c>
      <c r="S70" s="479">
        <v>96.649999999999991</v>
      </c>
      <c r="T70" s="146">
        <v>34</v>
      </c>
      <c r="U70" s="479">
        <v>0.5</v>
      </c>
      <c r="V70" s="146">
        <v>0</v>
      </c>
      <c r="W70" s="146">
        <v>0</v>
      </c>
      <c r="X70" s="146">
        <v>0</v>
      </c>
      <c r="Y70" s="477">
        <v>0.88</v>
      </c>
      <c r="Z70" s="146">
        <v>0.37840000000000001</v>
      </c>
      <c r="AA70" s="477">
        <v>223</v>
      </c>
      <c r="AB70" s="146" t="s">
        <v>943</v>
      </c>
      <c r="AC70" s="146" t="s">
        <v>856</v>
      </c>
      <c r="AG70" s="146">
        <v>0</v>
      </c>
      <c r="AH70" s="146">
        <v>0</v>
      </c>
      <c r="AI70" s="146">
        <v>0</v>
      </c>
      <c r="AJ70" s="146">
        <v>1505</v>
      </c>
      <c r="AK70" s="146">
        <v>903</v>
      </c>
      <c r="AL70" s="146">
        <v>30</v>
      </c>
      <c r="AM70" s="146">
        <v>0</v>
      </c>
      <c r="AQ70" s="146">
        <f t="shared" si="1"/>
        <v>0</v>
      </c>
    </row>
    <row r="71" spans="1:43">
      <c r="A71" s="146" t="s">
        <v>839</v>
      </c>
      <c r="B71" s="146" t="s">
        <v>49</v>
      </c>
      <c r="C71" s="146" t="s">
        <v>968</v>
      </c>
      <c r="D71" s="146" t="s">
        <v>969</v>
      </c>
      <c r="K71" s="477"/>
      <c r="N71" s="477"/>
      <c r="P71" s="477">
        <v>0</v>
      </c>
      <c r="Q71" s="478">
        <v>0</v>
      </c>
      <c r="R71" s="478">
        <v>0</v>
      </c>
      <c r="S71" s="479">
        <v>0</v>
      </c>
      <c r="T71" s="146">
        <v>0</v>
      </c>
      <c r="U71" s="479"/>
      <c r="V71" s="146">
        <v>0</v>
      </c>
      <c r="W71" s="146">
        <v>0</v>
      </c>
      <c r="X71" s="146">
        <v>0</v>
      </c>
      <c r="AF71" s="146" t="s">
        <v>970</v>
      </c>
      <c r="AG71" s="146">
        <v>0</v>
      </c>
      <c r="AH71" s="146">
        <v>0</v>
      </c>
      <c r="AI71" s="146">
        <v>0</v>
      </c>
      <c r="AJ71" s="146">
        <v>0</v>
      </c>
      <c r="AK71" s="146">
        <v>0</v>
      </c>
      <c r="AL71" s="146">
        <v>0</v>
      </c>
      <c r="AM71" s="146">
        <v>0</v>
      </c>
      <c r="AQ71" s="146">
        <f t="shared" si="1"/>
        <v>0</v>
      </c>
    </row>
    <row r="72" spans="1:43">
      <c r="A72" s="146" t="s">
        <v>839</v>
      </c>
      <c r="B72" s="146" t="s">
        <v>49</v>
      </c>
      <c r="C72" s="146" t="s">
        <v>968</v>
      </c>
      <c r="D72" s="146" t="s">
        <v>971</v>
      </c>
      <c r="K72" s="477"/>
      <c r="N72" s="477"/>
      <c r="P72" s="477">
        <v>0</v>
      </c>
      <c r="Q72" s="478">
        <v>0</v>
      </c>
      <c r="R72" s="478">
        <v>0</v>
      </c>
      <c r="S72" s="479">
        <v>0</v>
      </c>
      <c r="T72" s="146">
        <v>0</v>
      </c>
      <c r="U72" s="479"/>
      <c r="V72" s="146">
        <v>0</v>
      </c>
      <c r="W72" s="146">
        <v>0</v>
      </c>
      <c r="X72" s="146">
        <v>0</v>
      </c>
      <c r="AF72" s="146" t="s">
        <v>972</v>
      </c>
      <c r="AG72" s="146">
        <v>0</v>
      </c>
      <c r="AH72" s="146">
        <v>0</v>
      </c>
      <c r="AI72" s="146">
        <v>0</v>
      </c>
      <c r="AJ72" s="146">
        <v>0</v>
      </c>
      <c r="AK72" s="146">
        <v>0</v>
      </c>
      <c r="AL72" s="146">
        <v>0</v>
      </c>
      <c r="AM72" s="146">
        <v>0</v>
      </c>
      <c r="AQ72" s="146">
        <f t="shared" si="1"/>
        <v>0</v>
      </c>
    </row>
    <row r="73" spans="1:43">
      <c r="A73" s="146" t="s">
        <v>839</v>
      </c>
      <c r="B73" s="146" t="s">
        <v>49</v>
      </c>
      <c r="C73" s="146" t="s">
        <v>973</v>
      </c>
      <c r="D73" s="146" t="s">
        <v>973</v>
      </c>
      <c r="E73" s="146" t="s">
        <v>842</v>
      </c>
      <c r="P73" s="477">
        <v>0</v>
      </c>
      <c r="Q73" s="478">
        <v>0</v>
      </c>
      <c r="R73" s="478">
        <v>0</v>
      </c>
      <c r="S73" s="479">
        <v>43.437499999999993</v>
      </c>
      <c r="T73" s="146">
        <v>0</v>
      </c>
      <c r="U73" s="479">
        <v>32.200000000000003</v>
      </c>
      <c r="V73" s="146">
        <v>0</v>
      </c>
      <c r="W73" s="146">
        <v>0</v>
      </c>
      <c r="X73" s="146">
        <v>0</v>
      </c>
      <c r="AB73" s="146" t="s">
        <v>974</v>
      </c>
      <c r="AC73" s="146" t="s">
        <v>975</v>
      </c>
      <c r="AG73" s="146">
        <v>0</v>
      </c>
      <c r="AH73" s="146">
        <v>0</v>
      </c>
      <c r="AI73" s="146">
        <v>0</v>
      </c>
      <c r="AJ73" s="146">
        <v>0</v>
      </c>
      <c r="AK73" s="146">
        <v>0</v>
      </c>
      <c r="AL73" s="146">
        <v>0</v>
      </c>
      <c r="AM73" s="146">
        <v>0</v>
      </c>
      <c r="AQ73" s="146">
        <f t="shared" si="1"/>
        <v>0</v>
      </c>
    </row>
    <row r="74" spans="1:43">
      <c r="A74" s="146" t="s">
        <v>839</v>
      </c>
      <c r="B74" s="146" t="s">
        <v>49</v>
      </c>
      <c r="C74" s="146" t="s">
        <v>976</v>
      </c>
      <c r="D74" s="146" t="s">
        <v>977</v>
      </c>
      <c r="E74" s="146" t="s">
        <v>978</v>
      </c>
      <c r="P74" s="477">
        <v>0</v>
      </c>
      <c r="Q74" s="478">
        <v>0</v>
      </c>
      <c r="R74" s="478">
        <v>0</v>
      </c>
      <c r="S74" s="479">
        <v>0</v>
      </c>
      <c r="T74" s="146">
        <v>0</v>
      </c>
      <c r="U74" s="479">
        <v>100</v>
      </c>
      <c r="V74" s="146">
        <v>0</v>
      </c>
      <c r="W74" s="146">
        <v>0</v>
      </c>
      <c r="X74" s="146">
        <v>0</v>
      </c>
      <c r="Y74" s="146">
        <v>1</v>
      </c>
      <c r="Z74" s="146">
        <v>0.88</v>
      </c>
      <c r="AF74" s="146" t="s">
        <v>979</v>
      </c>
      <c r="AG74" s="146">
        <v>0</v>
      </c>
      <c r="AH74" s="146">
        <v>0</v>
      </c>
      <c r="AI74" s="146">
        <v>0</v>
      </c>
      <c r="AJ74" s="146">
        <v>0</v>
      </c>
      <c r="AK74" s="146">
        <v>0</v>
      </c>
      <c r="AL74" s="146">
        <v>0</v>
      </c>
      <c r="AM74" s="146">
        <v>0</v>
      </c>
      <c r="AQ74" s="146">
        <f t="shared" si="1"/>
        <v>0</v>
      </c>
    </row>
    <row r="75" spans="1:43">
      <c r="A75" s="146" t="s">
        <v>839</v>
      </c>
      <c r="B75" s="146" t="s">
        <v>49</v>
      </c>
      <c r="C75" s="146" t="s">
        <v>980</v>
      </c>
      <c r="D75" s="146" t="s">
        <v>981</v>
      </c>
      <c r="E75" s="146" t="s">
        <v>842</v>
      </c>
      <c r="J75" s="146" t="s">
        <v>843</v>
      </c>
      <c r="K75" s="146">
        <v>500</v>
      </c>
      <c r="L75" s="146" t="s">
        <v>844</v>
      </c>
      <c r="M75" s="146" t="s">
        <v>341</v>
      </c>
      <c r="N75" s="146">
        <v>10</v>
      </c>
      <c r="O75" s="146" t="s">
        <v>845</v>
      </c>
      <c r="P75" s="477">
        <v>5000</v>
      </c>
      <c r="Q75" s="478">
        <v>0</v>
      </c>
      <c r="R75" s="478">
        <v>5000</v>
      </c>
      <c r="S75" s="479">
        <v>0</v>
      </c>
      <c r="T75" s="146">
        <v>5000</v>
      </c>
      <c r="U75" s="479">
        <v>0</v>
      </c>
      <c r="V75" s="146">
        <v>0</v>
      </c>
      <c r="W75" s="146">
        <v>0</v>
      </c>
      <c r="X75" s="146">
        <v>0</v>
      </c>
      <c r="Y75" s="146">
        <v>0.4</v>
      </c>
      <c r="Z75" s="477">
        <v>6.59E-2</v>
      </c>
      <c r="AA75" s="146">
        <v>77.400000000000006</v>
      </c>
      <c r="AB75" s="146" t="s">
        <v>982</v>
      </c>
      <c r="AC75" s="146" t="s">
        <v>983</v>
      </c>
      <c r="AG75" s="146">
        <v>0</v>
      </c>
      <c r="AH75" s="146">
        <v>0</v>
      </c>
      <c r="AI75" s="146">
        <v>0</v>
      </c>
      <c r="AJ75" s="146">
        <v>2000</v>
      </c>
      <c r="AK75" s="146">
        <v>2000</v>
      </c>
      <c r="AL75" s="146">
        <v>2000</v>
      </c>
      <c r="AM75" s="146">
        <v>0</v>
      </c>
      <c r="AQ75" s="146">
        <f t="shared" si="1"/>
        <v>0</v>
      </c>
    </row>
    <row r="76" spans="1:43">
      <c r="A76" s="146" t="s">
        <v>839</v>
      </c>
      <c r="B76" s="146" t="s">
        <v>49</v>
      </c>
      <c r="C76" s="146" t="s">
        <v>984</v>
      </c>
      <c r="D76" s="146" t="s">
        <v>985</v>
      </c>
      <c r="E76" s="146" t="s">
        <v>842</v>
      </c>
      <c r="P76" s="477">
        <v>0</v>
      </c>
      <c r="Q76" s="478">
        <v>0</v>
      </c>
      <c r="R76" s="478">
        <v>0</v>
      </c>
      <c r="S76" s="479">
        <v>85</v>
      </c>
      <c r="T76" s="146">
        <v>0</v>
      </c>
      <c r="U76" s="479">
        <v>95</v>
      </c>
      <c r="V76" s="146">
        <v>0</v>
      </c>
      <c r="W76" s="146">
        <v>0</v>
      </c>
      <c r="X76" s="146">
        <v>0</v>
      </c>
      <c r="Y76" s="146">
        <v>1</v>
      </c>
      <c r="Z76" s="477">
        <v>5.5300000000000002E-2</v>
      </c>
      <c r="AA76" s="146">
        <v>65</v>
      </c>
      <c r="AF76" s="146" t="s">
        <v>979</v>
      </c>
      <c r="AG76" s="146">
        <v>0</v>
      </c>
      <c r="AH76" s="146">
        <v>0</v>
      </c>
      <c r="AI76" s="146">
        <v>0</v>
      </c>
      <c r="AJ76" s="146">
        <v>0</v>
      </c>
      <c r="AK76" s="146">
        <v>0</v>
      </c>
      <c r="AL76" s="146">
        <v>0</v>
      </c>
      <c r="AM76" s="146">
        <v>0</v>
      </c>
      <c r="AQ76" s="146">
        <f t="shared" si="1"/>
        <v>0</v>
      </c>
    </row>
    <row r="77" spans="1:43">
      <c r="A77" s="146" t="s">
        <v>839</v>
      </c>
      <c r="B77" s="146" t="s">
        <v>49</v>
      </c>
      <c r="C77" s="146" t="s">
        <v>986</v>
      </c>
      <c r="D77" s="146" t="s">
        <v>987</v>
      </c>
      <c r="E77" s="146" t="s">
        <v>842</v>
      </c>
      <c r="J77" s="146" t="s">
        <v>843</v>
      </c>
      <c r="K77" s="146">
        <v>6000</v>
      </c>
      <c r="L77" s="146" t="s">
        <v>844</v>
      </c>
      <c r="M77" s="146" t="s">
        <v>341</v>
      </c>
      <c r="N77" s="146">
        <v>29</v>
      </c>
      <c r="O77" s="146" t="s">
        <v>845</v>
      </c>
      <c r="P77" s="477">
        <v>174000</v>
      </c>
      <c r="Q77" s="478">
        <v>0</v>
      </c>
      <c r="R77" s="478">
        <v>174000</v>
      </c>
      <c r="S77" s="479">
        <v>95</v>
      </c>
      <c r="T77" s="146">
        <v>8700</v>
      </c>
      <c r="U77" s="479">
        <v>0</v>
      </c>
      <c r="V77" s="146">
        <v>0</v>
      </c>
      <c r="W77" s="146">
        <v>0</v>
      </c>
      <c r="X77" s="146">
        <v>0</v>
      </c>
      <c r="Y77" s="146">
        <v>0.24</v>
      </c>
      <c r="Z77" s="477">
        <v>7.5999999999999998E-2</v>
      </c>
      <c r="AA77" s="146">
        <v>89.325599999999994</v>
      </c>
      <c r="AB77" s="146" t="s">
        <v>988</v>
      </c>
      <c r="AC77" s="146" t="s">
        <v>983</v>
      </c>
      <c r="AG77" s="146">
        <v>0</v>
      </c>
      <c r="AH77" s="146">
        <v>0</v>
      </c>
      <c r="AI77" s="146">
        <v>0</v>
      </c>
      <c r="AJ77" s="146">
        <v>41760</v>
      </c>
      <c r="AK77" s="146">
        <v>41760</v>
      </c>
      <c r="AL77" s="146">
        <v>2088</v>
      </c>
      <c r="AM77" s="146">
        <v>0</v>
      </c>
      <c r="AQ77" s="146">
        <f t="shared" si="1"/>
        <v>0</v>
      </c>
    </row>
    <row r="78" spans="1:43">
      <c r="A78" s="146" t="s">
        <v>839</v>
      </c>
      <c r="B78" s="146" t="s">
        <v>49</v>
      </c>
      <c r="C78" s="146" t="s">
        <v>989</v>
      </c>
      <c r="D78" s="146" t="s">
        <v>990</v>
      </c>
      <c r="E78" s="146" t="s">
        <v>842</v>
      </c>
      <c r="J78" s="146" t="s">
        <v>843</v>
      </c>
      <c r="K78" s="146">
        <v>3000</v>
      </c>
      <c r="L78" s="146" t="s">
        <v>844</v>
      </c>
      <c r="M78" s="146" t="s">
        <v>341</v>
      </c>
      <c r="N78" s="146">
        <v>36</v>
      </c>
      <c r="O78" s="146" t="s">
        <v>845</v>
      </c>
      <c r="P78" s="477">
        <v>108000</v>
      </c>
      <c r="Q78" s="478">
        <v>0</v>
      </c>
      <c r="R78" s="478">
        <v>108000</v>
      </c>
      <c r="S78" s="479">
        <v>95</v>
      </c>
      <c r="T78" s="146">
        <v>5400</v>
      </c>
      <c r="U78" s="479">
        <v>0</v>
      </c>
      <c r="V78" s="146">
        <v>0</v>
      </c>
      <c r="W78" s="146">
        <v>0</v>
      </c>
      <c r="X78" s="146">
        <v>0</v>
      </c>
      <c r="Y78" s="146">
        <v>0.24</v>
      </c>
      <c r="Z78" s="477">
        <v>7.5999999999999998E-2</v>
      </c>
      <c r="AA78" s="146">
        <v>89.325599999999994</v>
      </c>
      <c r="AC78" s="146" t="s">
        <v>983</v>
      </c>
      <c r="AG78" s="146">
        <v>0</v>
      </c>
      <c r="AH78" s="146">
        <v>0</v>
      </c>
      <c r="AI78" s="146">
        <v>0</v>
      </c>
      <c r="AJ78" s="146">
        <v>25920</v>
      </c>
      <c r="AK78" s="146">
        <v>25920</v>
      </c>
      <c r="AL78" s="146">
        <v>1296</v>
      </c>
      <c r="AM78" s="146">
        <v>0</v>
      </c>
      <c r="AQ78" s="146">
        <f t="shared" si="1"/>
        <v>0</v>
      </c>
    </row>
    <row r="79" spans="1:43">
      <c r="A79" s="146" t="s">
        <v>839</v>
      </c>
      <c r="B79" s="146" t="s">
        <v>991</v>
      </c>
      <c r="C79" s="146" t="s">
        <v>992</v>
      </c>
      <c r="D79" s="146" t="s">
        <v>992</v>
      </c>
      <c r="E79" s="146" t="s">
        <v>993</v>
      </c>
      <c r="N79" s="479"/>
      <c r="T79" s="146">
        <v>22213</v>
      </c>
      <c r="U79" s="479">
        <v>87</v>
      </c>
      <c r="V79" s="146">
        <v>19325</v>
      </c>
      <c r="W79" s="146">
        <v>1000</v>
      </c>
      <c r="X79" s="146">
        <v>20325</v>
      </c>
      <c r="Y79" s="146">
        <v>0.56999999999999995</v>
      </c>
      <c r="Z79" s="146">
        <v>0.24509999999999998</v>
      </c>
      <c r="AB79" s="146" t="s">
        <v>994</v>
      </c>
      <c r="AC79" s="146" t="s">
        <v>995</v>
      </c>
      <c r="AG79" s="146">
        <v>11585</v>
      </c>
      <c r="AH79" s="146">
        <v>4982</v>
      </c>
      <c r="AI79" s="146">
        <v>0</v>
      </c>
      <c r="AJ79" s="146">
        <v>0</v>
      </c>
      <c r="AK79" s="146">
        <v>0</v>
      </c>
      <c r="AL79" s="146">
        <v>12661</v>
      </c>
      <c r="AM79" s="146">
        <v>11015</v>
      </c>
      <c r="AQ79" s="146">
        <v>57941</v>
      </c>
    </row>
    <row r="80" spans="1:43">
      <c r="A80" s="146" t="s">
        <v>839</v>
      </c>
      <c r="B80" s="146" t="s">
        <v>991</v>
      </c>
      <c r="C80" s="146" t="s">
        <v>996</v>
      </c>
      <c r="D80" s="146" t="s">
        <v>996</v>
      </c>
      <c r="E80" s="146" t="s">
        <v>993</v>
      </c>
      <c r="N80" s="479"/>
      <c r="T80" s="146">
        <v>5208</v>
      </c>
      <c r="U80" s="479">
        <v>91</v>
      </c>
      <c r="V80" s="146">
        <v>4739</v>
      </c>
      <c r="W80" s="146">
        <v>1030</v>
      </c>
      <c r="X80" s="146">
        <v>5769</v>
      </c>
      <c r="Y80" s="146">
        <v>0.41</v>
      </c>
      <c r="Z80" s="146">
        <v>0.17629999999999998</v>
      </c>
      <c r="AB80" s="146" t="s">
        <v>994</v>
      </c>
      <c r="AC80" s="146" t="s">
        <v>995</v>
      </c>
      <c r="AG80" s="146">
        <v>2365</v>
      </c>
      <c r="AH80" s="146">
        <v>1017</v>
      </c>
      <c r="AI80" s="146">
        <v>0</v>
      </c>
      <c r="AJ80" s="146">
        <v>0</v>
      </c>
      <c r="AK80" s="146">
        <v>0</v>
      </c>
      <c r="AL80" s="146">
        <v>2135</v>
      </c>
      <c r="AM80" s="146">
        <v>1943</v>
      </c>
      <c r="AQ80" s="146">
        <f t="shared" si="1"/>
        <v>11828</v>
      </c>
    </row>
    <row r="81" spans="1:43">
      <c r="A81" s="146" t="s">
        <v>839</v>
      </c>
      <c r="B81" s="146" t="s">
        <v>991</v>
      </c>
      <c r="C81" s="146" t="s">
        <v>997</v>
      </c>
      <c r="D81" s="146" t="s">
        <v>997</v>
      </c>
      <c r="E81" s="146" t="s">
        <v>993</v>
      </c>
      <c r="N81" s="479"/>
      <c r="T81" s="146">
        <v>7850</v>
      </c>
      <c r="U81" s="479">
        <v>70</v>
      </c>
      <c r="V81" s="146">
        <v>5495</v>
      </c>
      <c r="W81" s="146">
        <v>0</v>
      </c>
      <c r="X81" s="146">
        <v>5495</v>
      </c>
      <c r="Y81" s="146">
        <v>0.56999999999999995</v>
      </c>
      <c r="Z81" s="146">
        <v>0.24509999999999998</v>
      </c>
      <c r="AB81" s="146" t="s">
        <v>998</v>
      </c>
      <c r="AC81" s="146" t="s">
        <v>999</v>
      </c>
      <c r="AG81" s="146">
        <v>3132</v>
      </c>
      <c r="AH81" s="146">
        <v>1347</v>
      </c>
      <c r="AI81" s="146">
        <v>0</v>
      </c>
      <c r="AJ81" s="146">
        <v>0</v>
      </c>
      <c r="AK81" s="146">
        <v>0</v>
      </c>
      <c r="AL81" s="146">
        <v>4474</v>
      </c>
      <c r="AM81" s="146">
        <v>3132</v>
      </c>
      <c r="AQ81" s="146">
        <v>15666</v>
      </c>
    </row>
    <row r="82" spans="1:43">
      <c r="A82" s="146" t="s">
        <v>839</v>
      </c>
      <c r="B82" s="146" t="s">
        <v>991</v>
      </c>
      <c r="C82" s="146" t="s">
        <v>997</v>
      </c>
      <c r="D82" s="146" t="s">
        <v>1000</v>
      </c>
      <c r="E82" s="146" t="s">
        <v>842</v>
      </c>
      <c r="J82" s="146" t="s">
        <v>843</v>
      </c>
      <c r="K82" s="146">
        <v>500</v>
      </c>
      <c r="L82" s="146" t="s">
        <v>844</v>
      </c>
      <c r="M82" s="146" t="s">
        <v>341</v>
      </c>
      <c r="N82" s="479">
        <v>1.66</v>
      </c>
      <c r="O82" s="146" t="s">
        <v>1001</v>
      </c>
      <c r="P82" s="146">
        <v>830</v>
      </c>
      <c r="Q82" s="146">
        <v>50</v>
      </c>
      <c r="R82" s="146">
        <v>415</v>
      </c>
      <c r="S82" s="146">
        <v>0</v>
      </c>
      <c r="T82" s="146">
        <v>415</v>
      </c>
      <c r="U82" s="479">
        <v>10</v>
      </c>
      <c r="V82" s="146">
        <v>42</v>
      </c>
      <c r="W82" s="146">
        <v>0</v>
      </c>
      <c r="X82" s="146">
        <v>42</v>
      </c>
      <c r="Y82" s="146" t="s">
        <v>1002</v>
      </c>
      <c r="Z82" s="146">
        <v>0.24509999999999998</v>
      </c>
      <c r="AG82" s="146">
        <v>24</v>
      </c>
      <c r="AH82" s="146">
        <v>10</v>
      </c>
      <c r="AI82" s="146">
        <v>0</v>
      </c>
      <c r="AJ82" s="146">
        <v>473</v>
      </c>
      <c r="AK82" s="146">
        <v>237</v>
      </c>
      <c r="AL82" s="146">
        <v>237</v>
      </c>
      <c r="AM82" s="146">
        <v>24</v>
      </c>
      <c r="AQ82" s="146">
        <v>116</v>
      </c>
    </row>
    <row r="83" spans="1:43">
      <c r="A83" s="146" t="s">
        <v>839</v>
      </c>
      <c r="B83" s="146" t="s">
        <v>991</v>
      </c>
      <c r="C83" s="146" t="s">
        <v>1003</v>
      </c>
      <c r="D83" s="146" t="s">
        <v>1003</v>
      </c>
      <c r="E83" s="146" t="s">
        <v>993</v>
      </c>
      <c r="N83" s="479"/>
      <c r="R83" s="477"/>
      <c r="S83" s="477"/>
      <c r="T83" s="146">
        <v>6655</v>
      </c>
      <c r="U83" s="479">
        <v>89</v>
      </c>
      <c r="V83" s="146">
        <v>5923</v>
      </c>
      <c r="W83" s="146">
        <v>100</v>
      </c>
      <c r="X83" s="146">
        <v>6023</v>
      </c>
      <c r="Y83" s="477">
        <v>0.56999999999999995</v>
      </c>
      <c r="Z83" s="477">
        <v>0.24509999999999998</v>
      </c>
      <c r="AA83" s="477"/>
      <c r="AB83" s="146" t="s">
        <v>994</v>
      </c>
      <c r="AC83" s="146" t="s">
        <v>995</v>
      </c>
      <c r="AG83" s="146">
        <v>3433</v>
      </c>
      <c r="AH83" s="146">
        <v>1476</v>
      </c>
      <c r="AI83" s="146">
        <v>0</v>
      </c>
      <c r="AJ83" s="146">
        <v>0</v>
      </c>
      <c r="AK83" s="146">
        <v>0</v>
      </c>
      <c r="AL83" s="146">
        <v>3793</v>
      </c>
      <c r="AM83" s="146">
        <v>3376</v>
      </c>
      <c r="AQ83" s="146">
        <f t="shared" si="1"/>
        <v>17166</v>
      </c>
    </row>
    <row r="84" spans="1:43">
      <c r="A84" s="146" t="s">
        <v>839</v>
      </c>
      <c r="B84" s="146" t="s">
        <v>991</v>
      </c>
      <c r="C84" s="146" t="s">
        <v>1004</v>
      </c>
      <c r="D84" s="146" t="s">
        <v>1004</v>
      </c>
      <c r="E84" s="146" t="s">
        <v>993</v>
      </c>
      <c r="N84" s="479"/>
      <c r="R84" s="477"/>
      <c r="S84" s="477"/>
      <c r="T84" s="146">
        <v>15451</v>
      </c>
      <c r="U84" s="479">
        <v>100</v>
      </c>
      <c r="V84" s="146">
        <v>15451</v>
      </c>
      <c r="W84" s="146">
        <v>200</v>
      </c>
      <c r="X84" s="146">
        <v>15651</v>
      </c>
      <c r="Y84" s="477">
        <v>0.41</v>
      </c>
      <c r="Z84" s="477">
        <v>0.17629999999999998</v>
      </c>
      <c r="AA84" s="477"/>
      <c r="AB84" s="146" t="s">
        <v>994</v>
      </c>
      <c r="AC84" s="146" t="s">
        <v>995</v>
      </c>
      <c r="AG84" s="146">
        <v>6417</v>
      </c>
      <c r="AH84" s="146">
        <v>2759</v>
      </c>
      <c r="AI84" s="146">
        <v>0</v>
      </c>
      <c r="AJ84" s="146">
        <v>0</v>
      </c>
      <c r="AK84" s="146">
        <v>0</v>
      </c>
      <c r="AL84" s="146">
        <v>6335</v>
      </c>
      <c r="AM84" s="146">
        <v>6335</v>
      </c>
      <c r="AQ84" s="146">
        <f t="shared" si="1"/>
        <v>32087</v>
      </c>
    </row>
    <row r="85" spans="1:43">
      <c r="A85" s="146" t="s">
        <v>839</v>
      </c>
      <c r="B85" s="146" t="s">
        <v>991</v>
      </c>
      <c r="C85" s="146" t="s">
        <v>1005</v>
      </c>
      <c r="D85" s="146" t="s">
        <v>1005</v>
      </c>
      <c r="E85" s="146" t="s">
        <v>854</v>
      </c>
      <c r="N85" s="479"/>
      <c r="T85" s="146">
        <v>7264</v>
      </c>
      <c r="U85" s="479">
        <v>51</v>
      </c>
      <c r="V85" s="146">
        <v>3705</v>
      </c>
      <c r="W85" s="146">
        <v>0</v>
      </c>
      <c r="X85" s="146">
        <v>3705</v>
      </c>
      <c r="Y85" s="146">
        <v>0.8</v>
      </c>
      <c r="Z85" s="146">
        <v>0.34400000000000003</v>
      </c>
      <c r="AB85" s="146" t="s">
        <v>1006</v>
      </c>
      <c r="AG85" s="146">
        <v>2964</v>
      </c>
      <c r="AH85" s="146">
        <v>1275</v>
      </c>
      <c r="AI85" s="146">
        <v>0</v>
      </c>
      <c r="AJ85" s="146">
        <v>0</v>
      </c>
      <c r="AK85" s="146">
        <v>0</v>
      </c>
      <c r="AL85" s="146">
        <v>5811</v>
      </c>
      <c r="AM85" s="146">
        <v>2964</v>
      </c>
      <c r="AQ85" s="146">
        <v>14828</v>
      </c>
    </row>
    <row r="86" spans="1:43">
      <c r="A86" s="146" t="s">
        <v>839</v>
      </c>
      <c r="B86" s="146" t="s">
        <v>991</v>
      </c>
      <c r="C86" s="146" t="s">
        <v>1007</v>
      </c>
      <c r="D86" s="320" t="s">
        <v>1007</v>
      </c>
      <c r="E86" s="146" t="s">
        <v>842</v>
      </c>
      <c r="M86" s="477"/>
      <c r="N86" s="479"/>
      <c r="T86" s="477"/>
      <c r="U86" s="479"/>
      <c r="V86" s="146">
        <v>1294</v>
      </c>
      <c r="W86" s="146">
        <v>50</v>
      </c>
      <c r="X86" s="146">
        <v>1344</v>
      </c>
      <c r="Y86" s="146">
        <v>0.9</v>
      </c>
      <c r="Z86" s="146">
        <v>0.38700000000000001</v>
      </c>
      <c r="AG86" s="146">
        <v>1210</v>
      </c>
      <c r="AH86" s="146">
        <v>520</v>
      </c>
      <c r="AI86" s="146">
        <v>0</v>
      </c>
      <c r="AJ86" s="146">
        <v>0</v>
      </c>
      <c r="AK86" s="146">
        <v>0</v>
      </c>
      <c r="AL86" s="146">
        <v>0</v>
      </c>
      <c r="AM86" s="146">
        <v>1165</v>
      </c>
      <c r="AN86" s="146" t="s">
        <v>1007</v>
      </c>
      <c r="AO86" s="146">
        <v>1.1100000000000001</v>
      </c>
      <c r="AP86" s="146">
        <v>1166</v>
      </c>
      <c r="AQ86" s="146">
        <v>6048</v>
      </c>
    </row>
    <row r="87" spans="1:43">
      <c r="A87" s="146" t="s">
        <v>839</v>
      </c>
      <c r="B87" s="146" t="s">
        <v>991</v>
      </c>
      <c r="C87" s="146" t="s">
        <v>1007</v>
      </c>
      <c r="D87" s="320" t="s">
        <v>1008</v>
      </c>
      <c r="E87" s="146" t="s">
        <v>842</v>
      </c>
      <c r="M87" s="477"/>
      <c r="N87" s="479"/>
      <c r="T87" s="477"/>
      <c r="U87" s="479"/>
      <c r="V87" s="146">
        <v>4</v>
      </c>
      <c r="W87" s="146">
        <v>150</v>
      </c>
      <c r="X87" s="146">
        <v>154</v>
      </c>
      <c r="Y87" s="146">
        <v>0.9</v>
      </c>
      <c r="Z87" s="146">
        <v>0.38700000000000001</v>
      </c>
      <c r="AG87" s="146">
        <v>139</v>
      </c>
      <c r="AH87" s="146">
        <v>60</v>
      </c>
      <c r="AI87" s="146">
        <v>0</v>
      </c>
      <c r="AJ87" s="146">
        <v>0</v>
      </c>
      <c r="AK87" s="146">
        <v>0</v>
      </c>
      <c r="AL87" s="146">
        <v>0</v>
      </c>
      <c r="AM87" s="146">
        <v>4</v>
      </c>
      <c r="AN87" s="146" t="s">
        <v>1008</v>
      </c>
      <c r="AO87" s="146">
        <v>1.1100000000000001</v>
      </c>
      <c r="AP87" s="146">
        <v>4</v>
      </c>
      <c r="AQ87" s="146">
        <v>698</v>
      </c>
    </row>
    <row r="88" spans="1:43">
      <c r="A88" s="146" t="s">
        <v>839</v>
      </c>
      <c r="B88" s="146" t="s">
        <v>991</v>
      </c>
      <c r="C88" s="146" t="s">
        <v>1009</v>
      </c>
      <c r="D88" s="320" t="s">
        <v>1009</v>
      </c>
      <c r="E88" s="146" t="s">
        <v>854</v>
      </c>
      <c r="N88" s="479"/>
      <c r="U88" s="479"/>
      <c r="V88" s="146">
        <v>1463</v>
      </c>
      <c r="W88" s="146">
        <v>0</v>
      </c>
      <c r="X88" s="146">
        <v>1463</v>
      </c>
      <c r="Y88" s="146">
        <v>1</v>
      </c>
      <c r="Z88" s="146">
        <v>0.33200000000000002</v>
      </c>
      <c r="AB88" s="146" t="s">
        <v>1010</v>
      </c>
      <c r="AG88" s="146">
        <v>1463</v>
      </c>
      <c r="AH88" s="146">
        <v>486</v>
      </c>
      <c r="AI88" s="146">
        <v>0</v>
      </c>
      <c r="AJ88" s="146">
        <v>0</v>
      </c>
      <c r="AK88" s="146">
        <v>0</v>
      </c>
      <c r="AL88" s="146">
        <v>0</v>
      </c>
      <c r="AM88" s="146">
        <v>0</v>
      </c>
      <c r="AN88" s="146" t="s">
        <v>1009</v>
      </c>
      <c r="AO88" s="146">
        <v>1</v>
      </c>
      <c r="AP88" s="146">
        <v>1463</v>
      </c>
      <c r="AQ88" s="146">
        <f t="shared" si="1"/>
        <v>5652</v>
      </c>
    </row>
    <row r="89" spans="1:43">
      <c r="A89" s="146" t="s">
        <v>839</v>
      </c>
      <c r="B89" s="146" t="s">
        <v>991</v>
      </c>
      <c r="C89" s="146" t="s">
        <v>1011</v>
      </c>
      <c r="D89" s="146" t="s">
        <v>1012</v>
      </c>
      <c r="E89" s="146" t="s">
        <v>993</v>
      </c>
      <c r="N89" s="479"/>
      <c r="T89" s="146">
        <v>4149</v>
      </c>
      <c r="U89" s="479">
        <v>3</v>
      </c>
      <c r="V89" s="146">
        <v>124</v>
      </c>
      <c r="W89" s="146">
        <v>0</v>
      </c>
      <c r="X89" s="146">
        <v>124</v>
      </c>
      <c r="Y89" s="146">
        <v>0.56999999999999995</v>
      </c>
      <c r="Z89" s="146">
        <v>0.24509999999999998</v>
      </c>
      <c r="AB89" s="146" t="s">
        <v>994</v>
      </c>
      <c r="AC89" s="146" t="s">
        <v>995</v>
      </c>
      <c r="AG89" s="146">
        <v>71</v>
      </c>
      <c r="AH89" s="146">
        <v>30</v>
      </c>
      <c r="AI89" s="146">
        <v>0</v>
      </c>
      <c r="AJ89" s="146">
        <v>0</v>
      </c>
      <c r="AK89" s="146">
        <v>0</v>
      </c>
      <c r="AL89" s="146">
        <v>2365</v>
      </c>
      <c r="AM89" s="146">
        <v>71</v>
      </c>
      <c r="AQ89" s="146">
        <f t="shared" si="1"/>
        <v>349</v>
      </c>
    </row>
    <row r="90" spans="1:43">
      <c r="A90" s="146" t="s">
        <v>839</v>
      </c>
      <c r="B90" s="146" t="s">
        <v>991</v>
      </c>
      <c r="C90" s="146" t="s">
        <v>1011</v>
      </c>
      <c r="D90" s="146" t="s">
        <v>1013</v>
      </c>
      <c r="E90" s="146" t="s">
        <v>993</v>
      </c>
      <c r="N90" s="479"/>
      <c r="T90" s="146">
        <v>2746</v>
      </c>
      <c r="U90" s="479">
        <v>5</v>
      </c>
      <c r="V90" s="146">
        <v>137</v>
      </c>
      <c r="W90" s="146">
        <v>0</v>
      </c>
      <c r="X90" s="146">
        <v>137</v>
      </c>
      <c r="Y90" s="146">
        <v>0.41</v>
      </c>
      <c r="Z90" s="146">
        <v>0.17629999999999998</v>
      </c>
      <c r="AB90" s="146" t="s">
        <v>994</v>
      </c>
      <c r="AG90" s="146">
        <v>56</v>
      </c>
      <c r="AH90" s="146">
        <v>24</v>
      </c>
      <c r="AI90" s="146">
        <v>0</v>
      </c>
      <c r="AJ90" s="146">
        <v>0</v>
      </c>
      <c r="AK90" s="146">
        <v>0</v>
      </c>
      <c r="AL90" s="146">
        <v>1126</v>
      </c>
      <c r="AM90" s="146">
        <v>56</v>
      </c>
      <c r="AQ90" s="146">
        <f t="shared" si="1"/>
        <v>279</v>
      </c>
    </row>
    <row r="91" spans="1:43">
      <c r="A91" s="146" t="s">
        <v>839</v>
      </c>
      <c r="B91" s="146" t="s">
        <v>991</v>
      </c>
      <c r="C91" s="146" t="s">
        <v>1014</v>
      </c>
      <c r="D91" s="320" t="s">
        <v>1014</v>
      </c>
      <c r="E91" s="146" t="s">
        <v>842</v>
      </c>
      <c r="M91" s="477"/>
      <c r="N91" s="479"/>
      <c r="T91" s="477"/>
      <c r="U91" s="479"/>
      <c r="V91" s="146">
        <v>6098</v>
      </c>
      <c r="W91" s="146">
        <v>866</v>
      </c>
      <c r="X91" s="146">
        <v>6964</v>
      </c>
      <c r="Y91" s="146">
        <v>0.73</v>
      </c>
      <c r="Z91" s="146">
        <v>0.31390000000000001</v>
      </c>
      <c r="AG91" s="146">
        <v>5084</v>
      </c>
      <c r="AH91" s="146">
        <v>2186</v>
      </c>
      <c r="AI91" s="146">
        <v>0</v>
      </c>
      <c r="AJ91" s="146">
        <v>0</v>
      </c>
      <c r="AK91" s="146">
        <v>0</v>
      </c>
      <c r="AL91" s="146">
        <v>0</v>
      </c>
      <c r="AM91" s="146">
        <v>4452</v>
      </c>
      <c r="AN91" s="146" t="s">
        <v>1014</v>
      </c>
      <c r="AO91" s="146">
        <v>1.37</v>
      </c>
      <c r="AP91" s="146">
        <v>4451</v>
      </c>
      <c r="AQ91" s="146">
        <v>25423</v>
      </c>
    </row>
    <row r="92" spans="1:43">
      <c r="A92" s="146" t="s">
        <v>839</v>
      </c>
      <c r="B92" s="146" t="s">
        <v>991</v>
      </c>
      <c r="C92" s="146" t="s">
        <v>1015</v>
      </c>
      <c r="D92" s="146" t="s">
        <v>1015</v>
      </c>
      <c r="E92" s="146" t="s">
        <v>854</v>
      </c>
      <c r="N92" s="479"/>
      <c r="T92" s="146">
        <v>935</v>
      </c>
      <c r="U92" s="479">
        <v>53</v>
      </c>
      <c r="V92" s="146">
        <v>496</v>
      </c>
      <c r="W92" s="146">
        <v>0</v>
      </c>
      <c r="X92" s="146">
        <v>496</v>
      </c>
      <c r="Y92" s="146">
        <v>0.5</v>
      </c>
      <c r="Z92" s="146">
        <v>0.215</v>
      </c>
      <c r="AB92" s="146" t="s">
        <v>1016</v>
      </c>
      <c r="AG92" s="146">
        <v>248</v>
      </c>
      <c r="AH92" s="146">
        <v>107</v>
      </c>
      <c r="AI92" s="146">
        <v>0</v>
      </c>
      <c r="AJ92" s="146">
        <v>0</v>
      </c>
      <c r="AK92" s="146">
        <v>0</v>
      </c>
      <c r="AL92" s="146">
        <v>468</v>
      </c>
      <c r="AM92" s="146">
        <v>248</v>
      </c>
      <c r="AQ92" s="146">
        <f t="shared" si="1"/>
        <v>1244</v>
      </c>
    </row>
    <row r="93" spans="1:43">
      <c r="A93" s="146" t="s">
        <v>839</v>
      </c>
      <c r="B93" s="146" t="s">
        <v>1017</v>
      </c>
      <c r="C93" s="146" t="s">
        <v>1018</v>
      </c>
      <c r="D93" s="146" t="s">
        <v>1019</v>
      </c>
      <c r="E93" s="146" t="s">
        <v>842</v>
      </c>
      <c r="J93" s="146" t="s">
        <v>1020</v>
      </c>
      <c r="K93" s="146">
        <v>18.026</v>
      </c>
      <c r="L93" s="146" t="s">
        <v>1021</v>
      </c>
      <c r="M93" s="146" t="s">
        <v>1022</v>
      </c>
      <c r="N93" s="146">
        <v>4.9000000000000004</v>
      </c>
      <c r="O93" s="146" t="s">
        <v>1023</v>
      </c>
      <c r="P93" s="477">
        <v>88</v>
      </c>
      <c r="Q93" s="478">
        <v>0</v>
      </c>
      <c r="R93" s="478">
        <v>88</v>
      </c>
      <c r="S93" s="479">
        <v>100</v>
      </c>
      <c r="T93" s="146">
        <v>0</v>
      </c>
      <c r="U93" s="479">
        <v>50</v>
      </c>
      <c r="V93" s="146">
        <v>0</v>
      </c>
      <c r="W93" s="146">
        <v>0</v>
      </c>
      <c r="X93" s="146">
        <v>0</v>
      </c>
      <c r="Y93" s="146">
        <v>0.38</v>
      </c>
      <c r="Z93" s="477">
        <v>0.2979</v>
      </c>
      <c r="AA93" s="146">
        <v>350</v>
      </c>
      <c r="AB93" s="146" t="s">
        <v>974</v>
      </c>
      <c r="AC93" s="146" t="s">
        <v>975</v>
      </c>
      <c r="AG93" s="146">
        <v>0</v>
      </c>
      <c r="AH93" s="146">
        <v>0</v>
      </c>
      <c r="AI93" s="146">
        <v>0</v>
      </c>
      <c r="AJ93" s="146">
        <v>33</v>
      </c>
      <c r="AK93" s="146">
        <v>33</v>
      </c>
      <c r="AL93" s="146">
        <v>0</v>
      </c>
      <c r="AM93" s="146">
        <v>0</v>
      </c>
      <c r="AQ93" s="146">
        <f t="shared" si="1"/>
        <v>0</v>
      </c>
    </row>
    <row r="94" spans="1:43">
      <c r="A94" s="146" t="s">
        <v>839</v>
      </c>
      <c r="B94" s="146" t="s">
        <v>1017</v>
      </c>
      <c r="C94" s="146" t="s">
        <v>1024</v>
      </c>
      <c r="D94" s="146" t="s">
        <v>1025</v>
      </c>
      <c r="E94" s="146" t="s">
        <v>842</v>
      </c>
      <c r="J94" s="146" t="s">
        <v>1020</v>
      </c>
      <c r="K94" s="146">
        <v>21.35</v>
      </c>
      <c r="L94" s="146" t="s">
        <v>1021</v>
      </c>
      <c r="M94" s="146" t="s">
        <v>1022</v>
      </c>
      <c r="N94" s="146">
        <v>10</v>
      </c>
      <c r="O94" s="146" t="s">
        <v>1023</v>
      </c>
      <c r="P94" s="477">
        <v>214</v>
      </c>
      <c r="Q94" s="478">
        <v>0</v>
      </c>
      <c r="R94" s="478">
        <v>214</v>
      </c>
      <c r="S94" s="479">
        <v>100</v>
      </c>
      <c r="T94" s="146">
        <v>0</v>
      </c>
      <c r="U94" s="479">
        <v>80</v>
      </c>
      <c r="V94" s="146">
        <v>0</v>
      </c>
      <c r="W94" s="146">
        <v>0</v>
      </c>
      <c r="X94" s="146">
        <v>0</v>
      </c>
      <c r="Y94" s="146">
        <v>0.9</v>
      </c>
      <c r="Z94" s="477">
        <v>0.25540000000000002</v>
      </c>
      <c r="AA94" s="146">
        <v>300</v>
      </c>
      <c r="AB94" s="146" t="s">
        <v>974</v>
      </c>
      <c r="AC94" s="146" t="s">
        <v>975</v>
      </c>
      <c r="AG94" s="146">
        <v>0</v>
      </c>
      <c r="AH94" s="146">
        <v>0</v>
      </c>
      <c r="AI94" s="146">
        <v>0</v>
      </c>
      <c r="AJ94" s="146">
        <v>193</v>
      </c>
      <c r="AK94" s="146">
        <v>193</v>
      </c>
      <c r="AL94" s="146">
        <v>0</v>
      </c>
      <c r="AM94" s="146">
        <v>0</v>
      </c>
      <c r="AQ94" s="146">
        <v>0</v>
      </c>
    </row>
    <row r="95" spans="1:43">
      <c r="A95" s="146" t="s">
        <v>839</v>
      </c>
      <c r="B95" s="146" t="s">
        <v>1017</v>
      </c>
      <c r="C95" s="146" t="s">
        <v>1024</v>
      </c>
      <c r="D95" s="146" t="s">
        <v>1026</v>
      </c>
      <c r="E95" s="146" t="s">
        <v>842</v>
      </c>
      <c r="J95" s="146" t="s">
        <v>1020</v>
      </c>
      <c r="K95" s="146">
        <v>38.677</v>
      </c>
      <c r="L95" s="146" t="s">
        <v>1021</v>
      </c>
      <c r="M95" s="146" t="s">
        <v>1022</v>
      </c>
      <c r="N95" s="146">
        <v>7</v>
      </c>
      <c r="O95" s="146" t="s">
        <v>1023</v>
      </c>
      <c r="P95" s="477">
        <v>271</v>
      </c>
      <c r="Q95" s="478">
        <v>0</v>
      </c>
      <c r="R95" s="478">
        <v>271</v>
      </c>
      <c r="S95" s="479">
        <v>100</v>
      </c>
      <c r="T95" s="146">
        <v>0</v>
      </c>
      <c r="U95" s="479">
        <v>80</v>
      </c>
      <c r="V95" s="146">
        <v>0</v>
      </c>
      <c r="W95" s="146">
        <v>0</v>
      </c>
      <c r="X95" s="146">
        <v>0</v>
      </c>
      <c r="Y95" s="146">
        <v>0.1</v>
      </c>
      <c r="Z95" s="477">
        <v>0.34050000000000002</v>
      </c>
      <c r="AA95" s="146">
        <v>400</v>
      </c>
      <c r="AB95" s="146" t="s">
        <v>974</v>
      </c>
      <c r="AC95" s="146" t="s">
        <v>975</v>
      </c>
      <c r="AG95" s="146">
        <v>0</v>
      </c>
      <c r="AH95" s="146">
        <v>0</v>
      </c>
      <c r="AI95" s="146">
        <v>0</v>
      </c>
      <c r="AJ95" s="146">
        <v>27</v>
      </c>
      <c r="AK95" s="146">
        <v>27</v>
      </c>
      <c r="AL95" s="146">
        <v>0</v>
      </c>
      <c r="AM95" s="146">
        <v>0</v>
      </c>
      <c r="AQ95" s="146">
        <v>0</v>
      </c>
    </row>
    <row r="96" spans="1:43">
      <c r="A96" s="146" t="s">
        <v>839</v>
      </c>
      <c r="B96" s="146" t="s">
        <v>1017</v>
      </c>
      <c r="C96" s="146" t="s">
        <v>1024</v>
      </c>
      <c r="D96" s="146" t="s">
        <v>1027</v>
      </c>
      <c r="E96" s="146" t="s">
        <v>842</v>
      </c>
      <c r="J96" s="146" t="s">
        <v>1020</v>
      </c>
      <c r="K96" s="146">
        <v>7.516</v>
      </c>
      <c r="L96" s="146" t="s">
        <v>1021</v>
      </c>
      <c r="M96" s="146" t="s">
        <v>1022</v>
      </c>
      <c r="N96" s="146">
        <v>2000</v>
      </c>
      <c r="O96" s="146" t="s">
        <v>1023</v>
      </c>
      <c r="P96" s="477">
        <v>15032</v>
      </c>
      <c r="Q96" s="478">
        <v>0</v>
      </c>
      <c r="R96" s="478">
        <v>15032</v>
      </c>
      <c r="S96" s="479">
        <v>100</v>
      </c>
      <c r="T96" s="146">
        <v>0</v>
      </c>
      <c r="U96" s="479">
        <v>80</v>
      </c>
      <c r="V96" s="146">
        <v>0</v>
      </c>
      <c r="W96" s="146">
        <v>0</v>
      </c>
      <c r="X96" s="146">
        <v>0</v>
      </c>
      <c r="Y96" s="146">
        <v>0.11</v>
      </c>
      <c r="Z96" s="477">
        <v>0.28089999999999998</v>
      </c>
      <c r="AA96" s="146">
        <v>330</v>
      </c>
      <c r="AB96" s="146" t="s">
        <v>974</v>
      </c>
      <c r="AC96" s="146" t="s">
        <v>975</v>
      </c>
      <c r="AG96" s="146">
        <v>0</v>
      </c>
      <c r="AH96" s="146">
        <v>0</v>
      </c>
      <c r="AI96" s="146">
        <v>0</v>
      </c>
      <c r="AJ96" s="146">
        <v>1654</v>
      </c>
      <c r="AK96" s="146">
        <v>1654</v>
      </c>
      <c r="AL96" s="146">
        <v>0</v>
      </c>
      <c r="AM96" s="146">
        <v>0</v>
      </c>
      <c r="AQ96" s="146">
        <f t="shared" si="1"/>
        <v>0</v>
      </c>
    </row>
    <row r="97" spans="1:43">
      <c r="A97" s="146" t="s">
        <v>839</v>
      </c>
      <c r="B97" s="146" t="s">
        <v>1017</v>
      </c>
      <c r="C97" s="146" t="s">
        <v>1028</v>
      </c>
      <c r="D97" s="146" t="s">
        <v>1029</v>
      </c>
      <c r="E97" s="146" t="s">
        <v>842</v>
      </c>
      <c r="J97" s="146" t="s">
        <v>1020</v>
      </c>
      <c r="K97" s="146">
        <v>4.2160000000000002</v>
      </c>
      <c r="L97" s="146" t="s">
        <v>1021</v>
      </c>
      <c r="M97" s="146" t="s">
        <v>1022</v>
      </c>
      <c r="N97" s="146">
        <v>59</v>
      </c>
      <c r="O97" s="146" t="s">
        <v>1023</v>
      </c>
      <c r="P97" s="477">
        <v>249</v>
      </c>
      <c r="Q97" s="478">
        <v>0</v>
      </c>
      <c r="R97" s="478">
        <v>249</v>
      </c>
      <c r="S97" s="479">
        <v>90</v>
      </c>
      <c r="T97" s="146">
        <v>25</v>
      </c>
      <c r="U97" s="479">
        <v>50</v>
      </c>
      <c r="V97" s="146">
        <v>12</v>
      </c>
      <c r="W97" s="146">
        <v>0</v>
      </c>
      <c r="X97" s="146">
        <v>12</v>
      </c>
      <c r="Y97" s="146">
        <v>0.22</v>
      </c>
      <c r="Z97" s="477">
        <v>0.2979</v>
      </c>
      <c r="AA97" s="146">
        <v>350</v>
      </c>
      <c r="AB97" s="146" t="s">
        <v>974</v>
      </c>
      <c r="AC97" s="146" t="s">
        <v>975</v>
      </c>
      <c r="AG97" s="146">
        <v>3</v>
      </c>
      <c r="AH97" s="146">
        <v>4</v>
      </c>
      <c r="AI97" s="146">
        <v>4200</v>
      </c>
      <c r="AJ97" s="146">
        <v>55</v>
      </c>
      <c r="AK97" s="146">
        <v>55</v>
      </c>
      <c r="AL97" s="146">
        <v>6</v>
      </c>
      <c r="AM97" s="146">
        <v>3</v>
      </c>
      <c r="AQ97" s="146">
        <f t="shared" si="1"/>
        <v>47</v>
      </c>
    </row>
    <row r="98" spans="1:43">
      <c r="A98" s="146" t="s">
        <v>839</v>
      </c>
      <c r="B98" s="146" t="s">
        <v>1017</v>
      </c>
      <c r="C98" s="146" t="s">
        <v>1028</v>
      </c>
      <c r="D98" s="146" t="s">
        <v>1030</v>
      </c>
      <c r="E98" s="146" t="s">
        <v>842</v>
      </c>
      <c r="J98" s="146" t="s">
        <v>1020</v>
      </c>
      <c r="K98" s="146">
        <v>8.0429999999999993</v>
      </c>
      <c r="L98" s="146" t="s">
        <v>1021</v>
      </c>
      <c r="M98" s="146" t="s">
        <v>1022</v>
      </c>
      <c r="N98" s="146">
        <v>12.3</v>
      </c>
      <c r="O98" s="146" t="s">
        <v>1023</v>
      </c>
      <c r="P98" s="477">
        <v>99</v>
      </c>
      <c r="Q98" s="478">
        <v>0</v>
      </c>
      <c r="R98" s="478">
        <v>99</v>
      </c>
      <c r="S98" s="479">
        <v>90</v>
      </c>
      <c r="T98" s="146">
        <v>10</v>
      </c>
      <c r="U98" s="479">
        <v>50</v>
      </c>
      <c r="V98" s="146">
        <v>5</v>
      </c>
      <c r="W98" s="146">
        <v>0</v>
      </c>
      <c r="X98" s="146">
        <v>5</v>
      </c>
      <c r="Y98" s="146">
        <v>0.18</v>
      </c>
      <c r="Z98" s="477">
        <v>0.25540000000000002</v>
      </c>
      <c r="AA98" s="146">
        <v>300</v>
      </c>
      <c r="AB98" s="146" t="s">
        <v>974</v>
      </c>
      <c r="AC98" s="146" t="s">
        <v>975</v>
      </c>
      <c r="AG98" s="146">
        <v>1</v>
      </c>
      <c r="AH98" s="146">
        <v>1</v>
      </c>
      <c r="AI98" s="146">
        <v>1500</v>
      </c>
      <c r="AJ98" s="146">
        <v>18</v>
      </c>
      <c r="AK98" s="146">
        <v>18</v>
      </c>
      <c r="AL98" s="146">
        <v>2</v>
      </c>
      <c r="AM98" s="146">
        <v>1</v>
      </c>
      <c r="AQ98" s="146">
        <f t="shared" si="1"/>
        <v>12</v>
      </c>
    </row>
    <row r="99" spans="1:43">
      <c r="A99" s="146" t="s">
        <v>839</v>
      </c>
      <c r="B99" s="146" t="s">
        <v>1017</v>
      </c>
      <c r="C99" s="146" t="s">
        <v>1028</v>
      </c>
      <c r="D99" s="146" t="s">
        <v>1031</v>
      </c>
      <c r="E99" s="146" t="s">
        <v>842</v>
      </c>
      <c r="J99" s="146" t="s">
        <v>1020</v>
      </c>
      <c r="K99" s="146">
        <v>0.45700000000000002</v>
      </c>
      <c r="L99" s="146" t="s">
        <v>1021</v>
      </c>
      <c r="M99" s="146" t="s">
        <v>1022</v>
      </c>
      <c r="N99" s="146">
        <v>12.3</v>
      </c>
      <c r="O99" s="146" t="s">
        <v>1023</v>
      </c>
      <c r="P99" s="477">
        <v>6</v>
      </c>
      <c r="Q99" s="478">
        <v>0</v>
      </c>
      <c r="R99" s="478">
        <v>6</v>
      </c>
      <c r="S99" s="479">
        <v>90</v>
      </c>
      <c r="T99" s="146">
        <v>1</v>
      </c>
      <c r="U99" s="479">
        <v>50</v>
      </c>
      <c r="V99" s="146">
        <v>0</v>
      </c>
      <c r="W99" s="146">
        <v>0</v>
      </c>
      <c r="X99" s="146">
        <v>0</v>
      </c>
      <c r="Y99" s="146">
        <v>0.18</v>
      </c>
      <c r="Z99" s="477">
        <v>0.25540000000000002</v>
      </c>
      <c r="AA99" s="146">
        <v>300</v>
      </c>
      <c r="AB99" s="146" t="s">
        <v>974</v>
      </c>
      <c r="AC99" s="146" t="s">
        <v>975</v>
      </c>
      <c r="AG99" s="146">
        <v>0</v>
      </c>
      <c r="AH99" s="146">
        <v>0</v>
      </c>
      <c r="AI99" s="146">
        <v>0</v>
      </c>
      <c r="AJ99" s="146">
        <v>1</v>
      </c>
      <c r="AK99" s="146">
        <v>1</v>
      </c>
      <c r="AL99" s="146">
        <v>0</v>
      </c>
      <c r="AM99" s="146">
        <v>0</v>
      </c>
      <c r="AQ99" s="146">
        <f t="shared" si="1"/>
        <v>0</v>
      </c>
    </row>
    <row r="100" spans="1:43">
      <c r="A100" s="146" t="s">
        <v>839</v>
      </c>
      <c r="B100" s="146" t="s">
        <v>1017</v>
      </c>
      <c r="C100" s="146" t="s">
        <v>1028</v>
      </c>
      <c r="D100" s="146" t="s">
        <v>1032</v>
      </c>
      <c r="E100" s="146" t="s">
        <v>842</v>
      </c>
      <c r="J100" s="146" t="s">
        <v>1020</v>
      </c>
      <c r="K100" s="146">
        <v>0.58499999999999996</v>
      </c>
      <c r="L100" s="146" t="s">
        <v>1021</v>
      </c>
      <c r="M100" s="146" t="s">
        <v>1022</v>
      </c>
      <c r="N100" s="146">
        <v>130.5</v>
      </c>
      <c r="O100" s="146" t="s">
        <v>1023</v>
      </c>
      <c r="P100" s="477">
        <v>76</v>
      </c>
      <c r="Q100" s="478">
        <v>0</v>
      </c>
      <c r="R100" s="478">
        <v>76</v>
      </c>
      <c r="S100" s="479">
        <v>90</v>
      </c>
      <c r="T100" s="146">
        <v>8</v>
      </c>
      <c r="U100" s="479">
        <v>50</v>
      </c>
      <c r="V100" s="146">
        <v>4</v>
      </c>
      <c r="W100" s="146">
        <v>0</v>
      </c>
      <c r="X100" s="146">
        <v>4</v>
      </c>
      <c r="Y100" s="146">
        <v>0.97</v>
      </c>
      <c r="Z100" s="477">
        <v>0.2979</v>
      </c>
      <c r="AA100" s="146">
        <v>350</v>
      </c>
      <c r="AB100" s="146" t="s">
        <v>974</v>
      </c>
      <c r="AC100" s="146" t="s">
        <v>975</v>
      </c>
      <c r="AG100" s="146">
        <v>4</v>
      </c>
      <c r="AH100" s="146">
        <v>1</v>
      </c>
      <c r="AI100" s="146">
        <v>1400</v>
      </c>
      <c r="AJ100" s="146">
        <v>74</v>
      </c>
      <c r="AK100" s="146">
        <v>74</v>
      </c>
      <c r="AL100" s="146">
        <v>8</v>
      </c>
      <c r="AM100" s="146">
        <v>4</v>
      </c>
      <c r="AQ100" s="146">
        <f t="shared" si="1"/>
        <v>12</v>
      </c>
    </row>
    <row r="101" spans="1:43">
      <c r="A101" s="146" t="s">
        <v>839</v>
      </c>
      <c r="B101" s="146" t="s">
        <v>1017</v>
      </c>
      <c r="C101" s="146" t="s">
        <v>1028</v>
      </c>
      <c r="D101" s="146" t="s">
        <v>1033</v>
      </c>
      <c r="E101" s="146" t="s">
        <v>842</v>
      </c>
      <c r="J101" s="146" t="s">
        <v>1020</v>
      </c>
      <c r="K101" s="146">
        <v>0.47199999999999998</v>
      </c>
      <c r="L101" s="146" t="s">
        <v>1021</v>
      </c>
      <c r="M101" s="146" t="s">
        <v>1022</v>
      </c>
      <c r="N101" s="146">
        <v>284.3</v>
      </c>
      <c r="O101" s="146" t="s">
        <v>1023</v>
      </c>
      <c r="P101" s="477">
        <v>134</v>
      </c>
      <c r="Q101" s="478">
        <v>0</v>
      </c>
      <c r="R101" s="478">
        <v>134</v>
      </c>
      <c r="S101" s="479">
        <v>90</v>
      </c>
      <c r="T101" s="146">
        <v>13</v>
      </c>
      <c r="U101" s="479">
        <v>50</v>
      </c>
      <c r="V101" s="146">
        <v>6</v>
      </c>
      <c r="W101" s="146">
        <v>0</v>
      </c>
      <c r="X101" s="146">
        <v>6</v>
      </c>
      <c r="Y101" s="146">
        <v>0.14000000000000001</v>
      </c>
      <c r="Z101" s="477">
        <v>0.2979</v>
      </c>
      <c r="AA101" s="146">
        <v>350</v>
      </c>
      <c r="AB101" s="146" t="s">
        <v>974</v>
      </c>
      <c r="AC101" s="146" t="s">
        <v>975</v>
      </c>
      <c r="AG101" s="146">
        <v>1</v>
      </c>
      <c r="AH101" s="146">
        <v>2</v>
      </c>
      <c r="AI101" s="146">
        <v>2100</v>
      </c>
      <c r="AJ101" s="146">
        <v>19</v>
      </c>
      <c r="AK101" s="146">
        <v>19</v>
      </c>
      <c r="AL101" s="146">
        <v>2</v>
      </c>
      <c r="AM101" s="146">
        <v>1</v>
      </c>
      <c r="AQ101" s="146">
        <f t="shared" si="1"/>
        <v>23</v>
      </c>
    </row>
    <row r="102" spans="1:43">
      <c r="A102" s="146" t="s">
        <v>839</v>
      </c>
      <c r="B102" s="146" t="s">
        <v>1017</v>
      </c>
      <c r="C102" s="146" t="s">
        <v>1028</v>
      </c>
      <c r="D102" s="146" t="s">
        <v>1034</v>
      </c>
      <c r="E102" s="146" t="s">
        <v>842</v>
      </c>
      <c r="J102" s="146" t="s">
        <v>1020</v>
      </c>
      <c r="K102" s="146">
        <v>7.8280000000000003</v>
      </c>
      <c r="L102" s="146" t="s">
        <v>1021</v>
      </c>
      <c r="M102" s="146" t="s">
        <v>1022</v>
      </c>
      <c r="N102" s="146">
        <v>142.1</v>
      </c>
      <c r="O102" s="146" t="s">
        <v>1023</v>
      </c>
      <c r="P102" s="477">
        <v>1112</v>
      </c>
      <c r="Q102" s="478">
        <v>0</v>
      </c>
      <c r="R102" s="478">
        <v>1112</v>
      </c>
      <c r="S102" s="479">
        <v>90</v>
      </c>
      <c r="T102" s="146">
        <v>111</v>
      </c>
      <c r="U102" s="479">
        <v>50</v>
      </c>
      <c r="V102" s="146">
        <v>56</v>
      </c>
      <c r="W102" s="146">
        <v>0</v>
      </c>
      <c r="X102" s="146">
        <v>56</v>
      </c>
      <c r="Y102" s="146">
        <v>0.75</v>
      </c>
      <c r="Z102" s="477">
        <v>0.2979</v>
      </c>
      <c r="AA102" s="146">
        <v>350</v>
      </c>
      <c r="AB102" s="146" t="s">
        <v>974</v>
      </c>
      <c r="AC102" s="146" t="s">
        <v>975</v>
      </c>
      <c r="AG102" s="146">
        <v>42</v>
      </c>
      <c r="AH102" s="146">
        <v>17</v>
      </c>
      <c r="AI102" s="146">
        <v>19600</v>
      </c>
      <c r="AJ102" s="146">
        <v>834</v>
      </c>
      <c r="AK102" s="146">
        <v>834</v>
      </c>
      <c r="AL102" s="146">
        <v>83</v>
      </c>
      <c r="AM102" s="146">
        <v>42</v>
      </c>
      <c r="AQ102" s="146">
        <f t="shared" si="1"/>
        <v>198</v>
      </c>
    </row>
    <row r="103" spans="1:43">
      <c r="A103" s="146" t="s">
        <v>839</v>
      </c>
      <c r="B103" s="146" t="s">
        <v>1017</v>
      </c>
      <c r="C103" s="146" t="s">
        <v>1028</v>
      </c>
      <c r="D103" s="146" t="s">
        <v>1035</v>
      </c>
      <c r="E103" s="146" t="s">
        <v>842</v>
      </c>
      <c r="J103" s="146" t="s">
        <v>1020</v>
      </c>
      <c r="K103" s="146">
        <v>5.0529999999999999</v>
      </c>
      <c r="L103" s="146" t="s">
        <v>1021</v>
      </c>
      <c r="M103" s="146" t="s">
        <v>1022</v>
      </c>
      <c r="N103" s="146">
        <v>142.1</v>
      </c>
      <c r="O103" s="146" t="s">
        <v>1023</v>
      </c>
      <c r="P103" s="477">
        <v>718</v>
      </c>
      <c r="Q103" s="478">
        <v>0</v>
      </c>
      <c r="R103" s="478">
        <v>718</v>
      </c>
      <c r="S103" s="479">
        <v>90</v>
      </c>
      <c r="T103" s="146">
        <v>72</v>
      </c>
      <c r="U103" s="479">
        <v>50</v>
      </c>
      <c r="V103" s="146">
        <v>36</v>
      </c>
      <c r="W103" s="146">
        <v>0</v>
      </c>
      <c r="X103" s="146">
        <v>36</v>
      </c>
      <c r="Y103" s="146">
        <v>0.45</v>
      </c>
      <c r="Z103" s="477">
        <v>0.2979</v>
      </c>
      <c r="AA103" s="146">
        <v>350</v>
      </c>
      <c r="AB103" s="146" t="s">
        <v>974</v>
      </c>
      <c r="AC103" s="146" t="s">
        <v>975</v>
      </c>
      <c r="AG103" s="146">
        <v>16</v>
      </c>
      <c r="AH103" s="146">
        <v>11</v>
      </c>
      <c r="AI103" s="146">
        <v>12600</v>
      </c>
      <c r="AJ103" s="146">
        <v>323</v>
      </c>
      <c r="AK103" s="146">
        <v>323</v>
      </c>
      <c r="AL103" s="146">
        <v>32</v>
      </c>
      <c r="AM103" s="146">
        <v>16</v>
      </c>
      <c r="AQ103" s="146">
        <f t="shared" si="1"/>
        <v>128</v>
      </c>
    </row>
    <row r="104" spans="1:43">
      <c r="A104" s="146" t="s">
        <v>839</v>
      </c>
      <c r="B104" s="146" t="s">
        <v>1017</v>
      </c>
      <c r="C104" s="146" t="s">
        <v>1036</v>
      </c>
      <c r="D104" s="146" t="s">
        <v>1037</v>
      </c>
      <c r="E104" s="146" t="s">
        <v>842</v>
      </c>
      <c r="J104" s="146" t="s">
        <v>1020</v>
      </c>
      <c r="K104" s="146">
        <v>46.323999999999998</v>
      </c>
      <c r="L104" s="146" t="s">
        <v>1021</v>
      </c>
      <c r="M104" s="146" t="s">
        <v>1022</v>
      </c>
      <c r="N104" s="146">
        <v>0.9</v>
      </c>
      <c r="O104" s="146" t="s">
        <v>1023</v>
      </c>
      <c r="P104" s="477">
        <v>42</v>
      </c>
      <c r="Q104" s="478">
        <v>0</v>
      </c>
      <c r="R104" s="478">
        <v>42</v>
      </c>
      <c r="S104" s="479">
        <v>100</v>
      </c>
      <c r="T104" s="146">
        <v>0</v>
      </c>
      <c r="U104" s="479">
        <v>50</v>
      </c>
      <c r="V104" s="146">
        <v>0</v>
      </c>
      <c r="W104" s="146">
        <v>0</v>
      </c>
      <c r="X104" s="146">
        <v>0</v>
      </c>
      <c r="Y104" s="146">
        <v>0.6</v>
      </c>
      <c r="Z104" s="477">
        <v>0.21279999999999999</v>
      </c>
      <c r="AA104" s="146">
        <v>250</v>
      </c>
      <c r="AB104" s="146" t="s">
        <v>974</v>
      </c>
      <c r="AC104" s="146" t="s">
        <v>975</v>
      </c>
      <c r="AG104" s="146">
        <v>0</v>
      </c>
      <c r="AH104" s="146">
        <v>0</v>
      </c>
      <c r="AI104" s="146">
        <v>0</v>
      </c>
      <c r="AJ104" s="146">
        <v>25</v>
      </c>
      <c r="AK104" s="146">
        <v>25</v>
      </c>
      <c r="AL104" s="146">
        <v>0</v>
      </c>
      <c r="AM104" s="146">
        <v>0</v>
      </c>
      <c r="AQ104" s="146">
        <f t="shared" si="1"/>
        <v>0</v>
      </c>
    </row>
    <row r="105" spans="1:43">
      <c r="A105" s="146" t="s">
        <v>839</v>
      </c>
      <c r="B105" s="146" t="s">
        <v>1017</v>
      </c>
      <c r="C105" s="146" t="s">
        <v>1038</v>
      </c>
      <c r="D105" s="146" t="s">
        <v>1039</v>
      </c>
      <c r="E105" s="146" t="s">
        <v>842</v>
      </c>
      <c r="J105" s="146" t="s">
        <v>1020</v>
      </c>
      <c r="K105" s="146">
        <v>2.8239999999999998</v>
      </c>
      <c r="L105" s="146" t="s">
        <v>1021</v>
      </c>
      <c r="M105" s="146" t="s">
        <v>1022</v>
      </c>
      <c r="N105" s="146">
        <v>5.2</v>
      </c>
      <c r="O105" s="146" t="s">
        <v>1023</v>
      </c>
      <c r="P105" s="477">
        <v>15</v>
      </c>
      <c r="Q105" s="478">
        <v>0</v>
      </c>
      <c r="R105" s="478">
        <v>15</v>
      </c>
      <c r="S105" s="479">
        <v>100</v>
      </c>
      <c r="T105" s="146">
        <v>0</v>
      </c>
      <c r="U105" s="479">
        <v>5</v>
      </c>
      <c r="V105" s="146">
        <v>0</v>
      </c>
      <c r="W105" s="146">
        <v>0</v>
      </c>
      <c r="X105" s="146">
        <v>0</v>
      </c>
      <c r="Y105" s="146">
        <v>0.87</v>
      </c>
      <c r="Z105" s="477">
        <v>0.25540000000000002</v>
      </c>
      <c r="AA105" s="146">
        <v>300</v>
      </c>
      <c r="AB105" s="146" t="s">
        <v>974</v>
      </c>
      <c r="AC105" s="146" t="s">
        <v>975</v>
      </c>
      <c r="AG105" s="146">
        <v>0</v>
      </c>
      <c r="AH105" s="146">
        <v>0</v>
      </c>
      <c r="AI105" s="146">
        <v>0</v>
      </c>
      <c r="AJ105" s="146">
        <v>13</v>
      </c>
      <c r="AK105" s="146">
        <v>13</v>
      </c>
      <c r="AL105" s="146">
        <v>0</v>
      </c>
      <c r="AM105" s="146">
        <v>0</v>
      </c>
      <c r="AQ105" s="146">
        <f t="shared" si="1"/>
        <v>0</v>
      </c>
    </row>
    <row r="106" spans="1:43">
      <c r="A106" s="146" t="s">
        <v>839</v>
      </c>
      <c r="B106" s="146" t="s">
        <v>1017</v>
      </c>
      <c r="C106" s="146" t="s">
        <v>1040</v>
      </c>
      <c r="D106" s="146" t="s">
        <v>1041</v>
      </c>
      <c r="E106" s="146" t="s">
        <v>842</v>
      </c>
      <c r="J106" s="146" t="s">
        <v>1020</v>
      </c>
      <c r="K106" s="146">
        <v>6.3280000000000003</v>
      </c>
      <c r="L106" s="146" t="s">
        <v>1021</v>
      </c>
      <c r="M106" s="146" t="s">
        <v>1022</v>
      </c>
      <c r="N106" s="146">
        <v>8</v>
      </c>
      <c r="O106" s="146" t="s">
        <v>1023</v>
      </c>
      <c r="P106" s="477">
        <v>51</v>
      </c>
      <c r="Q106" s="478">
        <v>0</v>
      </c>
      <c r="R106" s="478">
        <v>51</v>
      </c>
      <c r="S106" s="479">
        <v>100</v>
      </c>
      <c r="T106" s="146">
        <v>0</v>
      </c>
      <c r="U106" s="479">
        <v>80</v>
      </c>
      <c r="V106" s="146">
        <v>0</v>
      </c>
      <c r="W106" s="146">
        <v>0</v>
      </c>
      <c r="X106" s="146">
        <v>0</v>
      </c>
      <c r="Y106" s="146">
        <v>0.35</v>
      </c>
      <c r="Z106" s="477">
        <v>0.34050000000000002</v>
      </c>
      <c r="AA106" s="146">
        <v>400</v>
      </c>
      <c r="AB106" s="146" t="s">
        <v>974</v>
      </c>
      <c r="AC106" s="146" t="s">
        <v>975</v>
      </c>
      <c r="AG106" s="146">
        <v>0</v>
      </c>
      <c r="AH106" s="146">
        <v>0</v>
      </c>
      <c r="AI106" s="146">
        <v>0</v>
      </c>
      <c r="AJ106" s="146">
        <v>18</v>
      </c>
      <c r="AK106" s="146">
        <v>18</v>
      </c>
      <c r="AL106" s="146">
        <v>0</v>
      </c>
      <c r="AM106" s="146">
        <v>0</v>
      </c>
      <c r="AQ106" s="146">
        <f t="shared" si="1"/>
        <v>0</v>
      </c>
    </row>
    <row r="107" spans="1:43">
      <c r="A107" s="146" t="s">
        <v>839</v>
      </c>
      <c r="B107" s="146" t="s">
        <v>1017</v>
      </c>
      <c r="C107" s="146" t="s">
        <v>1040</v>
      </c>
      <c r="D107" s="146" t="s">
        <v>1042</v>
      </c>
      <c r="E107" s="146" t="s">
        <v>842</v>
      </c>
      <c r="J107" s="146" t="s">
        <v>1020</v>
      </c>
      <c r="K107" s="146">
        <v>2.0499999999999998</v>
      </c>
      <c r="L107" s="146" t="s">
        <v>1021</v>
      </c>
      <c r="M107" s="146" t="s">
        <v>1022</v>
      </c>
      <c r="N107" s="146">
        <v>27</v>
      </c>
      <c r="O107" s="146" t="s">
        <v>1023</v>
      </c>
      <c r="P107" s="477">
        <v>55</v>
      </c>
      <c r="Q107" s="478">
        <v>0</v>
      </c>
      <c r="R107" s="478">
        <v>55</v>
      </c>
      <c r="S107" s="479">
        <v>100</v>
      </c>
      <c r="T107" s="146">
        <v>0</v>
      </c>
      <c r="U107" s="479">
        <v>80</v>
      </c>
      <c r="V107" s="146">
        <v>0</v>
      </c>
      <c r="W107" s="146">
        <v>0</v>
      </c>
      <c r="X107" s="146">
        <v>0</v>
      </c>
      <c r="Y107" s="146">
        <v>0.16</v>
      </c>
      <c r="Z107" s="477">
        <v>0.34050000000000002</v>
      </c>
      <c r="AA107" s="146">
        <v>400</v>
      </c>
      <c r="AB107" s="146" t="s">
        <v>974</v>
      </c>
      <c r="AC107" s="146" t="s">
        <v>975</v>
      </c>
      <c r="AG107" s="146">
        <v>0</v>
      </c>
      <c r="AH107" s="146">
        <v>0</v>
      </c>
      <c r="AI107" s="146">
        <v>0</v>
      </c>
      <c r="AJ107" s="146">
        <v>9</v>
      </c>
      <c r="AK107" s="146">
        <v>9</v>
      </c>
      <c r="AL107" s="146">
        <v>0</v>
      </c>
      <c r="AM107" s="146">
        <v>0</v>
      </c>
      <c r="AQ107" s="146">
        <f t="shared" si="1"/>
        <v>0</v>
      </c>
    </row>
    <row r="108" spans="1:43">
      <c r="A108" s="146" t="s">
        <v>839</v>
      </c>
      <c r="B108" s="146" t="s">
        <v>1017</v>
      </c>
      <c r="C108" s="146" t="s">
        <v>1040</v>
      </c>
      <c r="D108" s="146" t="s">
        <v>1043</v>
      </c>
      <c r="E108" s="146" t="s">
        <v>842</v>
      </c>
      <c r="J108" s="146" t="s">
        <v>1020</v>
      </c>
      <c r="K108" s="146">
        <v>12.635</v>
      </c>
      <c r="L108" s="146" t="s">
        <v>1021</v>
      </c>
      <c r="M108" s="146" t="s">
        <v>1022</v>
      </c>
      <c r="N108" s="146">
        <v>8</v>
      </c>
      <c r="O108" s="146" t="s">
        <v>1023</v>
      </c>
      <c r="P108" s="477">
        <v>101</v>
      </c>
      <c r="Q108" s="478">
        <v>0</v>
      </c>
      <c r="R108" s="478">
        <v>101</v>
      </c>
      <c r="S108" s="479">
        <v>100</v>
      </c>
      <c r="T108" s="146">
        <v>0</v>
      </c>
      <c r="U108" s="479">
        <v>80</v>
      </c>
      <c r="V108" s="146">
        <v>0</v>
      </c>
      <c r="W108" s="146">
        <v>0</v>
      </c>
      <c r="X108" s="146">
        <v>0</v>
      </c>
      <c r="Y108" s="146">
        <v>0.14000000000000001</v>
      </c>
      <c r="Z108" s="477">
        <v>0.34050000000000002</v>
      </c>
      <c r="AA108" s="146">
        <v>400</v>
      </c>
      <c r="AB108" s="146" t="s">
        <v>974</v>
      </c>
      <c r="AC108" s="146" t="s">
        <v>975</v>
      </c>
      <c r="AG108" s="146">
        <v>0</v>
      </c>
      <c r="AH108" s="146">
        <v>0</v>
      </c>
      <c r="AI108" s="146">
        <v>0</v>
      </c>
      <c r="AJ108" s="146">
        <v>14</v>
      </c>
      <c r="AK108" s="146">
        <v>14</v>
      </c>
      <c r="AL108" s="146">
        <v>0</v>
      </c>
      <c r="AM108" s="146">
        <v>0</v>
      </c>
      <c r="AQ108" s="146">
        <f t="shared" si="1"/>
        <v>0</v>
      </c>
    </row>
    <row r="109" spans="1:43">
      <c r="A109" s="146" t="s">
        <v>839</v>
      </c>
      <c r="B109" s="146" t="s">
        <v>1017</v>
      </c>
      <c r="C109" s="146" t="s">
        <v>1040</v>
      </c>
      <c r="D109" s="146" t="s">
        <v>1044</v>
      </c>
      <c r="E109" s="146" t="s">
        <v>842</v>
      </c>
      <c r="J109" s="146" t="s">
        <v>1020</v>
      </c>
      <c r="K109" s="146">
        <v>2.0859999999999999</v>
      </c>
      <c r="L109" s="146" t="s">
        <v>1021</v>
      </c>
      <c r="M109" s="146" t="s">
        <v>1022</v>
      </c>
      <c r="N109" s="146">
        <v>86.9</v>
      </c>
      <c r="O109" s="146" t="s">
        <v>1023</v>
      </c>
      <c r="P109" s="477">
        <v>181</v>
      </c>
      <c r="Q109" s="478">
        <v>0</v>
      </c>
      <c r="R109" s="478">
        <v>181</v>
      </c>
      <c r="S109" s="479">
        <v>100</v>
      </c>
      <c r="T109" s="146">
        <v>0</v>
      </c>
      <c r="U109" s="479">
        <v>80</v>
      </c>
      <c r="V109" s="146">
        <v>0</v>
      </c>
      <c r="W109" s="146">
        <v>0</v>
      </c>
      <c r="X109" s="146">
        <v>0</v>
      </c>
      <c r="Y109" s="146">
        <v>0.1</v>
      </c>
      <c r="Z109" s="477">
        <v>0.51070000000000004</v>
      </c>
      <c r="AA109" s="146">
        <v>600</v>
      </c>
      <c r="AB109" s="146" t="s">
        <v>974</v>
      </c>
      <c r="AC109" s="146" t="s">
        <v>975</v>
      </c>
      <c r="AG109" s="146">
        <v>0</v>
      </c>
      <c r="AH109" s="146">
        <v>0</v>
      </c>
      <c r="AI109" s="146">
        <v>0</v>
      </c>
      <c r="AJ109" s="146">
        <v>18</v>
      </c>
      <c r="AK109" s="146">
        <v>18</v>
      </c>
      <c r="AL109" s="146">
        <v>0</v>
      </c>
      <c r="AM109" s="146">
        <v>0</v>
      </c>
      <c r="AQ109" s="146">
        <f t="shared" si="1"/>
        <v>0</v>
      </c>
    </row>
    <row r="110" spans="1:43">
      <c r="A110" s="146" t="s">
        <v>839</v>
      </c>
      <c r="B110" s="146" t="s">
        <v>1017</v>
      </c>
      <c r="C110" s="146" t="s">
        <v>1045</v>
      </c>
      <c r="D110" s="146" t="s">
        <v>1046</v>
      </c>
      <c r="E110" s="146" t="s">
        <v>842</v>
      </c>
      <c r="J110" s="146" t="s">
        <v>1020</v>
      </c>
      <c r="K110" s="146">
        <v>13.629</v>
      </c>
      <c r="L110" s="146" t="s">
        <v>1021</v>
      </c>
      <c r="M110" s="146" t="s">
        <v>1022</v>
      </c>
      <c r="N110" s="146">
        <v>0.7</v>
      </c>
      <c r="O110" s="146" t="s">
        <v>1023</v>
      </c>
      <c r="P110" s="477">
        <v>10</v>
      </c>
      <c r="Q110" s="478">
        <v>0</v>
      </c>
      <c r="R110" s="478">
        <v>10</v>
      </c>
      <c r="S110" s="479">
        <v>100</v>
      </c>
      <c r="T110" s="146">
        <v>0</v>
      </c>
      <c r="U110" s="479">
        <v>50</v>
      </c>
      <c r="V110" s="146">
        <v>0</v>
      </c>
      <c r="W110" s="146">
        <v>0</v>
      </c>
      <c r="X110" s="146">
        <v>0</v>
      </c>
      <c r="Y110" s="146">
        <v>0.95</v>
      </c>
      <c r="Z110" s="477">
        <v>0.21279999999999999</v>
      </c>
      <c r="AA110" s="146">
        <v>250</v>
      </c>
      <c r="AB110" s="146" t="s">
        <v>974</v>
      </c>
      <c r="AC110" s="146" t="s">
        <v>975</v>
      </c>
      <c r="AG110" s="146">
        <v>0</v>
      </c>
      <c r="AH110" s="146">
        <v>0</v>
      </c>
      <c r="AI110" s="146">
        <v>0</v>
      </c>
      <c r="AJ110" s="146">
        <v>10</v>
      </c>
      <c r="AK110" s="146">
        <v>10</v>
      </c>
      <c r="AL110" s="146">
        <v>0</v>
      </c>
      <c r="AM110" s="146">
        <v>0</v>
      </c>
      <c r="AQ110" s="146">
        <f t="shared" si="1"/>
        <v>0</v>
      </c>
    </row>
    <row r="111" spans="1:43">
      <c r="A111" s="146" t="s">
        <v>839</v>
      </c>
      <c r="B111" s="146" t="s">
        <v>1017</v>
      </c>
      <c r="C111" s="146" t="s">
        <v>1047</v>
      </c>
      <c r="D111" s="146" t="s">
        <v>1048</v>
      </c>
      <c r="E111" s="146" t="s">
        <v>842</v>
      </c>
      <c r="J111" s="146" t="s">
        <v>1020</v>
      </c>
      <c r="K111" s="146">
        <v>31.779</v>
      </c>
      <c r="L111" s="146" t="s">
        <v>1021</v>
      </c>
      <c r="M111" s="146" t="s">
        <v>1022</v>
      </c>
      <c r="N111" s="146">
        <v>2.1</v>
      </c>
      <c r="O111" s="146" t="s">
        <v>1023</v>
      </c>
      <c r="P111" s="477">
        <v>67</v>
      </c>
      <c r="Q111" s="478">
        <v>0</v>
      </c>
      <c r="R111" s="478">
        <v>67</v>
      </c>
      <c r="S111" s="479">
        <v>100</v>
      </c>
      <c r="T111" s="146">
        <v>0</v>
      </c>
      <c r="U111" s="479">
        <v>10</v>
      </c>
      <c r="V111" s="146">
        <v>0</v>
      </c>
      <c r="W111" s="146">
        <v>0</v>
      </c>
      <c r="X111" s="146">
        <v>0</v>
      </c>
      <c r="Y111" s="146">
        <v>0.59</v>
      </c>
      <c r="Z111" s="477">
        <v>0.42559999999999998</v>
      </c>
      <c r="AA111" s="146">
        <v>500</v>
      </c>
      <c r="AB111" s="146" t="s">
        <v>974</v>
      </c>
      <c r="AC111" s="146" t="s">
        <v>975</v>
      </c>
      <c r="AG111" s="146">
        <v>0</v>
      </c>
      <c r="AH111" s="146">
        <v>0</v>
      </c>
      <c r="AI111" s="146">
        <v>0</v>
      </c>
      <c r="AJ111" s="146">
        <v>40</v>
      </c>
      <c r="AK111" s="146">
        <v>40</v>
      </c>
      <c r="AL111" s="146">
        <v>0</v>
      </c>
      <c r="AM111" s="146">
        <v>0</v>
      </c>
      <c r="AQ111" s="146">
        <f t="shared" si="1"/>
        <v>0</v>
      </c>
    </row>
    <row r="112" spans="1:43">
      <c r="A112" s="146" t="s">
        <v>839</v>
      </c>
      <c r="B112" s="146" t="s">
        <v>1017</v>
      </c>
      <c r="C112" s="146" t="s">
        <v>1047</v>
      </c>
      <c r="D112" s="146" t="s">
        <v>1049</v>
      </c>
      <c r="E112" s="146" t="s">
        <v>842</v>
      </c>
      <c r="J112" s="146" t="s">
        <v>1020</v>
      </c>
      <c r="K112" s="146">
        <v>28.219000000000001</v>
      </c>
      <c r="L112" s="146" t="s">
        <v>1021</v>
      </c>
      <c r="M112" s="146" t="s">
        <v>1022</v>
      </c>
      <c r="N112" s="146">
        <v>1.8</v>
      </c>
      <c r="O112" s="146" t="s">
        <v>1023</v>
      </c>
      <c r="P112" s="477">
        <v>51</v>
      </c>
      <c r="Q112" s="478">
        <v>0</v>
      </c>
      <c r="R112" s="478">
        <v>51</v>
      </c>
      <c r="S112" s="479">
        <v>100</v>
      </c>
      <c r="T112" s="146">
        <v>0</v>
      </c>
      <c r="U112" s="479">
        <v>10</v>
      </c>
      <c r="V112" s="146">
        <v>0</v>
      </c>
      <c r="W112" s="146">
        <v>0</v>
      </c>
      <c r="X112" s="146">
        <v>0</v>
      </c>
      <c r="Y112" s="146">
        <v>0.15</v>
      </c>
      <c r="Z112" s="477">
        <v>0.34050000000000002</v>
      </c>
      <c r="AA112" s="146">
        <v>400</v>
      </c>
      <c r="AB112" s="146" t="s">
        <v>974</v>
      </c>
      <c r="AC112" s="146" t="s">
        <v>975</v>
      </c>
      <c r="AG112" s="146">
        <v>0</v>
      </c>
      <c r="AH112" s="146">
        <v>0</v>
      </c>
      <c r="AI112" s="146">
        <v>0</v>
      </c>
      <c r="AJ112" s="146">
        <v>8</v>
      </c>
      <c r="AK112" s="146">
        <v>8</v>
      </c>
      <c r="AL112" s="146">
        <v>0</v>
      </c>
      <c r="AM112" s="146">
        <v>0</v>
      </c>
      <c r="AQ112" s="146">
        <f t="shared" si="1"/>
        <v>0</v>
      </c>
    </row>
    <row r="113" spans="1:43">
      <c r="A113" s="146" t="s">
        <v>839</v>
      </c>
      <c r="B113" s="146" t="s">
        <v>1017</v>
      </c>
      <c r="C113" s="146" t="s">
        <v>1050</v>
      </c>
      <c r="D113" s="146" t="s">
        <v>1051</v>
      </c>
      <c r="E113" s="146" t="s">
        <v>842</v>
      </c>
      <c r="J113" s="146" t="s">
        <v>1020</v>
      </c>
      <c r="K113" s="146">
        <v>11.185</v>
      </c>
      <c r="L113" s="146" t="s">
        <v>1021</v>
      </c>
      <c r="M113" s="146" t="s">
        <v>1022</v>
      </c>
      <c r="N113" s="146">
        <v>6.4</v>
      </c>
      <c r="O113" s="146" t="s">
        <v>1023</v>
      </c>
      <c r="P113" s="477">
        <v>72</v>
      </c>
      <c r="Q113" s="478">
        <v>0</v>
      </c>
      <c r="R113" s="478">
        <v>72</v>
      </c>
      <c r="S113" s="479">
        <v>90</v>
      </c>
      <c r="T113" s="146">
        <v>7</v>
      </c>
      <c r="U113" s="479">
        <v>50</v>
      </c>
      <c r="V113" s="146">
        <v>4</v>
      </c>
      <c r="W113" s="146">
        <v>0</v>
      </c>
      <c r="X113" s="146">
        <v>4</v>
      </c>
      <c r="Y113" s="146">
        <v>0.18</v>
      </c>
      <c r="Z113" s="477">
        <v>0.25540000000000002</v>
      </c>
      <c r="AA113" s="146">
        <v>300</v>
      </c>
      <c r="AB113" s="146" t="s">
        <v>974</v>
      </c>
      <c r="AC113" s="146" t="s">
        <v>975</v>
      </c>
      <c r="AG113" s="146">
        <v>1</v>
      </c>
      <c r="AH113" s="146">
        <v>1</v>
      </c>
      <c r="AI113" s="146">
        <v>1200</v>
      </c>
      <c r="AJ113" s="146">
        <v>13</v>
      </c>
      <c r="AK113" s="146">
        <v>13</v>
      </c>
      <c r="AL113" s="146">
        <v>1</v>
      </c>
      <c r="AM113" s="146">
        <v>1</v>
      </c>
      <c r="AQ113" s="146">
        <f t="shared" si="1"/>
        <v>12</v>
      </c>
    </row>
    <row r="114" spans="1:43">
      <c r="A114" s="146" t="s">
        <v>839</v>
      </c>
      <c r="B114" s="146" t="s">
        <v>1017</v>
      </c>
      <c r="C114" s="146" t="s">
        <v>1052</v>
      </c>
      <c r="D114" s="146" t="s">
        <v>1053</v>
      </c>
      <c r="E114" s="146" t="s">
        <v>842</v>
      </c>
      <c r="J114" s="146" t="s">
        <v>1020</v>
      </c>
      <c r="K114" s="146">
        <v>32.411000000000001</v>
      </c>
      <c r="L114" s="146" t="s">
        <v>1021</v>
      </c>
      <c r="M114" s="146" t="s">
        <v>1022</v>
      </c>
      <c r="N114" s="146">
        <v>4.9000000000000004</v>
      </c>
      <c r="O114" s="146" t="s">
        <v>1023</v>
      </c>
      <c r="P114" s="477">
        <v>159</v>
      </c>
      <c r="Q114" s="478">
        <v>0</v>
      </c>
      <c r="R114" s="478">
        <v>159</v>
      </c>
      <c r="S114" s="479">
        <v>90</v>
      </c>
      <c r="T114" s="146">
        <v>16</v>
      </c>
      <c r="U114" s="479">
        <v>50</v>
      </c>
      <c r="V114" s="146">
        <v>8</v>
      </c>
      <c r="W114" s="146">
        <v>0</v>
      </c>
      <c r="X114" s="146">
        <v>8</v>
      </c>
      <c r="Y114" s="146">
        <v>0.38</v>
      </c>
      <c r="Z114" s="477">
        <v>0.2979</v>
      </c>
      <c r="AA114" s="146">
        <v>350</v>
      </c>
      <c r="AB114" s="146" t="s">
        <v>974</v>
      </c>
      <c r="AC114" s="146" t="s">
        <v>975</v>
      </c>
      <c r="AG114" s="146">
        <v>3</v>
      </c>
      <c r="AH114" s="146">
        <v>2</v>
      </c>
      <c r="AI114" s="146">
        <v>2800</v>
      </c>
      <c r="AJ114" s="146">
        <v>60</v>
      </c>
      <c r="AK114" s="146">
        <v>60</v>
      </c>
      <c r="AL114" s="146">
        <v>6</v>
      </c>
      <c r="AM114" s="146">
        <v>3</v>
      </c>
      <c r="AQ114" s="146">
        <f t="shared" si="1"/>
        <v>23</v>
      </c>
    </row>
    <row r="115" spans="1:43">
      <c r="A115" s="146" t="s">
        <v>839</v>
      </c>
      <c r="B115" s="146" t="s">
        <v>1017</v>
      </c>
      <c r="C115" s="146" t="s">
        <v>1052</v>
      </c>
      <c r="D115" s="146" t="s">
        <v>1054</v>
      </c>
      <c r="E115" s="146" t="s">
        <v>842</v>
      </c>
      <c r="J115" s="146" t="s">
        <v>1020</v>
      </c>
      <c r="K115" s="146">
        <v>51.411000000000001</v>
      </c>
      <c r="L115" s="146" t="s">
        <v>1021</v>
      </c>
      <c r="M115" s="146" t="s">
        <v>1022</v>
      </c>
      <c r="N115" s="146">
        <v>38.4</v>
      </c>
      <c r="O115" s="146" t="s">
        <v>1023</v>
      </c>
      <c r="P115" s="477">
        <v>1974</v>
      </c>
      <c r="Q115" s="478">
        <v>0</v>
      </c>
      <c r="R115" s="478">
        <v>1974</v>
      </c>
      <c r="S115" s="479">
        <v>90</v>
      </c>
      <c r="T115" s="146">
        <v>197</v>
      </c>
      <c r="U115" s="479">
        <v>50</v>
      </c>
      <c r="V115" s="146">
        <v>98</v>
      </c>
      <c r="W115" s="146">
        <v>0</v>
      </c>
      <c r="X115" s="146">
        <v>98</v>
      </c>
      <c r="Y115" s="146">
        <v>0.18</v>
      </c>
      <c r="Z115" s="477">
        <v>0.2979</v>
      </c>
      <c r="AA115" s="146">
        <v>350</v>
      </c>
      <c r="AB115" s="146" t="s">
        <v>974</v>
      </c>
      <c r="AC115" s="146" t="s">
        <v>975</v>
      </c>
      <c r="AG115" s="146">
        <v>18</v>
      </c>
      <c r="AH115" s="146">
        <v>29</v>
      </c>
      <c r="AI115" s="146">
        <v>34300</v>
      </c>
      <c r="AJ115" s="146">
        <v>355</v>
      </c>
      <c r="AK115" s="146">
        <v>355</v>
      </c>
      <c r="AL115" s="146">
        <v>35</v>
      </c>
      <c r="AM115" s="146">
        <v>18</v>
      </c>
      <c r="AQ115" s="146">
        <f t="shared" si="1"/>
        <v>337</v>
      </c>
    </row>
    <row r="116" spans="1:43">
      <c r="A116" s="146" t="s">
        <v>839</v>
      </c>
      <c r="B116" s="146" t="s">
        <v>1017</v>
      </c>
      <c r="C116" s="146" t="s">
        <v>1052</v>
      </c>
      <c r="D116" s="146" t="s">
        <v>1055</v>
      </c>
      <c r="E116" s="146" t="s">
        <v>842</v>
      </c>
      <c r="J116" s="146" t="s">
        <v>1020</v>
      </c>
      <c r="K116" s="146">
        <v>25.978999999999999</v>
      </c>
      <c r="L116" s="146" t="s">
        <v>1021</v>
      </c>
      <c r="M116" s="146" t="s">
        <v>1022</v>
      </c>
      <c r="N116" s="146">
        <v>21.2</v>
      </c>
      <c r="O116" s="146" t="s">
        <v>1023</v>
      </c>
      <c r="P116" s="477">
        <v>551</v>
      </c>
      <c r="Q116" s="478">
        <v>0</v>
      </c>
      <c r="R116" s="478">
        <v>551</v>
      </c>
      <c r="S116" s="479">
        <v>90</v>
      </c>
      <c r="T116" s="146">
        <v>55</v>
      </c>
      <c r="U116" s="479">
        <v>50</v>
      </c>
      <c r="V116" s="146">
        <v>28</v>
      </c>
      <c r="W116" s="146">
        <v>0</v>
      </c>
      <c r="X116" s="146">
        <v>28</v>
      </c>
      <c r="Y116" s="146">
        <v>0.25</v>
      </c>
      <c r="Z116" s="477">
        <v>0.2979</v>
      </c>
      <c r="AA116" s="146">
        <v>350</v>
      </c>
      <c r="AB116" s="146" t="s">
        <v>974</v>
      </c>
      <c r="AC116" s="146" t="s">
        <v>975</v>
      </c>
      <c r="AG116" s="146">
        <v>7</v>
      </c>
      <c r="AH116" s="146">
        <v>8</v>
      </c>
      <c r="AI116" s="146">
        <v>9800</v>
      </c>
      <c r="AJ116" s="146">
        <v>138</v>
      </c>
      <c r="AK116" s="146">
        <v>138</v>
      </c>
      <c r="AL116" s="146">
        <v>14</v>
      </c>
      <c r="AM116" s="146">
        <v>7</v>
      </c>
      <c r="AQ116" s="146">
        <f t="shared" si="1"/>
        <v>93</v>
      </c>
    </row>
    <row r="117" spans="1:43">
      <c r="A117" s="146" t="s">
        <v>1056</v>
      </c>
      <c r="B117" s="146" t="s">
        <v>840</v>
      </c>
      <c r="C117" s="146" t="s">
        <v>841</v>
      </c>
      <c r="D117" s="146" t="s">
        <v>841</v>
      </c>
      <c r="E117" s="146" t="s">
        <v>842</v>
      </c>
      <c r="H117" s="477"/>
      <c r="J117" s="146" t="s">
        <v>843</v>
      </c>
      <c r="K117" s="146">
        <v>486</v>
      </c>
      <c r="L117" s="146" t="s">
        <v>844</v>
      </c>
      <c r="M117" s="146" t="s">
        <v>341</v>
      </c>
      <c r="N117" s="146">
        <v>95</v>
      </c>
      <c r="O117" s="146" t="s">
        <v>845</v>
      </c>
      <c r="P117" s="477">
        <v>46170</v>
      </c>
      <c r="Q117" s="478">
        <v>0</v>
      </c>
      <c r="R117" s="478">
        <v>46170</v>
      </c>
      <c r="S117" s="479">
        <v>92.6</v>
      </c>
      <c r="T117" s="146">
        <v>3417</v>
      </c>
      <c r="U117" s="479">
        <v>100</v>
      </c>
      <c r="V117" s="146">
        <v>3417</v>
      </c>
      <c r="W117" s="146">
        <v>0</v>
      </c>
      <c r="X117" s="146">
        <v>3417</v>
      </c>
      <c r="Y117" s="146">
        <v>0.25</v>
      </c>
      <c r="Z117" s="146">
        <v>0.2079</v>
      </c>
      <c r="AB117" s="146" t="s">
        <v>846</v>
      </c>
      <c r="AC117" s="146" t="s">
        <v>847</v>
      </c>
      <c r="AE117" s="146" t="s">
        <v>848</v>
      </c>
      <c r="AF117" s="146" t="s">
        <v>849</v>
      </c>
      <c r="AG117" s="146">
        <v>854</v>
      </c>
      <c r="AH117" s="146">
        <v>710</v>
      </c>
      <c r="AI117" s="146">
        <v>0</v>
      </c>
      <c r="AJ117" s="146">
        <v>11542</v>
      </c>
      <c r="AK117" s="146">
        <v>11542</v>
      </c>
      <c r="AL117" s="146">
        <v>854</v>
      </c>
      <c r="AM117" s="146">
        <v>854</v>
      </c>
      <c r="AQ117" s="146">
        <f t="shared" si="1"/>
        <v>8257</v>
      </c>
    </row>
    <row r="118" spans="1:43">
      <c r="A118" s="146" t="s">
        <v>1056</v>
      </c>
      <c r="B118" s="146" t="s">
        <v>840</v>
      </c>
      <c r="C118" s="146" t="s">
        <v>850</v>
      </c>
      <c r="D118" s="146" t="s">
        <v>850</v>
      </c>
      <c r="E118" s="146" t="s">
        <v>842</v>
      </c>
      <c r="J118" s="146" t="s">
        <v>843</v>
      </c>
      <c r="K118" s="146">
        <v>11.33</v>
      </c>
      <c r="L118" s="146" t="s">
        <v>844</v>
      </c>
      <c r="M118" s="146" t="s">
        <v>341</v>
      </c>
      <c r="N118" s="146">
        <v>7</v>
      </c>
      <c r="O118" s="146" t="s">
        <v>845</v>
      </c>
      <c r="P118" s="477">
        <v>79</v>
      </c>
      <c r="Q118" s="478">
        <v>0</v>
      </c>
      <c r="R118" s="478">
        <v>79</v>
      </c>
      <c r="S118" s="479">
        <v>0</v>
      </c>
      <c r="T118" s="146">
        <v>79</v>
      </c>
      <c r="U118" s="479">
        <v>16</v>
      </c>
      <c r="V118" s="146">
        <v>13</v>
      </c>
      <c r="W118" s="146">
        <v>0</v>
      </c>
      <c r="X118" s="146">
        <v>13</v>
      </c>
      <c r="Y118" s="146">
        <v>0.8</v>
      </c>
      <c r="Z118" s="146">
        <v>0.32800000000000001</v>
      </c>
      <c r="AB118" s="146" t="s">
        <v>851</v>
      </c>
      <c r="AF118" s="146" t="s">
        <v>852</v>
      </c>
      <c r="AG118" s="146">
        <v>10</v>
      </c>
      <c r="AH118" s="146">
        <v>4</v>
      </c>
      <c r="AI118" s="146">
        <v>0</v>
      </c>
      <c r="AJ118" s="146">
        <v>63</v>
      </c>
      <c r="AK118" s="146">
        <v>63</v>
      </c>
      <c r="AL118" s="146">
        <v>63</v>
      </c>
      <c r="AM118" s="146">
        <v>10</v>
      </c>
      <c r="AQ118" s="146">
        <f t="shared" si="1"/>
        <v>47</v>
      </c>
    </row>
    <row r="119" spans="1:43">
      <c r="A119" s="146" t="s">
        <v>1056</v>
      </c>
      <c r="B119" s="146" t="s">
        <v>840</v>
      </c>
      <c r="C119" s="146" t="s">
        <v>853</v>
      </c>
      <c r="D119" s="146" t="s">
        <v>853</v>
      </c>
      <c r="E119" s="146" t="s">
        <v>854</v>
      </c>
      <c r="J119" s="146" t="s">
        <v>843</v>
      </c>
      <c r="K119" s="146">
        <v>15</v>
      </c>
      <c r="L119" s="146" t="s">
        <v>844</v>
      </c>
      <c r="M119" s="146" t="s">
        <v>341</v>
      </c>
      <c r="N119" s="146">
        <v>30</v>
      </c>
      <c r="O119" s="146" t="s">
        <v>845</v>
      </c>
      <c r="P119" s="477">
        <v>450</v>
      </c>
      <c r="Q119" s="478">
        <v>0</v>
      </c>
      <c r="R119" s="478">
        <v>450</v>
      </c>
      <c r="S119" s="479">
        <v>0</v>
      </c>
      <c r="T119" s="146">
        <v>450</v>
      </c>
      <c r="U119" s="479">
        <v>100</v>
      </c>
      <c r="V119" s="146">
        <v>450</v>
      </c>
      <c r="W119" s="146">
        <v>0</v>
      </c>
      <c r="X119" s="146">
        <v>450</v>
      </c>
      <c r="Y119" s="477">
        <v>0.2</v>
      </c>
      <c r="Z119" s="477">
        <v>9.4000000000000004E-3</v>
      </c>
      <c r="AA119" s="477">
        <v>11</v>
      </c>
      <c r="AB119" s="146" t="s">
        <v>855</v>
      </c>
      <c r="AC119" s="146" t="s">
        <v>856</v>
      </c>
      <c r="AF119" s="146" t="s">
        <v>857</v>
      </c>
      <c r="AG119" s="146">
        <v>90</v>
      </c>
      <c r="AH119" s="146">
        <v>4</v>
      </c>
      <c r="AI119" s="146">
        <v>4950</v>
      </c>
      <c r="AJ119" s="146">
        <v>90</v>
      </c>
      <c r="AK119" s="146">
        <v>90</v>
      </c>
      <c r="AL119" s="146">
        <v>90</v>
      </c>
      <c r="AM119" s="146">
        <v>90</v>
      </c>
      <c r="AQ119" s="146">
        <f t="shared" si="1"/>
        <v>47</v>
      </c>
    </row>
    <row r="120" spans="1:43">
      <c r="A120" s="146" t="s">
        <v>1056</v>
      </c>
      <c r="B120" s="146" t="s">
        <v>840</v>
      </c>
      <c r="C120" s="146" t="s">
        <v>858</v>
      </c>
      <c r="D120" s="146" t="s">
        <v>859</v>
      </c>
      <c r="E120" s="146" t="s">
        <v>854</v>
      </c>
      <c r="J120" s="146" t="s">
        <v>843</v>
      </c>
      <c r="K120" s="146">
        <v>486</v>
      </c>
      <c r="L120" s="146" t="s">
        <v>844</v>
      </c>
      <c r="M120" s="146" t="s">
        <v>341</v>
      </c>
      <c r="N120" s="146">
        <v>30</v>
      </c>
      <c r="O120" s="146" t="s">
        <v>845</v>
      </c>
      <c r="P120" s="477">
        <v>14580</v>
      </c>
      <c r="Q120" s="478">
        <v>0</v>
      </c>
      <c r="R120" s="478">
        <v>14580</v>
      </c>
      <c r="S120" s="479"/>
      <c r="T120" s="146">
        <v>10470</v>
      </c>
      <c r="U120" s="479">
        <v>0</v>
      </c>
      <c r="V120" s="146">
        <v>0</v>
      </c>
      <c r="W120" s="146">
        <v>0</v>
      </c>
      <c r="X120" s="146">
        <v>0</v>
      </c>
      <c r="Y120" s="146">
        <v>0.16</v>
      </c>
      <c r="Z120" s="146">
        <v>3.8300000000000001E-2</v>
      </c>
      <c r="AA120" s="146">
        <v>45</v>
      </c>
      <c r="AB120" s="146" t="s">
        <v>846</v>
      </c>
      <c r="AC120" s="146" t="s">
        <v>856</v>
      </c>
      <c r="AG120" s="146">
        <v>0</v>
      </c>
      <c r="AH120" s="146">
        <v>0</v>
      </c>
      <c r="AI120" s="146">
        <v>0</v>
      </c>
      <c r="AJ120" s="146">
        <v>2333</v>
      </c>
      <c r="AK120" s="146">
        <v>2333</v>
      </c>
      <c r="AL120" s="146">
        <v>1675</v>
      </c>
      <c r="AM120" s="146">
        <v>0</v>
      </c>
      <c r="AQ120" s="146">
        <f t="shared" si="1"/>
        <v>0</v>
      </c>
    </row>
    <row r="121" spans="1:43">
      <c r="A121" s="146" t="s">
        <v>1056</v>
      </c>
      <c r="B121" s="146" t="s">
        <v>840</v>
      </c>
      <c r="C121" s="146" t="s">
        <v>860</v>
      </c>
      <c r="D121" s="146" t="s">
        <v>861</v>
      </c>
      <c r="E121" s="146" t="s">
        <v>862</v>
      </c>
      <c r="J121" s="146" t="s">
        <v>843</v>
      </c>
      <c r="K121" s="146">
        <v>15</v>
      </c>
      <c r="L121" s="146" t="s">
        <v>844</v>
      </c>
      <c r="M121" s="146" t="s">
        <v>341</v>
      </c>
      <c r="N121" s="146">
        <v>30</v>
      </c>
      <c r="O121" s="146" t="s">
        <v>845</v>
      </c>
      <c r="P121" s="477">
        <v>450</v>
      </c>
      <c r="Q121" s="478">
        <v>0</v>
      </c>
      <c r="R121" s="478">
        <v>450</v>
      </c>
      <c r="S121" s="479">
        <v>0</v>
      </c>
      <c r="T121" s="146">
        <v>450</v>
      </c>
      <c r="U121" s="479">
        <v>100</v>
      </c>
      <c r="V121" s="146">
        <v>450</v>
      </c>
      <c r="W121" s="146">
        <v>0</v>
      </c>
      <c r="X121" s="146">
        <v>450</v>
      </c>
      <c r="Y121" s="146">
        <v>0.75</v>
      </c>
      <c r="Z121" s="146">
        <v>9.4000000000000004E-3</v>
      </c>
      <c r="AA121" s="146">
        <v>11</v>
      </c>
      <c r="AB121" s="146" t="s">
        <v>863</v>
      </c>
      <c r="AF121" s="330" t="s">
        <v>864</v>
      </c>
      <c r="AG121" s="146">
        <v>338</v>
      </c>
      <c r="AH121" s="146">
        <v>4</v>
      </c>
      <c r="AI121" s="146">
        <v>4950</v>
      </c>
      <c r="AJ121" s="146">
        <v>338</v>
      </c>
      <c r="AK121" s="146">
        <v>338</v>
      </c>
      <c r="AL121" s="146">
        <v>338</v>
      </c>
      <c r="AM121" s="146">
        <v>338</v>
      </c>
      <c r="AQ121" s="146">
        <f t="shared" si="1"/>
        <v>47</v>
      </c>
    </row>
    <row r="122" spans="1:43">
      <c r="A122" s="146" t="s">
        <v>1056</v>
      </c>
      <c r="B122" s="146" t="s">
        <v>840</v>
      </c>
      <c r="C122" s="146" t="s">
        <v>860</v>
      </c>
      <c r="D122" s="146" t="s">
        <v>865</v>
      </c>
      <c r="E122" s="146" t="s">
        <v>862</v>
      </c>
      <c r="H122" s="477"/>
      <c r="J122" s="146" t="s">
        <v>843</v>
      </c>
      <c r="L122" s="146" t="s">
        <v>844</v>
      </c>
      <c r="M122" s="146" t="s">
        <v>341</v>
      </c>
      <c r="O122" s="146" t="s">
        <v>845</v>
      </c>
      <c r="P122" s="477">
        <v>0</v>
      </c>
      <c r="Q122" s="478">
        <v>0</v>
      </c>
      <c r="R122" s="478">
        <v>0</v>
      </c>
      <c r="S122" s="479"/>
      <c r="T122" s="146">
        <v>0</v>
      </c>
      <c r="U122" s="479"/>
      <c r="V122" s="146">
        <v>0</v>
      </c>
      <c r="W122" s="146">
        <v>0</v>
      </c>
      <c r="X122" s="146">
        <v>0</v>
      </c>
      <c r="AG122" s="146">
        <v>0</v>
      </c>
      <c r="AH122" s="146">
        <v>0</v>
      </c>
      <c r="AI122" s="146">
        <v>0</v>
      </c>
      <c r="AJ122" s="146">
        <v>0</v>
      </c>
      <c r="AK122" s="146">
        <v>0</v>
      </c>
      <c r="AL122" s="146">
        <v>0</v>
      </c>
      <c r="AM122" s="146">
        <v>0</v>
      </c>
      <c r="AQ122" s="146">
        <f t="shared" si="1"/>
        <v>0</v>
      </c>
    </row>
    <row r="123" spans="1:43">
      <c r="A123" s="146" t="s">
        <v>1056</v>
      </c>
      <c r="B123" s="146" t="s">
        <v>840</v>
      </c>
      <c r="C123" s="146" t="s">
        <v>860</v>
      </c>
      <c r="D123" s="146" t="s">
        <v>866</v>
      </c>
      <c r="E123" s="146" t="s">
        <v>862</v>
      </c>
      <c r="J123" s="146" t="s">
        <v>843</v>
      </c>
      <c r="K123" s="146">
        <v>2</v>
      </c>
      <c r="L123" s="146" t="s">
        <v>844</v>
      </c>
      <c r="M123" s="146" t="s">
        <v>341</v>
      </c>
      <c r="N123" s="146">
        <v>20</v>
      </c>
      <c r="O123" s="146" t="s">
        <v>845</v>
      </c>
      <c r="P123" s="477">
        <v>40</v>
      </c>
      <c r="Q123" s="478">
        <v>0</v>
      </c>
      <c r="R123" s="478">
        <v>40</v>
      </c>
      <c r="S123" s="479">
        <v>0</v>
      </c>
      <c r="T123" s="146">
        <v>40</v>
      </c>
      <c r="U123" s="479">
        <v>100</v>
      </c>
      <c r="V123" s="146">
        <v>40</v>
      </c>
      <c r="W123" s="146">
        <v>0</v>
      </c>
      <c r="X123" s="146">
        <v>40</v>
      </c>
      <c r="Y123" s="146">
        <v>0.5</v>
      </c>
      <c r="Z123" s="146">
        <v>0.215</v>
      </c>
      <c r="AA123" s="146">
        <v>253</v>
      </c>
      <c r="AG123" s="146">
        <v>20</v>
      </c>
      <c r="AH123" s="146">
        <v>9</v>
      </c>
      <c r="AI123" s="146">
        <v>10120</v>
      </c>
      <c r="AJ123" s="146">
        <v>20</v>
      </c>
      <c r="AK123" s="146">
        <v>20</v>
      </c>
      <c r="AL123" s="146">
        <v>20</v>
      </c>
      <c r="AM123" s="146">
        <v>20</v>
      </c>
      <c r="AQ123" s="146">
        <f t="shared" si="1"/>
        <v>105</v>
      </c>
    </row>
    <row r="124" spans="1:43">
      <c r="A124" s="146" t="s">
        <v>1056</v>
      </c>
      <c r="B124" s="146" t="s">
        <v>840</v>
      </c>
      <c r="C124" s="146" t="s">
        <v>867</v>
      </c>
      <c r="D124" s="146" t="s">
        <v>868</v>
      </c>
      <c r="E124" s="146" t="s">
        <v>854</v>
      </c>
      <c r="J124" s="146" t="s">
        <v>843</v>
      </c>
      <c r="K124" s="477">
        <v>300</v>
      </c>
      <c r="L124" s="146" t="s">
        <v>844</v>
      </c>
      <c r="M124" s="146" t="s">
        <v>341</v>
      </c>
      <c r="N124" s="477">
        <v>3.3</v>
      </c>
      <c r="O124" s="146" t="s">
        <v>845</v>
      </c>
      <c r="P124" s="477">
        <v>990</v>
      </c>
      <c r="Q124" s="478">
        <v>0</v>
      </c>
      <c r="R124" s="478">
        <v>990</v>
      </c>
      <c r="S124" s="479">
        <v>100</v>
      </c>
      <c r="T124" s="146">
        <v>0</v>
      </c>
      <c r="U124" s="479">
        <v>100</v>
      </c>
      <c r="V124" s="146">
        <v>0</v>
      </c>
      <c r="W124" s="146">
        <v>0</v>
      </c>
      <c r="X124" s="146">
        <v>0</v>
      </c>
      <c r="AB124" s="146" t="s">
        <v>869</v>
      </c>
      <c r="AG124" s="146">
        <v>0</v>
      </c>
      <c r="AH124" s="146">
        <v>0</v>
      </c>
      <c r="AI124" s="146">
        <v>0</v>
      </c>
      <c r="AJ124" s="146">
        <v>0</v>
      </c>
      <c r="AK124" s="146">
        <v>0</v>
      </c>
      <c r="AL124" s="146">
        <v>0</v>
      </c>
      <c r="AM124" s="146">
        <v>0</v>
      </c>
      <c r="AQ124" s="146">
        <f t="shared" si="1"/>
        <v>0</v>
      </c>
    </row>
    <row r="125" spans="1:43">
      <c r="A125" s="146" t="s">
        <v>1056</v>
      </c>
      <c r="B125" s="146" t="s">
        <v>840</v>
      </c>
      <c r="C125" s="146" t="s">
        <v>867</v>
      </c>
      <c r="D125" s="146" t="s">
        <v>870</v>
      </c>
      <c r="E125" s="323" t="s">
        <v>854</v>
      </c>
      <c r="J125" s="146" t="s">
        <v>843</v>
      </c>
      <c r="K125" s="477">
        <v>17</v>
      </c>
      <c r="L125" s="146" t="s">
        <v>844</v>
      </c>
      <c r="M125" s="146" t="s">
        <v>341</v>
      </c>
      <c r="N125" s="477">
        <v>5.3</v>
      </c>
      <c r="O125" s="146" t="s">
        <v>845</v>
      </c>
      <c r="P125" s="477">
        <v>90</v>
      </c>
      <c r="Q125" s="478">
        <v>0</v>
      </c>
      <c r="R125" s="478">
        <v>90</v>
      </c>
      <c r="S125" s="479">
        <v>100</v>
      </c>
      <c r="T125" s="146">
        <v>0</v>
      </c>
      <c r="U125" s="479">
        <v>100</v>
      </c>
      <c r="V125" s="146">
        <v>0</v>
      </c>
      <c r="W125" s="146">
        <v>0</v>
      </c>
      <c r="X125" s="146">
        <v>0</v>
      </c>
      <c r="AB125" s="146" t="s">
        <v>869</v>
      </c>
      <c r="AC125" s="158"/>
      <c r="AG125" s="146">
        <v>0</v>
      </c>
      <c r="AH125" s="146">
        <v>0</v>
      </c>
      <c r="AI125" s="146">
        <v>0</v>
      </c>
      <c r="AJ125" s="146">
        <v>0</v>
      </c>
      <c r="AK125" s="146">
        <v>0</v>
      </c>
      <c r="AL125" s="146">
        <v>0</v>
      </c>
      <c r="AM125" s="146">
        <v>0</v>
      </c>
      <c r="AQ125" s="146">
        <f t="shared" si="1"/>
        <v>0</v>
      </c>
    </row>
    <row r="126" spans="1:43">
      <c r="A126" s="146" t="s">
        <v>1056</v>
      </c>
      <c r="B126" s="146" t="s">
        <v>840</v>
      </c>
      <c r="C126" s="146" t="s">
        <v>871</v>
      </c>
      <c r="D126" s="146" t="s">
        <v>872</v>
      </c>
      <c r="E126" s="323" t="s">
        <v>854</v>
      </c>
      <c r="J126" s="146" t="s">
        <v>843</v>
      </c>
      <c r="K126" s="477">
        <v>513</v>
      </c>
      <c r="L126" s="146" t="s">
        <v>844</v>
      </c>
      <c r="M126" s="146" t="s">
        <v>341</v>
      </c>
      <c r="N126" s="477">
        <v>4.9000000000000004</v>
      </c>
      <c r="O126" s="146" t="s">
        <v>845</v>
      </c>
      <c r="P126" s="477">
        <v>2514</v>
      </c>
      <c r="Q126" s="478">
        <v>0</v>
      </c>
      <c r="R126" s="478">
        <v>2514</v>
      </c>
      <c r="S126" s="479">
        <v>100</v>
      </c>
      <c r="T126" s="146">
        <v>0</v>
      </c>
      <c r="U126" s="479">
        <v>100</v>
      </c>
      <c r="V126" s="146">
        <v>0</v>
      </c>
      <c r="W126" s="146">
        <v>0</v>
      </c>
      <c r="X126" s="146">
        <v>0</v>
      </c>
      <c r="Y126" s="146">
        <v>0.83</v>
      </c>
      <c r="Z126" s="146">
        <v>0.34029999999999994</v>
      </c>
      <c r="AB126" s="146" t="s">
        <v>869</v>
      </c>
      <c r="AC126" s="146" t="s">
        <v>873</v>
      </c>
      <c r="AG126" s="146">
        <v>0</v>
      </c>
      <c r="AH126" s="146">
        <v>0</v>
      </c>
      <c r="AI126" s="146">
        <v>0</v>
      </c>
      <c r="AJ126" s="146">
        <v>2087</v>
      </c>
      <c r="AK126" s="146">
        <v>2087</v>
      </c>
      <c r="AL126" s="146">
        <v>0</v>
      </c>
      <c r="AM126" s="146">
        <v>0</v>
      </c>
      <c r="AQ126" s="146">
        <f t="shared" si="1"/>
        <v>0</v>
      </c>
    </row>
    <row r="127" spans="1:43">
      <c r="A127" s="146" t="s">
        <v>1056</v>
      </c>
      <c r="B127" s="146" t="s">
        <v>840</v>
      </c>
      <c r="C127" s="146" t="s">
        <v>871</v>
      </c>
      <c r="D127" s="146" t="s">
        <v>874</v>
      </c>
      <c r="E127" s="323" t="s">
        <v>854</v>
      </c>
      <c r="J127" s="146" t="s">
        <v>843</v>
      </c>
      <c r="K127" s="477">
        <v>114</v>
      </c>
      <c r="L127" s="146" t="s">
        <v>844</v>
      </c>
      <c r="M127" s="146" t="s">
        <v>341</v>
      </c>
      <c r="N127" s="477">
        <v>4.7699999999999996</v>
      </c>
      <c r="O127" s="146" t="s">
        <v>845</v>
      </c>
      <c r="P127" s="477">
        <v>544</v>
      </c>
      <c r="Q127" s="478">
        <v>0</v>
      </c>
      <c r="R127" s="478">
        <v>544</v>
      </c>
      <c r="S127" s="479">
        <v>100</v>
      </c>
      <c r="T127" s="146">
        <v>0</v>
      </c>
      <c r="U127" s="479">
        <v>100</v>
      </c>
      <c r="V127" s="146">
        <v>0</v>
      </c>
      <c r="W127" s="146">
        <v>0</v>
      </c>
      <c r="X127" s="146">
        <v>0</v>
      </c>
      <c r="Y127" s="146">
        <v>0.83</v>
      </c>
      <c r="Z127" s="146">
        <v>0.34029999999999994</v>
      </c>
      <c r="AB127" s="146" t="s">
        <v>869</v>
      </c>
      <c r="AC127" s="146" t="s">
        <v>873</v>
      </c>
      <c r="AD127" s="146" t="s">
        <v>847</v>
      </c>
      <c r="AG127" s="146">
        <v>0</v>
      </c>
      <c r="AH127" s="146">
        <v>0</v>
      </c>
      <c r="AI127" s="146">
        <v>0</v>
      </c>
      <c r="AJ127" s="146">
        <v>452</v>
      </c>
      <c r="AK127" s="146">
        <v>452</v>
      </c>
      <c r="AL127" s="146">
        <v>0</v>
      </c>
      <c r="AM127" s="146">
        <v>0</v>
      </c>
      <c r="AQ127" s="146">
        <f t="shared" si="1"/>
        <v>0</v>
      </c>
    </row>
    <row r="128" spans="1:43">
      <c r="A128" s="146" t="s">
        <v>1056</v>
      </c>
      <c r="B128" s="146" t="s">
        <v>840</v>
      </c>
      <c r="C128" s="146" t="s">
        <v>871</v>
      </c>
      <c r="D128" s="146" t="s">
        <v>875</v>
      </c>
      <c r="E128" s="323" t="s">
        <v>854</v>
      </c>
      <c r="J128" s="146" t="s">
        <v>843</v>
      </c>
      <c r="K128" s="477">
        <v>5334</v>
      </c>
      <c r="L128" s="146" t="s">
        <v>844</v>
      </c>
      <c r="M128" s="146" t="s">
        <v>341</v>
      </c>
      <c r="N128" s="477">
        <v>7.25</v>
      </c>
      <c r="O128" s="146" t="s">
        <v>845</v>
      </c>
      <c r="P128" s="477">
        <v>38672</v>
      </c>
      <c r="Q128" s="146">
        <v>0</v>
      </c>
      <c r="R128" s="478">
        <v>38672</v>
      </c>
      <c r="S128" s="479">
        <v>94.2</v>
      </c>
      <c r="T128" s="146">
        <v>2243</v>
      </c>
      <c r="U128" s="479">
        <v>100</v>
      </c>
      <c r="V128" s="146">
        <v>2243</v>
      </c>
      <c r="W128" s="146">
        <v>0</v>
      </c>
      <c r="X128" s="146">
        <v>2243</v>
      </c>
      <c r="Y128" s="146">
        <v>0.83</v>
      </c>
      <c r="Z128" s="146">
        <v>0.34029999999999994</v>
      </c>
      <c r="AB128" s="146" t="s">
        <v>869</v>
      </c>
      <c r="AC128" s="146" t="s">
        <v>873</v>
      </c>
      <c r="AD128" s="146" t="s">
        <v>847</v>
      </c>
      <c r="AG128" s="146">
        <v>1862</v>
      </c>
      <c r="AH128" s="146">
        <v>763</v>
      </c>
      <c r="AI128" s="146">
        <v>0</v>
      </c>
      <c r="AJ128" s="146">
        <v>32098</v>
      </c>
      <c r="AK128" s="146">
        <v>32098</v>
      </c>
      <c r="AL128" s="146">
        <v>1862</v>
      </c>
      <c r="AM128" s="146">
        <v>1862</v>
      </c>
      <c r="AQ128" s="146">
        <v>8874</v>
      </c>
    </row>
    <row r="129" spans="1:43">
      <c r="A129" s="146" t="s">
        <v>1056</v>
      </c>
      <c r="B129" s="146" t="s">
        <v>840</v>
      </c>
      <c r="C129" s="146" t="s">
        <v>871</v>
      </c>
      <c r="D129" s="146" t="s">
        <v>876</v>
      </c>
      <c r="E129" s="146" t="s">
        <v>854</v>
      </c>
      <c r="J129" s="146" t="s">
        <v>843</v>
      </c>
      <c r="K129" s="146">
        <v>1908</v>
      </c>
      <c r="L129" s="146" t="s">
        <v>844</v>
      </c>
      <c r="M129" s="146" t="s">
        <v>341</v>
      </c>
      <c r="N129" s="146">
        <v>6.33</v>
      </c>
      <c r="O129" s="146" t="s">
        <v>845</v>
      </c>
      <c r="P129" s="477">
        <v>12078</v>
      </c>
      <c r="Q129" s="146">
        <v>0</v>
      </c>
      <c r="R129" s="478">
        <v>12078</v>
      </c>
      <c r="S129" s="479">
        <v>100</v>
      </c>
      <c r="T129" s="146">
        <v>0</v>
      </c>
      <c r="U129" s="479">
        <v>100</v>
      </c>
      <c r="V129" s="146">
        <v>0</v>
      </c>
      <c r="W129" s="146">
        <v>0</v>
      </c>
      <c r="X129" s="146">
        <v>0</v>
      </c>
      <c r="Y129" s="146">
        <v>0.83</v>
      </c>
      <c r="Z129" s="146">
        <v>0.34029999999999994</v>
      </c>
      <c r="AB129" s="146" t="s">
        <v>869</v>
      </c>
      <c r="AC129" s="146" t="s">
        <v>873</v>
      </c>
      <c r="AD129" s="146" t="s">
        <v>847</v>
      </c>
      <c r="AG129" s="146">
        <v>0</v>
      </c>
      <c r="AH129" s="146">
        <v>0</v>
      </c>
      <c r="AI129" s="146">
        <v>0</v>
      </c>
      <c r="AJ129" s="146">
        <v>10025</v>
      </c>
      <c r="AK129" s="146">
        <v>10025</v>
      </c>
      <c r="AL129" s="146">
        <v>0</v>
      </c>
      <c r="AM129" s="146">
        <v>0</v>
      </c>
      <c r="AQ129" s="146">
        <f t="shared" si="1"/>
        <v>0</v>
      </c>
    </row>
    <row r="130" spans="1:43">
      <c r="A130" s="146" t="s">
        <v>1056</v>
      </c>
      <c r="B130" s="146" t="s">
        <v>840</v>
      </c>
      <c r="C130" s="146" t="s">
        <v>871</v>
      </c>
      <c r="D130" s="146" t="s">
        <v>877</v>
      </c>
      <c r="E130" s="323" t="s">
        <v>854</v>
      </c>
      <c r="J130" s="146" t="s">
        <v>843</v>
      </c>
      <c r="K130" s="477">
        <v>24</v>
      </c>
      <c r="L130" s="146" t="s">
        <v>844</v>
      </c>
      <c r="M130" s="146" t="s">
        <v>341</v>
      </c>
      <c r="N130" s="477">
        <v>4.57</v>
      </c>
      <c r="O130" s="146" t="s">
        <v>845</v>
      </c>
      <c r="P130" s="477">
        <v>110</v>
      </c>
      <c r="Q130" s="478">
        <v>0</v>
      </c>
      <c r="R130" s="478">
        <v>110</v>
      </c>
      <c r="S130" s="479">
        <v>100</v>
      </c>
      <c r="T130" s="146">
        <v>0</v>
      </c>
      <c r="U130" s="479">
        <v>100</v>
      </c>
      <c r="V130" s="146">
        <v>0</v>
      </c>
      <c r="W130" s="146">
        <v>0</v>
      </c>
      <c r="X130" s="146">
        <v>0</v>
      </c>
      <c r="Y130" s="146">
        <v>0.83</v>
      </c>
      <c r="Z130" s="146">
        <v>0.34029999999999994</v>
      </c>
      <c r="AB130" s="146" t="s">
        <v>869</v>
      </c>
      <c r="AC130" s="146" t="s">
        <v>873</v>
      </c>
      <c r="AD130" s="146" t="s">
        <v>847</v>
      </c>
      <c r="AG130" s="146">
        <v>0</v>
      </c>
      <c r="AH130" s="146">
        <v>0</v>
      </c>
      <c r="AI130" s="146">
        <v>0</v>
      </c>
      <c r="AJ130" s="146">
        <v>91</v>
      </c>
      <c r="AK130" s="146">
        <v>91</v>
      </c>
      <c r="AL130" s="146">
        <v>0</v>
      </c>
      <c r="AM130" s="146">
        <v>0</v>
      </c>
      <c r="AQ130" s="146">
        <f t="shared" si="1"/>
        <v>0</v>
      </c>
    </row>
    <row r="131" spans="1:43">
      <c r="A131" s="146" t="s">
        <v>1056</v>
      </c>
      <c r="B131" s="146" t="s">
        <v>840</v>
      </c>
      <c r="C131" s="146" t="s">
        <v>878</v>
      </c>
      <c r="D131" s="146" t="s">
        <v>879</v>
      </c>
      <c r="E131" s="323" t="s">
        <v>854</v>
      </c>
      <c r="J131" s="146" t="s">
        <v>843</v>
      </c>
      <c r="K131" s="477">
        <v>1436</v>
      </c>
      <c r="L131" s="146" t="s">
        <v>844</v>
      </c>
      <c r="M131" s="146" t="s">
        <v>341</v>
      </c>
      <c r="N131" s="477">
        <v>10.1</v>
      </c>
      <c r="O131" s="146" t="s">
        <v>845</v>
      </c>
      <c r="P131" s="477">
        <v>14504</v>
      </c>
      <c r="Q131" s="478">
        <v>0</v>
      </c>
      <c r="R131" s="478">
        <v>14504</v>
      </c>
      <c r="S131" s="479">
        <v>89.54</v>
      </c>
      <c r="T131" s="146">
        <v>1517</v>
      </c>
      <c r="U131" s="479">
        <v>100</v>
      </c>
      <c r="V131" s="146">
        <v>1517</v>
      </c>
      <c r="W131" s="146">
        <v>0</v>
      </c>
      <c r="X131" s="146">
        <v>1517</v>
      </c>
      <c r="Y131" s="146">
        <v>0.85</v>
      </c>
      <c r="Z131" s="146">
        <v>0.28699999999999998</v>
      </c>
      <c r="AB131" s="146" t="s">
        <v>869</v>
      </c>
      <c r="AC131" s="146" t="s">
        <v>873</v>
      </c>
      <c r="AD131" s="146" t="s">
        <v>847</v>
      </c>
      <c r="AG131" s="146">
        <v>1289</v>
      </c>
      <c r="AH131" s="146">
        <v>435</v>
      </c>
      <c r="AI131" s="146">
        <v>0</v>
      </c>
      <c r="AJ131" s="146">
        <v>12328</v>
      </c>
      <c r="AK131" s="146">
        <v>12328</v>
      </c>
      <c r="AL131" s="146">
        <v>1289</v>
      </c>
      <c r="AM131" s="146">
        <v>1289</v>
      </c>
      <c r="AQ131" s="146">
        <f t="shared" ref="AQ131:AQ193" si="2">ROUND(AH131*11.63,0)</f>
        <v>5059</v>
      </c>
    </row>
    <row r="132" spans="1:43">
      <c r="A132" s="146" t="s">
        <v>1056</v>
      </c>
      <c r="B132" s="146" t="s">
        <v>840</v>
      </c>
      <c r="C132" s="146" t="s">
        <v>880</v>
      </c>
      <c r="D132" s="146" t="s">
        <v>881</v>
      </c>
      <c r="E132" s="323" t="s">
        <v>854</v>
      </c>
      <c r="J132" s="146" t="s">
        <v>843</v>
      </c>
      <c r="K132" s="477">
        <v>39</v>
      </c>
      <c r="L132" s="146" t="s">
        <v>844</v>
      </c>
      <c r="M132" s="146" t="s">
        <v>341</v>
      </c>
      <c r="N132" s="477">
        <v>1.9</v>
      </c>
      <c r="O132" s="146" t="s">
        <v>845</v>
      </c>
      <c r="P132" s="477">
        <v>74</v>
      </c>
      <c r="Q132" s="478">
        <v>0</v>
      </c>
      <c r="R132" s="478">
        <v>74</v>
      </c>
      <c r="S132" s="479">
        <v>100</v>
      </c>
      <c r="T132" s="146">
        <v>0</v>
      </c>
      <c r="U132" s="479">
        <v>100</v>
      </c>
      <c r="V132" s="146">
        <v>0</v>
      </c>
      <c r="W132" s="146">
        <v>0</v>
      </c>
      <c r="X132" s="146">
        <v>0</v>
      </c>
      <c r="Y132" s="146">
        <v>0.9</v>
      </c>
      <c r="Z132" s="146">
        <v>0.56700000000000006</v>
      </c>
      <c r="AB132" s="146" t="s">
        <v>869</v>
      </c>
      <c r="AC132" s="158" t="s">
        <v>882</v>
      </c>
      <c r="AD132" s="146" t="s">
        <v>847</v>
      </c>
      <c r="AG132" s="146">
        <v>0</v>
      </c>
      <c r="AH132" s="146">
        <v>0</v>
      </c>
      <c r="AI132" s="146">
        <v>0</v>
      </c>
      <c r="AJ132" s="146">
        <v>67</v>
      </c>
      <c r="AK132" s="146">
        <v>67</v>
      </c>
      <c r="AL132" s="146">
        <v>0</v>
      </c>
      <c r="AM132" s="146">
        <v>0</v>
      </c>
      <c r="AQ132" s="146">
        <f t="shared" si="2"/>
        <v>0</v>
      </c>
    </row>
    <row r="133" spans="1:43">
      <c r="A133" s="146" t="s">
        <v>1056</v>
      </c>
      <c r="B133" s="146" t="s">
        <v>840</v>
      </c>
      <c r="C133" s="146" t="s">
        <v>880</v>
      </c>
      <c r="D133" s="146" t="s">
        <v>883</v>
      </c>
      <c r="E133" s="323" t="s">
        <v>854</v>
      </c>
      <c r="J133" s="146" t="s">
        <v>843</v>
      </c>
      <c r="K133" s="477">
        <v>1408</v>
      </c>
      <c r="L133" s="146" t="s">
        <v>844</v>
      </c>
      <c r="M133" s="146" t="s">
        <v>341</v>
      </c>
      <c r="N133" s="477">
        <v>3.8</v>
      </c>
      <c r="O133" s="146" t="s">
        <v>845</v>
      </c>
      <c r="P133" s="477">
        <v>5350</v>
      </c>
      <c r="Q133" s="478">
        <v>0</v>
      </c>
      <c r="R133" s="478">
        <v>5350</v>
      </c>
      <c r="S133" s="479">
        <v>47.67</v>
      </c>
      <c r="T133" s="146">
        <v>2800</v>
      </c>
      <c r="U133" s="479">
        <v>100</v>
      </c>
      <c r="V133" s="146">
        <v>2800</v>
      </c>
      <c r="W133" s="146">
        <v>300</v>
      </c>
      <c r="X133" s="146">
        <v>3100</v>
      </c>
      <c r="Y133" s="146">
        <v>0.91</v>
      </c>
      <c r="Z133" s="146">
        <v>0.56700000000000006</v>
      </c>
      <c r="AB133" s="146" t="s">
        <v>869</v>
      </c>
      <c r="AC133" s="146" t="s">
        <v>884</v>
      </c>
      <c r="AD133" s="146" t="s">
        <v>847</v>
      </c>
      <c r="AG133" s="146">
        <v>2821</v>
      </c>
      <c r="AH133" s="146">
        <v>1758</v>
      </c>
      <c r="AI133" s="146">
        <v>0</v>
      </c>
      <c r="AJ133" s="146">
        <v>4868</v>
      </c>
      <c r="AK133" s="146">
        <v>4868</v>
      </c>
      <c r="AL133" s="146">
        <v>2548</v>
      </c>
      <c r="AM133" s="146">
        <v>2548</v>
      </c>
      <c r="AQ133" s="146">
        <v>20446</v>
      </c>
    </row>
    <row r="134" spans="1:43">
      <c r="A134" s="146" t="s">
        <v>1056</v>
      </c>
      <c r="B134" s="146" t="s">
        <v>840</v>
      </c>
      <c r="C134" s="146" t="s">
        <v>880</v>
      </c>
      <c r="D134" s="146" t="s">
        <v>885</v>
      </c>
      <c r="E134" s="323" t="s">
        <v>854</v>
      </c>
      <c r="J134" s="146" t="s">
        <v>843</v>
      </c>
      <c r="K134" s="477">
        <v>141</v>
      </c>
      <c r="L134" s="146" t="s">
        <v>844</v>
      </c>
      <c r="M134" s="146" t="s">
        <v>341</v>
      </c>
      <c r="N134" s="477">
        <v>2.9</v>
      </c>
      <c r="O134" s="146" t="s">
        <v>845</v>
      </c>
      <c r="P134" s="477">
        <v>409</v>
      </c>
      <c r="Q134" s="478">
        <v>0</v>
      </c>
      <c r="R134" s="478">
        <v>409</v>
      </c>
      <c r="S134" s="479">
        <v>100</v>
      </c>
      <c r="T134" s="146">
        <v>0</v>
      </c>
      <c r="U134" s="479">
        <v>100</v>
      </c>
      <c r="V134" s="146">
        <v>0</v>
      </c>
      <c r="W134" s="146">
        <v>0</v>
      </c>
      <c r="X134" s="146">
        <v>0</v>
      </c>
      <c r="Y134" s="146">
        <v>0.85</v>
      </c>
      <c r="Z134" s="146">
        <v>0.53549999999999998</v>
      </c>
      <c r="AB134" s="146" t="s">
        <v>869</v>
      </c>
      <c r="AC134" s="158" t="s">
        <v>886</v>
      </c>
      <c r="AD134" s="146" t="s">
        <v>847</v>
      </c>
      <c r="AG134" s="146">
        <v>0</v>
      </c>
      <c r="AH134" s="146">
        <v>0</v>
      </c>
      <c r="AI134" s="146">
        <v>0</v>
      </c>
      <c r="AJ134" s="146">
        <v>348</v>
      </c>
      <c r="AK134" s="146">
        <v>348</v>
      </c>
      <c r="AL134" s="146">
        <v>0</v>
      </c>
      <c r="AM134" s="146">
        <v>0</v>
      </c>
      <c r="AQ134" s="146">
        <f t="shared" si="2"/>
        <v>0</v>
      </c>
    </row>
    <row r="135" spans="1:43">
      <c r="A135" s="146" t="s">
        <v>1056</v>
      </c>
      <c r="B135" s="146" t="s">
        <v>840</v>
      </c>
      <c r="C135" s="146" t="s">
        <v>880</v>
      </c>
      <c r="D135" s="146" t="s">
        <v>887</v>
      </c>
      <c r="E135" s="323" t="s">
        <v>854</v>
      </c>
      <c r="J135" s="146" t="s">
        <v>843</v>
      </c>
      <c r="K135" s="477">
        <v>587</v>
      </c>
      <c r="L135" s="146" t="s">
        <v>844</v>
      </c>
      <c r="M135" s="146" t="s">
        <v>341</v>
      </c>
      <c r="N135" s="477">
        <v>2.8</v>
      </c>
      <c r="O135" s="146" t="s">
        <v>845</v>
      </c>
      <c r="P135" s="477">
        <v>1644</v>
      </c>
      <c r="Q135" s="478">
        <v>0</v>
      </c>
      <c r="R135" s="478">
        <v>1644</v>
      </c>
      <c r="S135" s="479">
        <v>92.09</v>
      </c>
      <c r="T135" s="146">
        <v>130</v>
      </c>
      <c r="U135" s="479">
        <v>100</v>
      </c>
      <c r="V135" s="146">
        <v>130</v>
      </c>
      <c r="W135" s="146">
        <v>0</v>
      </c>
      <c r="X135" s="146">
        <v>130</v>
      </c>
      <c r="Y135" s="146">
        <v>0.91</v>
      </c>
      <c r="Z135" s="146">
        <v>0.58590000000000009</v>
      </c>
      <c r="AB135" s="146" t="s">
        <v>869</v>
      </c>
      <c r="AC135" s="146" t="s">
        <v>888</v>
      </c>
      <c r="AD135" s="146" t="s">
        <v>847</v>
      </c>
      <c r="AG135" s="146">
        <v>118</v>
      </c>
      <c r="AH135" s="146">
        <v>76</v>
      </c>
      <c r="AI135" s="146">
        <v>0</v>
      </c>
      <c r="AJ135" s="146">
        <v>1496</v>
      </c>
      <c r="AK135" s="146">
        <v>1496</v>
      </c>
      <c r="AL135" s="146">
        <v>118</v>
      </c>
      <c r="AM135" s="146">
        <v>118</v>
      </c>
      <c r="AQ135" s="146">
        <f t="shared" si="2"/>
        <v>884</v>
      </c>
    </row>
    <row r="136" spans="1:43">
      <c r="A136" s="146" t="s">
        <v>1056</v>
      </c>
      <c r="B136" s="146" t="s">
        <v>840</v>
      </c>
      <c r="C136" s="146" t="s">
        <v>889</v>
      </c>
      <c r="D136" s="146" t="s">
        <v>890</v>
      </c>
      <c r="E136" s="323" t="s">
        <v>854</v>
      </c>
      <c r="P136" s="477">
        <v>0</v>
      </c>
      <c r="Q136" s="478">
        <v>0</v>
      </c>
      <c r="R136" s="478">
        <v>0</v>
      </c>
      <c r="S136" s="479">
        <v>0</v>
      </c>
      <c r="T136" s="146">
        <v>0</v>
      </c>
      <c r="U136" s="479"/>
      <c r="V136" s="146">
        <v>0</v>
      </c>
      <c r="W136" s="146">
        <v>0</v>
      </c>
      <c r="X136" s="146">
        <v>0</v>
      </c>
      <c r="AF136" s="146" t="s">
        <v>891</v>
      </c>
      <c r="AG136" s="146">
        <v>0</v>
      </c>
      <c r="AH136" s="146">
        <v>0</v>
      </c>
      <c r="AI136" s="146">
        <v>0</v>
      </c>
      <c r="AJ136" s="146">
        <v>0</v>
      </c>
      <c r="AK136" s="146">
        <v>0</v>
      </c>
      <c r="AL136" s="146">
        <v>0</v>
      </c>
      <c r="AM136" s="146">
        <v>0</v>
      </c>
      <c r="AQ136" s="146">
        <f t="shared" si="2"/>
        <v>0</v>
      </c>
    </row>
    <row r="137" spans="1:43">
      <c r="A137" s="146" t="s">
        <v>1056</v>
      </c>
      <c r="B137" s="146" t="s">
        <v>840</v>
      </c>
      <c r="C137" s="146" t="s">
        <v>892</v>
      </c>
      <c r="D137" s="146" t="s">
        <v>893</v>
      </c>
      <c r="E137" s="146" t="s">
        <v>862</v>
      </c>
      <c r="F137" s="146" t="s">
        <v>872</v>
      </c>
      <c r="G137" s="146">
        <v>2514</v>
      </c>
      <c r="H137" s="477">
        <v>3.5000000000000001E-3</v>
      </c>
      <c r="I137" s="146" t="s">
        <v>894</v>
      </c>
      <c r="P137" s="477">
        <v>9</v>
      </c>
      <c r="Q137" s="478">
        <v>0</v>
      </c>
      <c r="R137" s="478">
        <v>9</v>
      </c>
      <c r="S137" s="479"/>
      <c r="T137" s="146">
        <v>9</v>
      </c>
      <c r="U137" s="479">
        <v>10</v>
      </c>
      <c r="V137" s="146">
        <v>1</v>
      </c>
      <c r="W137" s="146">
        <v>0</v>
      </c>
      <c r="X137" s="146">
        <v>1</v>
      </c>
      <c r="Y137" s="146">
        <v>0.85</v>
      </c>
      <c r="Z137" s="146">
        <v>0.21279999999999999</v>
      </c>
      <c r="AA137" s="146">
        <v>250</v>
      </c>
      <c r="AB137" s="146" t="s">
        <v>895</v>
      </c>
      <c r="AC137" s="146" t="s">
        <v>896</v>
      </c>
      <c r="AG137" s="146">
        <v>1</v>
      </c>
      <c r="AH137" s="146">
        <v>0</v>
      </c>
      <c r="AI137" s="146">
        <v>250</v>
      </c>
      <c r="AJ137" s="146">
        <v>8</v>
      </c>
      <c r="AK137" s="146">
        <v>8</v>
      </c>
      <c r="AL137" s="146">
        <v>8</v>
      </c>
      <c r="AM137" s="146">
        <v>1</v>
      </c>
      <c r="AQ137" s="146">
        <f t="shared" si="2"/>
        <v>0</v>
      </c>
    </row>
    <row r="138" spans="1:43">
      <c r="A138" s="146" t="s">
        <v>1056</v>
      </c>
      <c r="B138" s="146" t="s">
        <v>840</v>
      </c>
      <c r="C138" s="146" t="s">
        <v>892</v>
      </c>
      <c r="D138" s="146" t="s">
        <v>897</v>
      </c>
      <c r="E138" s="146" t="s">
        <v>862</v>
      </c>
      <c r="F138" s="146" t="s">
        <v>874</v>
      </c>
      <c r="G138" s="146">
        <v>544</v>
      </c>
      <c r="H138" s="477">
        <v>3.5000000000000001E-3</v>
      </c>
      <c r="I138" s="146" t="s">
        <v>894</v>
      </c>
      <c r="P138" s="477">
        <v>2</v>
      </c>
      <c r="Q138" s="478">
        <v>0</v>
      </c>
      <c r="R138" s="478">
        <v>2</v>
      </c>
      <c r="S138" s="479"/>
      <c r="T138" s="146">
        <v>2</v>
      </c>
      <c r="U138" s="479">
        <v>10</v>
      </c>
      <c r="V138" s="146">
        <v>0</v>
      </c>
      <c r="W138" s="146">
        <v>0</v>
      </c>
      <c r="X138" s="146">
        <v>0</v>
      </c>
      <c r="Y138" s="477">
        <v>0.85</v>
      </c>
      <c r="Z138" s="477">
        <v>0.21279999999999999</v>
      </c>
      <c r="AA138" s="146">
        <v>250</v>
      </c>
      <c r="AB138" s="146" t="s">
        <v>895</v>
      </c>
      <c r="AC138" s="146" t="s">
        <v>896</v>
      </c>
      <c r="AG138" s="146">
        <v>0</v>
      </c>
      <c r="AH138" s="146">
        <v>0</v>
      </c>
      <c r="AI138" s="146">
        <v>0</v>
      </c>
      <c r="AJ138" s="146">
        <v>2</v>
      </c>
      <c r="AK138" s="146">
        <v>2</v>
      </c>
      <c r="AL138" s="146">
        <v>2</v>
      </c>
      <c r="AM138" s="146">
        <v>0</v>
      </c>
      <c r="AQ138" s="146">
        <f t="shared" si="2"/>
        <v>0</v>
      </c>
    </row>
    <row r="139" spans="1:43">
      <c r="A139" s="146" t="s">
        <v>1056</v>
      </c>
      <c r="B139" s="146" t="s">
        <v>840</v>
      </c>
      <c r="C139" s="146" t="s">
        <v>892</v>
      </c>
      <c r="D139" s="146" t="s">
        <v>898</v>
      </c>
      <c r="E139" s="146" t="s">
        <v>862</v>
      </c>
      <c r="F139" s="146" t="s">
        <v>875</v>
      </c>
      <c r="G139" s="146">
        <v>38672</v>
      </c>
      <c r="H139" s="477">
        <v>3.5000000000000001E-3</v>
      </c>
      <c r="I139" s="146" t="s">
        <v>894</v>
      </c>
      <c r="P139" s="477">
        <v>135</v>
      </c>
      <c r="Q139" s="478">
        <v>0</v>
      </c>
      <c r="R139" s="478">
        <v>135</v>
      </c>
      <c r="S139" s="479"/>
      <c r="T139" s="146">
        <v>135</v>
      </c>
      <c r="U139" s="479">
        <v>10</v>
      </c>
      <c r="V139" s="146">
        <v>14</v>
      </c>
      <c r="W139" s="146">
        <v>0</v>
      </c>
      <c r="X139" s="146">
        <v>14</v>
      </c>
      <c r="Y139" s="477">
        <v>0.85</v>
      </c>
      <c r="Z139" s="146">
        <v>0.21279999999999999</v>
      </c>
      <c r="AA139" s="146">
        <v>250</v>
      </c>
      <c r="AB139" s="146" t="s">
        <v>895</v>
      </c>
      <c r="AC139" s="146" t="s">
        <v>896</v>
      </c>
      <c r="AG139" s="146">
        <v>12</v>
      </c>
      <c r="AH139" s="146">
        <v>3</v>
      </c>
      <c r="AI139" s="146">
        <v>3500</v>
      </c>
      <c r="AJ139" s="146">
        <v>115</v>
      </c>
      <c r="AK139" s="146">
        <v>115</v>
      </c>
      <c r="AL139" s="146">
        <v>115</v>
      </c>
      <c r="AM139" s="146">
        <v>12</v>
      </c>
      <c r="AQ139" s="146">
        <v>35</v>
      </c>
    </row>
    <row r="140" spans="1:43">
      <c r="A140" s="146" t="s">
        <v>1056</v>
      </c>
      <c r="B140" s="146" t="s">
        <v>840</v>
      </c>
      <c r="C140" s="146" t="s">
        <v>899</v>
      </c>
      <c r="D140" s="146" t="s">
        <v>900</v>
      </c>
      <c r="E140" s="146" t="s">
        <v>862</v>
      </c>
      <c r="F140" s="146" t="s">
        <v>883</v>
      </c>
      <c r="G140" s="146">
        <v>5350</v>
      </c>
      <c r="H140" s="477">
        <v>1.7000000000000001E-2</v>
      </c>
      <c r="I140" s="146" t="s">
        <v>894</v>
      </c>
      <c r="P140" s="477">
        <v>91</v>
      </c>
      <c r="Q140" s="478">
        <v>0</v>
      </c>
      <c r="R140" s="478">
        <v>91</v>
      </c>
      <c r="S140" s="479"/>
      <c r="T140" s="146">
        <v>91</v>
      </c>
      <c r="U140" s="479">
        <v>10</v>
      </c>
      <c r="V140" s="146">
        <v>9</v>
      </c>
      <c r="W140" s="146">
        <v>0</v>
      </c>
      <c r="X140" s="146">
        <v>9</v>
      </c>
      <c r="Y140" s="146">
        <v>0.91</v>
      </c>
      <c r="Z140" s="146">
        <v>0.21279999999999999</v>
      </c>
      <c r="AA140" s="146">
        <v>250</v>
      </c>
      <c r="AB140" s="146" t="s">
        <v>895</v>
      </c>
      <c r="AC140" s="146" t="s">
        <v>896</v>
      </c>
      <c r="AG140" s="146">
        <v>8</v>
      </c>
      <c r="AH140" s="146">
        <v>2</v>
      </c>
      <c r="AI140" s="146">
        <v>2250</v>
      </c>
      <c r="AJ140" s="146">
        <v>83</v>
      </c>
      <c r="AK140" s="146">
        <v>83</v>
      </c>
      <c r="AL140" s="146">
        <v>83</v>
      </c>
      <c r="AM140" s="146">
        <v>8</v>
      </c>
      <c r="AQ140" s="146">
        <f t="shared" si="2"/>
        <v>23</v>
      </c>
    </row>
    <row r="141" spans="1:43">
      <c r="A141" s="146" t="s">
        <v>1056</v>
      </c>
      <c r="B141" s="146" t="s">
        <v>840</v>
      </c>
      <c r="C141" s="146" t="s">
        <v>901</v>
      </c>
      <c r="D141" s="146" t="s">
        <v>902</v>
      </c>
      <c r="E141" s="146" t="s">
        <v>862</v>
      </c>
      <c r="F141" s="146" t="s">
        <v>879</v>
      </c>
      <c r="G141" s="146">
        <v>14504</v>
      </c>
      <c r="H141" s="477">
        <v>8.0000000000000002E-3</v>
      </c>
      <c r="I141" s="146" t="s">
        <v>894</v>
      </c>
      <c r="P141" s="477">
        <v>116</v>
      </c>
      <c r="Q141" s="478">
        <v>0</v>
      </c>
      <c r="R141" s="478">
        <v>116</v>
      </c>
      <c r="S141" s="479"/>
      <c r="T141" s="146">
        <v>116</v>
      </c>
      <c r="U141" s="479">
        <v>10</v>
      </c>
      <c r="V141" s="146">
        <v>12</v>
      </c>
      <c r="W141" s="146">
        <v>0</v>
      </c>
      <c r="X141" s="146">
        <v>12</v>
      </c>
      <c r="Y141" s="146">
        <v>0.85</v>
      </c>
      <c r="Z141" s="146">
        <v>0.21279999999999999</v>
      </c>
      <c r="AA141" s="146">
        <v>250</v>
      </c>
      <c r="AB141" s="146" t="s">
        <v>895</v>
      </c>
      <c r="AC141" s="146" t="s">
        <v>896</v>
      </c>
      <c r="AG141" s="146">
        <v>10</v>
      </c>
      <c r="AH141" s="146">
        <v>3</v>
      </c>
      <c r="AI141" s="146">
        <v>3000</v>
      </c>
      <c r="AJ141" s="146">
        <v>99</v>
      </c>
      <c r="AK141" s="146">
        <v>99</v>
      </c>
      <c r="AL141" s="146">
        <v>99</v>
      </c>
      <c r="AM141" s="146">
        <v>10</v>
      </c>
      <c r="AQ141" s="146">
        <f t="shared" si="2"/>
        <v>35</v>
      </c>
    </row>
    <row r="142" spans="1:43">
      <c r="A142" s="146" t="s">
        <v>1056</v>
      </c>
      <c r="B142" s="146" t="s">
        <v>840</v>
      </c>
      <c r="C142" s="146" t="s">
        <v>892</v>
      </c>
      <c r="D142" s="146" t="s">
        <v>903</v>
      </c>
      <c r="E142" s="146" t="s">
        <v>862</v>
      </c>
      <c r="F142" s="146" t="s">
        <v>876</v>
      </c>
      <c r="G142" s="146">
        <v>12078</v>
      </c>
      <c r="H142" s="477">
        <v>1.0999999999999999E-2</v>
      </c>
      <c r="I142" s="146" t="s">
        <v>894</v>
      </c>
      <c r="P142" s="477">
        <v>133</v>
      </c>
      <c r="Q142" s="478">
        <v>0</v>
      </c>
      <c r="R142" s="478">
        <v>133</v>
      </c>
      <c r="S142" s="479"/>
      <c r="T142" s="146">
        <v>133</v>
      </c>
      <c r="U142" s="479">
        <v>10</v>
      </c>
      <c r="V142" s="146">
        <v>13</v>
      </c>
      <c r="W142" s="146">
        <v>0</v>
      </c>
      <c r="X142" s="146">
        <v>13</v>
      </c>
      <c r="Y142" s="477">
        <v>0.85</v>
      </c>
      <c r="Z142" s="146">
        <v>0.21279999999999999</v>
      </c>
      <c r="AA142" s="146">
        <v>250</v>
      </c>
      <c r="AB142" s="146" t="s">
        <v>895</v>
      </c>
      <c r="AC142" s="146" t="s">
        <v>896</v>
      </c>
      <c r="AG142" s="146">
        <v>11</v>
      </c>
      <c r="AH142" s="146">
        <v>3</v>
      </c>
      <c r="AI142" s="146">
        <v>3250</v>
      </c>
      <c r="AJ142" s="146">
        <v>113</v>
      </c>
      <c r="AK142" s="146">
        <v>113</v>
      </c>
      <c r="AL142" s="146">
        <v>113</v>
      </c>
      <c r="AM142" s="146">
        <v>11</v>
      </c>
      <c r="AQ142" s="146">
        <f t="shared" si="2"/>
        <v>35</v>
      </c>
    </row>
    <row r="143" spans="1:43">
      <c r="A143" s="146" t="s">
        <v>1056</v>
      </c>
      <c r="B143" s="146" t="s">
        <v>840</v>
      </c>
      <c r="C143" s="146" t="s">
        <v>892</v>
      </c>
      <c r="D143" s="146" t="s">
        <v>904</v>
      </c>
      <c r="E143" s="146" t="s">
        <v>862</v>
      </c>
      <c r="F143" s="146" t="s">
        <v>877</v>
      </c>
      <c r="G143" s="146">
        <v>110</v>
      </c>
      <c r="H143" s="477">
        <v>3.5000000000000001E-3</v>
      </c>
      <c r="I143" s="146" t="s">
        <v>894</v>
      </c>
      <c r="P143" s="477">
        <v>0</v>
      </c>
      <c r="Q143" s="478">
        <v>0</v>
      </c>
      <c r="R143" s="478">
        <v>0</v>
      </c>
      <c r="S143" s="479"/>
      <c r="T143" s="146">
        <v>0</v>
      </c>
      <c r="U143" s="479">
        <v>10</v>
      </c>
      <c r="V143" s="146">
        <v>0</v>
      </c>
      <c r="W143" s="146">
        <v>0</v>
      </c>
      <c r="X143" s="146">
        <v>0</v>
      </c>
      <c r="Y143" s="146">
        <v>0.85</v>
      </c>
      <c r="Z143" s="146">
        <v>0.21279999999999999</v>
      </c>
      <c r="AA143" s="146">
        <v>250</v>
      </c>
      <c r="AB143" s="146" t="s">
        <v>895</v>
      </c>
      <c r="AC143" s="146" t="s">
        <v>896</v>
      </c>
      <c r="AG143" s="146">
        <v>0</v>
      </c>
      <c r="AH143" s="146">
        <v>0</v>
      </c>
      <c r="AI143" s="146">
        <v>0</v>
      </c>
      <c r="AJ143" s="146">
        <v>0</v>
      </c>
      <c r="AK143" s="146">
        <v>0</v>
      </c>
      <c r="AL143" s="146">
        <v>0</v>
      </c>
      <c r="AM143" s="146">
        <v>0</v>
      </c>
      <c r="AQ143" s="146">
        <f t="shared" si="2"/>
        <v>0</v>
      </c>
    </row>
    <row r="144" spans="1:43">
      <c r="A144" s="146" t="s">
        <v>1056</v>
      </c>
      <c r="B144" s="146" t="s">
        <v>840</v>
      </c>
      <c r="C144" s="146" t="s">
        <v>899</v>
      </c>
      <c r="D144" s="146" t="s">
        <v>905</v>
      </c>
      <c r="E144" s="146" t="s">
        <v>862</v>
      </c>
      <c r="F144" s="146" t="s">
        <v>906</v>
      </c>
      <c r="G144" s="146">
        <v>1644</v>
      </c>
      <c r="H144" s="477">
        <v>1.7000000000000001E-2</v>
      </c>
      <c r="I144" s="146" t="s">
        <v>894</v>
      </c>
      <c r="P144" s="477">
        <v>28</v>
      </c>
      <c r="Q144" s="478">
        <v>0</v>
      </c>
      <c r="R144" s="478">
        <v>28</v>
      </c>
      <c r="S144" s="479"/>
      <c r="T144" s="146">
        <v>28</v>
      </c>
      <c r="U144" s="479">
        <v>10</v>
      </c>
      <c r="V144" s="146">
        <v>3</v>
      </c>
      <c r="W144" s="146">
        <v>0</v>
      </c>
      <c r="X144" s="146">
        <v>3</v>
      </c>
      <c r="Y144" s="146">
        <v>0.91</v>
      </c>
      <c r="Z144" s="146">
        <v>0.21279999999999999</v>
      </c>
      <c r="AA144" s="146">
        <v>250</v>
      </c>
      <c r="AB144" s="146" t="s">
        <v>895</v>
      </c>
      <c r="AC144" s="146" t="s">
        <v>896</v>
      </c>
      <c r="AG144" s="146">
        <v>3</v>
      </c>
      <c r="AH144" s="146">
        <v>1</v>
      </c>
      <c r="AI144" s="146">
        <v>750</v>
      </c>
      <c r="AJ144" s="146">
        <v>25</v>
      </c>
      <c r="AK144" s="146">
        <v>25</v>
      </c>
      <c r="AL144" s="146">
        <v>25</v>
      </c>
      <c r="AM144" s="146">
        <v>3</v>
      </c>
      <c r="AQ144" s="146">
        <f t="shared" si="2"/>
        <v>12</v>
      </c>
    </row>
    <row r="145" spans="1:43">
      <c r="A145" s="146" t="s">
        <v>1056</v>
      </c>
      <c r="B145" s="146" t="s">
        <v>840</v>
      </c>
      <c r="C145" s="146" t="s">
        <v>907</v>
      </c>
      <c r="D145" s="146" t="s">
        <v>907</v>
      </c>
      <c r="E145" s="146" t="s">
        <v>842</v>
      </c>
      <c r="J145" s="146" t="s">
        <v>843</v>
      </c>
      <c r="K145" s="146">
        <v>69.13</v>
      </c>
      <c r="L145" s="146" t="s">
        <v>844</v>
      </c>
      <c r="M145" s="146" t="s">
        <v>341</v>
      </c>
      <c r="N145" s="146">
        <v>6.9</v>
      </c>
      <c r="O145" s="146" t="s">
        <v>845</v>
      </c>
      <c r="P145" s="477">
        <v>477</v>
      </c>
      <c r="Q145" s="478">
        <v>0</v>
      </c>
      <c r="R145" s="478">
        <v>477</v>
      </c>
      <c r="S145" s="479">
        <v>0</v>
      </c>
      <c r="T145" s="146">
        <v>477</v>
      </c>
      <c r="U145" s="479">
        <v>100</v>
      </c>
      <c r="V145" s="146">
        <v>477</v>
      </c>
      <c r="W145" s="146">
        <v>0</v>
      </c>
      <c r="X145" s="146">
        <v>477</v>
      </c>
      <c r="Y145" s="146">
        <v>0.8</v>
      </c>
      <c r="Z145" s="146">
        <v>0.32800000000000001</v>
      </c>
      <c r="AB145" s="146" t="s">
        <v>851</v>
      </c>
      <c r="AF145" s="146" t="s">
        <v>852</v>
      </c>
      <c r="AG145" s="146">
        <v>382</v>
      </c>
      <c r="AH145" s="146">
        <v>156</v>
      </c>
      <c r="AI145" s="146">
        <v>0</v>
      </c>
      <c r="AJ145" s="146">
        <v>382</v>
      </c>
      <c r="AK145" s="146">
        <v>382</v>
      </c>
      <c r="AL145" s="146">
        <v>382</v>
      </c>
      <c r="AM145" s="146">
        <v>382</v>
      </c>
      <c r="AQ145" s="146">
        <f t="shared" si="2"/>
        <v>1814</v>
      </c>
    </row>
    <row r="146" spans="1:43">
      <c r="A146" s="146" t="s">
        <v>1056</v>
      </c>
      <c r="B146" s="146" t="s">
        <v>908</v>
      </c>
      <c r="C146" s="146" t="s">
        <v>909</v>
      </c>
      <c r="D146" s="146" t="s">
        <v>910</v>
      </c>
      <c r="E146" s="146" t="s">
        <v>842</v>
      </c>
      <c r="J146" s="146" t="s">
        <v>911</v>
      </c>
      <c r="K146" s="477">
        <v>60036</v>
      </c>
      <c r="L146" s="146" t="s">
        <v>912</v>
      </c>
      <c r="M146" s="146" t="s">
        <v>913</v>
      </c>
      <c r="N146" s="477">
        <v>1.18E-2</v>
      </c>
      <c r="O146" s="146" t="s">
        <v>914</v>
      </c>
      <c r="P146" s="477">
        <v>708</v>
      </c>
      <c r="Q146" s="478">
        <v>23.6</v>
      </c>
      <c r="R146" s="478">
        <v>541</v>
      </c>
      <c r="S146" s="479">
        <v>0</v>
      </c>
      <c r="T146" s="146">
        <v>541</v>
      </c>
      <c r="U146" s="479">
        <v>5</v>
      </c>
      <c r="V146" s="146">
        <v>27</v>
      </c>
      <c r="W146" s="146">
        <v>0</v>
      </c>
      <c r="X146" s="146">
        <v>27</v>
      </c>
      <c r="Y146" s="477">
        <v>0.78</v>
      </c>
      <c r="Z146" s="477">
        <v>0.13089999999999999</v>
      </c>
      <c r="AA146" s="477">
        <v>154</v>
      </c>
      <c r="AB146" s="146" t="s">
        <v>915</v>
      </c>
      <c r="AC146" s="146" t="s">
        <v>916</v>
      </c>
      <c r="AD146" s="146" t="s">
        <v>856</v>
      </c>
      <c r="AG146" s="146">
        <v>21</v>
      </c>
      <c r="AH146" s="146">
        <v>4</v>
      </c>
      <c r="AI146" s="146">
        <v>4158</v>
      </c>
      <c r="AJ146" s="146">
        <v>552</v>
      </c>
      <c r="AK146" s="146">
        <v>422</v>
      </c>
      <c r="AL146" s="146">
        <v>422</v>
      </c>
      <c r="AM146" s="146">
        <v>21</v>
      </c>
      <c r="AQ146" s="146">
        <v>47</v>
      </c>
    </row>
    <row r="147" spans="1:43">
      <c r="A147" s="146" t="s">
        <v>1056</v>
      </c>
      <c r="B147" s="146" t="s">
        <v>908</v>
      </c>
      <c r="C147" s="146" t="s">
        <v>909</v>
      </c>
      <c r="D147" s="146" t="s">
        <v>917</v>
      </c>
      <c r="E147" s="146" t="s">
        <v>842</v>
      </c>
      <c r="J147" s="146" t="s">
        <v>911</v>
      </c>
      <c r="K147" s="477">
        <v>43926</v>
      </c>
      <c r="L147" s="146" t="s">
        <v>912</v>
      </c>
      <c r="M147" s="146" t="s">
        <v>913</v>
      </c>
      <c r="N147" s="477">
        <v>0.01</v>
      </c>
      <c r="O147" s="146" t="s">
        <v>914</v>
      </c>
      <c r="P147" s="477">
        <v>439</v>
      </c>
      <c r="Q147" s="478">
        <v>0</v>
      </c>
      <c r="R147" s="478">
        <v>439</v>
      </c>
      <c r="S147" s="479">
        <v>0</v>
      </c>
      <c r="T147" s="146">
        <v>439</v>
      </c>
      <c r="U147" s="479">
        <v>5</v>
      </c>
      <c r="V147" s="146">
        <v>22</v>
      </c>
      <c r="W147" s="146">
        <v>0</v>
      </c>
      <c r="X147" s="146">
        <v>22</v>
      </c>
      <c r="Y147" s="477">
        <v>0.6</v>
      </c>
      <c r="Z147" s="477">
        <v>0.1226</v>
      </c>
      <c r="AA147" s="477">
        <v>144</v>
      </c>
      <c r="AB147" s="146" t="s">
        <v>915</v>
      </c>
      <c r="AC147" s="146" t="s">
        <v>918</v>
      </c>
      <c r="AD147" s="146" t="s">
        <v>856</v>
      </c>
      <c r="AG147" s="146">
        <v>13</v>
      </c>
      <c r="AH147" s="146">
        <v>3</v>
      </c>
      <c r="AI147" s="146">
        <v>3168</v>
      </c>
      <c r="AJ147" s="146">
        <v>263</v>
      </c>
      <c r="AK147" s="146">
        <v>263</v>
      </c>
      <c r="AL147" s="146">
        <v>263</v>
      </c>
      <c r="AM147" s="146">
        <v>13</v>
      </c>
      <c r="AQ147" s="146">
        <f t="shared" si="2"/>
        <v>35</v>
      </c>
    </row>
    <row r="148" spans="1:43">
      <c r="A148" s="146" t="s">
        <v>1056</v>
      </c>
      <c r="B148" s="146" t="s">
        <v>908</v>
      </c>
      <c r="C148" s="146" t="s">
        <v>909</v>
      </c>
      <c r="D148" s="146" t="s">
        <v>919</v>
      </c>
      <c r="E148" s="146" t="s">
        <v>842</v>
      </c>
      <c r="J148" s="146" t="s">
        <v>911</v>
      </c>
      <c r="K148" s="477">
        <v>60036</v>
      </c>
      <c r="L148" s="146" t="s">
        <v>912</v>
      </c>
      <c r="M148" s="146" t="s">
        <v>913</v>
      </c>
      <c r="N148" s="477">
        <v>1.55E-2</v>
      </c>
      <c r="O148" s="146" t="s">
        <v>914</v>
      </c>
      <c r="P148" s="477">
        <v>931</v>
      </c>
      <c r="Q148" s="478">
        <v>0</v>
      </c>
      <c r="R148" s="478">
        <v>931</v>
      </c>
      <c r="S148" s="479">
        <v>0</v>
      </c>
      <c r="T148" s="146">
        <v>931</v>
      </c>
      <c r="U148" s="479">
        <v>5</v>
      </c>
      <c r="V148" s="146">
        <v>47</v>
      </c>
      <c r="W148" s="146">
        <v>0</v>
      </c>
      <c r="X148" s="146">
        <v>47</v>
      </c>
      <c r="Y148" s="477">
        <v>0.6</v>
      </c>
      <c r="Z148" s="477">
        <v>0.1226</v>
      </c>
      <c r="AA148" s="477">
        <v>144</v>
      </c>
      <c r="AB148" s="146" t="s">
        <v>915</v>
      </c>
      <c r="AC148" s="146" t="s">
        <v>918</v>
      </c>
      <c r="AD148" s="146" t="s">
        <v>856</v>
      </c>
      <c r="AG148" s="146">
        <v>28</v>
      </c>
      <c r="AH148" s="146">
        <v>6</v>
      </c>
      <c r="AI148" s="146">
        <v>6768</v>
      </c>
      <c r="AJ148" s="146">
        <v>559</v>
      </c>
      <c r="AK148" s="146">
        <v>559</v>
      </c>
      <c r="AL148" s="146">
        <v>559</v>
      </c>
      <c r="AM148" s="146">
        <v>28</v>
      </c>
      <c r="AQ148" s="146">
        <f t="shared" si="2"/>
        <v>70</v>
      </c>
    </row>
    <row r="149" spans="1:43">
      <c r="A149" s="146" t="s">
        <v>1056</v>
      </c>
      <c r="B149" s="146" t="s">
        <v>908</v>
      </c>
      <c r="C149" s="146" t="s">
        <v>909</v>
      </c>
      <c r="D149" s="146" t="s">
        <v>920</v>
      </c>
      <c r="E149" s="146" t="s">
        <v>842</v>
      </c>
      <c r="J149" s="146" t="s">
        <v>911</v>
      </c>
      <c r="K149" s="477">
        <v>193777</v>
      </c>
      <c r="L149" s="146" t="s">
        <v>912</v>
      </c>
      <c r="M149" s="146" t="s">
        <v>913</v>
      </c>
      <c r="N149" s="477">
        <v>2.2000000000000001E-3</v>
      </c>
      <c r="O149" s="146" t="s">
        <v>914</v>
      </c>
      <c r="P149" s="477">
        <v>426</v>
      </c>
      <c r="Q149" s="478">
        <v>0</v>
      </c>
      <c r="R149" s="478">
        <v>426</v>
      </c>
      <c r="S149" s="479">
        <v>0</v>
      </c>
      <c r="T149" s="146">
        <v>426</v>
      </c>
      <c r="U149" s="479">
        <v>5</v>
      </c>
      <c r="V149" s="146">
        <v>21</v>
      </c>
      <c r="W149" s="146">
        <v>0</v>
      </c>
      <c r="X149" s="146">
        <v>21</v>
      </c>
      <c r="Y149" s="477">
        <v>0.6</v>
      </c>
      <c r="Z149" s="477">
        <v>0.1226</v>
      </c>
      <c r="AA149" s="477">
        <v>144</v>
      </c>
      <c r="AB149" s="146" t="s">
        <v>915</v>
      </c>
      <c r="AC149" s="146" t="s">
        <v>918</v>
      </c>
      <c r="AD149" s="146" t="s">
        <v>856</v>
      </c>
      <c r="AG149" s="146">
        <v>13</v>
      </c>
      <c r="AH149" s="146">
        <v>3</v>
      </c>
      <c r="AI149" s="146">
        <v>3024</v>
      </c>
      <c r="AJ149" s="146">
        <v>256</v>
      </c>
      <c r="AK149" s="146">
        <v>256</v>
      </c>
      <c r="AL149" s="146">
        <v>256</v>
      </c>
      <c r="AM149" s="146">
        <v>13</v>
      </c>
      <c r="AQ149" s="146">
        <f t="shared" si="2"/>
        <v>35</v>
      </c>
    </row>
    <row r="150" spans="1:43">
      <c r="A150" s="146" t="s">
        <v>1056</v>
      </c>
      <c r="B150" s="146" t="s">
        <v>908</v>
      </c>
      <c r="C150" s="146" t="s">
        <v>909</v>
      </c>
      <c r="D150" s="146" t="s">
        <v>921</v>
      </c>
      <c r="E150" s="146" t="s">
        <v>842</v>
      </c>
      <c r="J150" s="146" t="s">
        <v>911</v>
      </c>
      <c r="K150" s="477">
        <v>5940</v>
      </c>
      <c r="L150" s="146" t="s">
        <v>912</v>
      </c>
      <c r="M150" s="146" t="s">
        <v>913</v>
      </c>
      <c r="N150" s="477">
        <v>5.4</v>
      </c>
      <c r="O150" s="146" t="s">
        <v>914</v>
      </c>
      <c r="P150" s="477">
        <v>32076</v>
      </c>
      <c r="Q150" s="478">
        <v>36.6</v>
      </c>
      <c r="R150" s="478">
        <v>20336</v>
      </c>
      <c r="S150" s="479">
        <v>0</v>
      </c>
      <c r="T150" s="146">
        <v>20336</v>
      </c>
      <c r="U150" s="479">
        <v>5</v>
      </c>
      <c r="V150" s="146">
        <v>1017</v>
      </c>
      <c r="W150" s="146">
        <v>0</v>
      </c>
      <c r="X150" s="146">
        <v>1017</v>
      </c>
      <c r="Y150" s="477">
        <v>0.24</v>
      </c>
      <c r="Z150" s="477">
        <v>2.47E-2</v>
      </c>
      <c r="AA150" s="477">
        <v>29</v>
      </c>
      <c r="AB150" s="146" t="s">
        <v>915</v>
      </c>
      <c r="AC150" s="146" t="s">
        <v>916</v>
      </c>
      <c r="AD150" s="146" t="s">
        <v>856</v>
      </c>
      <c r="AG150" s="146">
        <v>244</v>
      </c>
      <c r="AH150" s="146">
        <v>25</v>
      </c>
      <c r="AI150" s="146">
        <v>29493</v>
      </c>
      <c r="AJ150" s="146">
        <v>7698</v>
      </c>
      <c r="AK150" s="146">
        <v>4881</v>
      </c>
      <c r="AL150" s="146">
        <v>4881</v>
      </c>
      <c r="AM150" s="146">
        <v>244</v>
      </c>
      <c r="AQ150" s="146">
        <f t="shared" si="2"/>
        <v>291</v>
      </c>
    </row>
    <row r="151" spans="1:43">
      <c r="A151" s="146" t="s">
        <v>1056</v>
      </c>
      <c r="B151" s="146" t="s">
        <v>908</v>
      </c>
      <c r="C151" s="146" t="s">
        <v>909</v>
      </c>
      <c r="D151" s="146" t="s">
        <v>922</v>
      </c>
      <c r="E151" s="146" t="s">
        <v>842</v>
      </c>
      <c r="J151" s="146" t="s">
        <v>911</v>
      </c>
      <c r="K151" s="477">
        <v>5251</v>
      </c>
      <c r="L151" s="146" t="s">
        <v>912</v>
      </c>
      <c r="M151" s="146" t="s">
        <v>913</v>
      </c>
      <c r="N151" s="477">
        <v>3.18</v>
      </c>
      <c r="O151" s="146" t="s">
        <v>914</v>
      </c>
      <c r="P151" s="477">
        <v>16698</v>
      </c>
      <c r="Q151" s="478">
        <v>36.6</v>
      </c>
      <c r="R151" s="478">
        <v>10587</v>
      </c>
      <c r="S151" s="479">
        <v>0</v>
      </c>
      <c r="T151" s="146">
        <v>10587</v>
      </c>
      <c r="U151" s="479">
        <v>5</v>
      </c>
      <c r="V151" s="146">
        <v>529</v>
      </c>
      <c r="W151" s="146">
        <v>0</v>
      </c>
      <c r="X151" s="146">
        <v>529</v>
      </c>
      <c r="Y151" s="477">
        <v>0.24</v>
      </c>
      <c r="Z151" s="477">
        <v>2.47E-2</v>
      </c>
      <c r="AA151" s="477">
        <v>29</v>
      </c>
      <c r="AB151" s="146" t="s">
        <v>915</v>
      </c>
      <c r="AC151" s="146" t="s">
        <v>916</v>
      </c>
      <c r="AD151" s="146" t="s">
        <v>856</v>
      </c>
      <c r="AG151" s="146">
        <v>127</v>
      </c>
      <c r="AH151" s="146">
        <v>13</v>
      </c>
      <c r="AI151" s="146">
        <v>15341</v>
      </c>
      <c r="AJ151" s="146">
        <v>4008</v>
      </c>
      <c r="AK151" s="146">
        <v>2541</v>
      </c>
      <c r="AL151" s="146">
        <v>2541</v>
      </c>
      <c r="AM151" s="146">
        <v>127</v>
      </c>
      <c r="AQ151" s="146">
        <v>151</v>
      </c>
    </row>
    <row r="152" spans="1:43">
      <c r="A152" s="146" t="s">
        <v>1056</v>
      </c>
      <c r="B152" s="146" t="s">
        <v>908</v>
      </c>
      <c r="C152" s="146" t="s">
        <v>909</v>
      </c>
      <c r="D152" s="146" t="s">
        <v>923</v>
      </c>
      <c r="E152" s="146" t="s">
        <v>842</v>
      </c>
      <c r="J152" s="146" t="s">
        <v>911</v>
      </c>
      <c r="K152" s="146">
        <v>3594</v>
      </c>
      <c r="L152" s="146" t="s">
        <v>912</v>
      </c>
      <c r="M152" s="146" t="s">
        <v>913</v>
      </c>
      <c r="N152" s="146">
        <v>16.5</v>
      </c>
      <c r="O152" s="146" t="s">
        <v>914</v>
      </c>
      <c r="P152" s="477">
        <v>59301</v>
      </c>
      <c r="Q152" s="478">
        <v>36.6</v>
      </c>
      <c r="R152" s="478">
        <v>37597</v>
      </c>
      <c r="S152" s="479">
        <v>0</v>
      </c>
      <c r="T152" s="146">
        <v>37597</v>
      </c>
      <c r="U152" s="479">
        <v>5</v>
      </c>
      <c r="V152" s="146">
        <v>1880</v>
      </c>
      <c r="W152" s="146">
        <v>0</v>
      </c>
      <c r="X152" s="146">
        <v>1880</v>
      </c>
      <c r="Y152" s="477">
        <v>0.24</v>
      </c>
      <c r="Z152" s="477">
        <v>2.47E-2</v>
      </c>
      <c r="AA152" s="477">
        <v>29</v>
      </c>
      <c r="AB152" s="146" t="s">
        <v>915</v>
      </c>
      <c r="AC152" s="146" t="s">
        <v>916</v>
      </c>
      <c r="AD152" s="146" t="s">
        <v>856</v>
      </c>
      <c r="AG152" s="146">
        <v>451</v>
      </c>
      <c r="AH152" s="146">
        <v>46</v>
      </c>
      <c r="AI152" s="146">
        <v>54520</v>
      </c>
      <c r="AJ152" s="146">
        <v>14232</v>
      </c>
      <c r="AK152" s="146">
        <v>9023</v>
      </c>
      <c r="AL152" s="146">
        <v>9023</v>
      </c>
      <c r="AM152" s="146">
        <v>451</v>
      </c>
      <c r="AQ152" s="146">
        <f t="shared" si="2"/>
        <v>535</v>
      </c>
    </row>
    <row r="153" spans="1:43">
      <c r="A153" s="146" t="s">
        <v>1056</v>
      </c>
      <c r="B153" s="146" t="s">
        <v>908</v>
      </c>
      <c r="C153" s="146" t="s">
        <v>909</v>
      </c>
      <c r="D153" s="146" t="s">
        <v>924</v>
      </c>
      <c r="E153" s="146" t="s">
        <v>842</v>
      </c>
      <c r="J153" s="146" t="s">
        <v>911</v>
      </c>
      <c r="K153" s="146">
        <v>4148</v>
      </c>
      <c r="L153" s="146" t="s">
        <v>912</v>
      </c>
      <c r="M153" s="146" t="s">
        <v>913</v>
      </c>
      <c r="N153" s="146">
        <v>0</v>
      </c>
      <c r="O153" s="146" t="s">
        <v>914</v>
      </c>
      <c r="P153" s="477">
        <v>0</v>
      </c>
      <c r="Q153" s="478">
        <v>36.6</v>
      </c>
      <c r="R153" s="478">
        <v>0</v>
      </c>
      <c r="S153" s="479">
        <v>0</v>
      </c>
      <c r="T153" s="146">
        <v>0</v>
      </c>
      <c r="U153" s="479">
        <v>5</v>
      </c>
      <c r="V153" s="146">
        <v>0</v>
      </c>
      <c r="W153" s="146">
        <v>0</v>
      </c>
      <c r="X153" s="146">
        <v>0</v>
      </c>
      <c r="Y153" s="477">
        <v>0.24</v>
      </c>
      <c r="Z153" s="477">
        <v>2.47E-2</v>
      </c>
      <c r="AA153" s="477">
        <v>29</v>
      </c>
      <c r="AB153" s="146" t="s">
        <v>915</v>
      </c>
      <c r="AC153" s="146" t="s">
        <v>916</v>
      </c>
      <c r="AD153" s="146" t="s">
        <v>856</v>
      </c>
      <c r="AG153" s="146">
        <v>0</v>
      </c>
      <c r="AH153" s="146">
        <v>0</v>
      </c>
      <c r="AI153" s="146">
        <v>0</v>
      </c>
      <c r="AJ153" s="146">
        <v>0</v>
      </c>
      <c r="AK153" s="146">
        <v>0</v>
      </c>
      <c r="AL153" s="146">
        <v>0</v>
      </c>
      <c r="AM153" s="146">
        <v>0</v>
      </c>
      <c r="AQ153" s="146">
        <f t="shared" si="2"/>
        <v>0</v>
      </c>
    </row>
    <row r="154" spans="1:43">
      <c r="A154" s="146" t="s">
        <v>1056</v>
      </c>
      <c r="B154" s="146" t="s">
        <v>908</v>
      </c>
      <c r="C154" s="146" t="s">
        <v>909</v>
      </c>
      <c r="D154" s="146" t="s">
        <v>925</v>
      </c>
      <c r="E154" s="146" t="s">
        <v>842</v>
      </c>
      <c r="J154" s="146" t="s">
        <v>911</v>
      </c>
      <c r="K154" s="477">
        <v>1264</v>
      </c>
      <c r="L154" s="146" t="s">
        <v>912</v>
      </c>
      <c r="M154" s="146" t="s">
        <v>913</v>
      </c>
      <c r="N154" s="477">
        <v>5</v>
      </c>
      <c r="O154" s="146" t="s">
        <v>914</v>
      </c>
      <c r="P154" s="477">
        <v>6320</v>
      </c>
      <c r="Q154" s="478">
        <v>81.099999999999994</v>
      </c>
      <c r="R154" s="478">
        <v>1194</v>
      </c>
      <c r="S154" s="479">
        <v>0</v>
      </c>
      <c r="T154" s="146">
        <v>1194</v>
      </c>
      <c r="U154" s="479">
        <v>5</v>
      </c>
      <c r="V154" s="146">
        <v>60</v>
      </c>
      <c r="W154" s="146">
        <v>0</v>
      </c>
      <c r="X154" s="146">
        <v>60</v>
      </c>
      <c r="Y154" s="477">
        <v>0.45</v>
      </c>
      <c r="Z154" s="477">
        <v>7.0699999999999999E-2</v>
      </c>
      <c r="AA154" s="477">
        <v>83</v>
      </c>
      <c r="AB154" s="146" t="s">
        <v>915</v>
      </c>
      <c r="AC154" s="146" t="s">
        <v>916</v>
      </c>
      <c r="AD154" s="146" t="s">
        <v>856</v>
      </c>
      <c r="AG154" s="146">
        <v>27</v>
      </c>
      <c r="AH154" s="146">
        <v>4</v>
      </c>
      <c r="AI154" s="146">
        <v>4980</v>
      </c>
      <c r="AJ154" s="146">
        <v>2844</v>
      </c>
      <c r="AK154" s="146">
        <v>537</v>
      </c>
      <c r="AL154" s="146">
        <v>537</v>
      </c>
      <c r="AM154" s="146">
        <v>27</v>
      </c>
      <c r="AQ154" s="146">
        <f t="shared" si="2"/>
        <v>47</v>
      </c>
    </row>
    <row r="155" spans="1:43">
      <c r="A155" s="146" t="s">
        <v>1056</v>
      </c>
      <c r="B155" s="146" t="s">
        <v>908</v>
      </c>
      <c r="C155" s="146" t="s">
        <v>909</v>
      </c>
      <c r="D155" s="146" t="s">
        <v>926</v>
      </c>
      <c r="E155" s="146" t="s">
        <v>842</v>
      </c>
      <c r="J155" s="146" t="s">
        <v>911</v>
      </c>
      <c r="K155" s="477">
        <v>562</v>
      </c>
      <c r="L155" s="146" t="s">
        <v>912</v>
      </c>
      <c r="M155" s="146" t="s">
        <v>913</v>
      </c>
      <c r="N155" s="477">
        <v>10</v>
      </c>
      <c r="O155" s="146" t="s">
        <v>914</v>
      </c>
      <c r="P155" s="477">
        <v>5620</v>
      </c>
      <c r="Q155" s="478">
        <v>32.1</v>
      </c>
      <c r="R155" s="478">
        <v>3816</v>
      </c>
      <c r="S155" s="479">
        <v>0</v>
      </c>
      <c r="T155" s="146">
        <v>3816</v>
      </c>
      <c r="U155" s="479">
        <v>5</v>
      </c>
      <c r="V155" s="146">
        <v>191</v>
      </c>
      <c r="W155" s="146">
        <v>0</v>
      </c>
      <c r="X155" s="146">
        <v>191</v>
      </c>
      <c r="Y155" s="477">
        <v>0.45</v>
      </c>
      <c r="Z155" s="477">
        <v>0.1013</v>
      </c>
      <c r="AA155" s="477">
        <v>119</v>
      </c>
      <c r="AB155" s="146" t="s">
        <v>915</v>
      </c>
      <c r="AC155" s="146" t="s">
        <v>916</v>
      </c>
      <c r="AD155" s="146" t="s">
        <v>856</v>
      </c>
      <c r="AG155" s="146">
        <v>86</v>
      </c>
      <c r="AH155" s="146">
        <v>19</v>
      </c>
      <c r="AI155" s="146">
        <v>22729</v>
      </c>
      <c r="AJ155" s="146">
        <v>2529</v>
      </c>
      <c r="AK155" s="146">
        <v>1717</v>
      </c>
      <c r="AL155" s="146">
        <v>1717</v>
      </c>
      <c r="AM155" s="146">
        <v>86</v>
      </c>
      <c r="AQ155" s="146">
        <f t="shared" si="2"/>
        <v>221</v>
      </c>
    </row>
    <row r="156" spans="1:43">
      <c r="A156" s="146" t="s">
        <v>1056</v>
      </c>
      <c r="B156" s="146" t="s">
        <v>908</v>
      </c>
      <c r="C156" s="146" t="s">
        <v>909</v>
      </c>
      <c r="D156" s="146" t="s">
        <v>927</v>
      </c>
      <c r="E156" s="146" t="s">
        <v>842</v>
      </c>
      <c r="J156" s="146" t="s">
        <v>911</v>
      </c>
      <c r="K156" s="477">
        <v>6904</v>
      </c>
      <c r="L156" s="146" t="s">
        <v>912</v>
      </c>
      <c r="M156" s="146" t="s">
        <v>913</v>
      </c>
      <c r="N156" s="477">
        <v>5</v>
      </c>
      <c r="O156" s="146" t="s">
        <v>914</v>
      </c>
      <c r="P156" s="477">
        <v>34520</v>
      </c>
      <c r="Q156" s="478">
        <v>95.3</v>
      </c>
      <c r="R156" s="478">
        <v>1622</v>
      </c>
      <c r="S156" s="479">
        <v>0</v>
      </c>
      <c r="T156" s="146">
        <v>1622</v>
      </c>
      <c r="U156" s="479">
        <v>5</v>
      </c>
      <c r="V156" s="146">
        <v>81</v>
      </c>
      <c r="W156" s="146">
        <v>0</v>
      </c>
      <c r="X156" s="146">
        <v>81</v>
      </c>
      <c r="Y156" s="477">
        <v>0.45</v>
      </c>
      <c r="Z156" s="477">
        <v>4.9399999999999999E-2</v>
      </c>
      <c r="AA156" s="477">
        <v>58</v>
      </c>
      <c r="AB156" s="146" t="s">
        <v>915</v>
      </c>
      <c r="AC156" s="146" t="s">
        <v>916</v>
      </c>
      <c r="AD156" s="146" t="s">
        <v>856</v>
      </c>
      <c r="AG156" s="146">
        <v>36</v>
      </c>
      <c r="AH156" s="146">
        <v>4</v>
      </c>
      <c r="AI156" s="146">
        <v>4698</v>
      </c>
      <c r="AJ156" s="146">
        <v>15534</v>
      </c>
      <c r="AK156" s="146">
        <v>730</v>
      </c>
      <c r="AL156" s="146">
        <v>730</v>
      </c>
      <c r="AM156" s="146">
        <v>36</v>
      </c>
      <c r="AQ156" s="146">
        <f t="shared" si="2"/>
        <v>47</v>
      </c>
    </row>
    <row r="157" spans="1:43">
      <c r="A157" s="146" t="s">
        <v>1056</v>
      </c>
      <c r="B157" s="146" t="s">
        <v>908</v>
      </c>
      <c r="C157" s="146" t="s">
        <v>909</v>
      </c>
      <c r="D157" s="146" t="s">
        <v>928</v>
      </c>
      <c r="E157" s="146" t="s">
        <v>842</v>
      </c>
      <c r="J157" s="146" t="s">
        <v>911</v>
      </c>
      <c r="K157" s="477">
        <v>7293</v>
      </c>
      <c r="L157" s="146" t="s">
        <v>912</v>
      </c>
      <c r="M157" s="146" t="s">
        <v>913</v>
      </c>
      <c r="N157" s="477">
        <v>0.24199999999999999</v>
      </c>
      <c r="O157" s="146" t="s">
        <v>914</v>
      </c>
      <c r="P157" s="477">
        <v>1765</v>
      </c>
      <c r="Q157" s="478">
        <v>82.6</v>
      </c>
      <c r="R157" s="478">
        <v>307</v>
      </c>
      <c r="S157" s="479">
        <v>0</v>
      </c>
      <c r="T157" s="146">
        <v>307</v>
      </c>
      <c r="U157" s="479">
        <v>5</v>
      </c>
      <c r="V157" s="146">
        <v>15</v>
      </c>
      <c r="W157" s="146">
        <v>0</v>
      </c>
      <c r="X157" s="146">
        <v>15</v>
      </c>
      <c r="Y157" s="477">
        <v>0.28999999999999998</v>
      </c>
      <c r="Z157" s="477">
        <v>4.9399999999999999E-2</v>
      </c>
      <c r="AA157" s="477">
        <v>58</v>
      </c>
      <c r="AB157" s="146" t="s">
        <v>929</v>
      </c>
      <c r="AC157" s="146" t="s">
        <v>916</v>
      </c>
      <c r="AD157" s="146" t="s">
        <v>856</v>
      </c>
      <c r="AG157" s="146">
        <v>4</v>
      </c>
      <c r="AH157" s="146">
        <v>1</v>
      </c>
      <c r="AI157" s="146">
        <v>870</v>
      </c>
      <c r="AJ157" s="146">
        <v>512</v>
      </c>
      <c r="AK157" s="146">
        <v>89</v>
      </c>
      <c r="AL157" s="146">
        <v>89</v>
      </c>
      <c r="AM157" s="146">
        <v>4</v>
      </c>
      <c r="AQ157" s="146">
        <f t="shared" si="2"/>
        <v>12</v>
      </c>
    </row>
    <row r="158" spans="1:43">
      <c r="A158" s="146" t="s">
        <v>1056</v>
      </c>
      <c r="B158" s="146" t="s">
        <v>908</v>
      </c>
      <c r="C158" s="146" t="s">
        <v>909</v>
      </c>
      <c r="D158" s="146" t="s">
        <v>930</v>
      </c>
      <c r="E158" s="146" t="s">
        <v>842</v>
      </c>
      <c r="J158" s="146" t="s">
        <v>911</v>
      </c>
      <c r="K158" s="477">
        <v>4810</v>
      </c>
      <c r="L158" s="146" t="s">
        <v>912</v>
      </c>
      <c r="M158" s="146" t="s">
        <v>913</v>
      </c>
      <c r="N158" s="477">
        <v>3.5999999999999997E-2</v>
      </c>
      <c r="O158" s="146" t="s">
        <v>914</v>
      </c>
      <c r="P158" s="477">
        <v>173</v>
      </c>
      <c r="Q158" s="478">
        <v>82.6</v>
      </c>
      <c r="R158" s="478">
        <v>30</v>
      </c>
      <c r="S158" s="479">
        <v>0</v>
      </c>
      <c r="T158" s="146">
        <v>30</v>
      </c>
      <c r="U158" s="479">
        <v>5</v>
      </c>
      <c r="V158" s="146">
        <v>2</v>
      </c>
      <c r="W158" s="146">
        <v>0</v>
      </c>
      <c r="X158" s="146">
        <v>2</v>
      </c>
      <c r="Y158" s="477">
        <v>0.28999999999999998</v>
      </c>
      <c r="Z158" s="477">
        <v>4.9399999999999999E-2</v>
      </c>
      <c r="AA158" s="477">
        <v>58</v>
      </c>
      <c r="AB158" s="146" t="s">
        <v>929</v>
      </c>
      <c r="AC158" s="146" t="s">
        <v>916</v>
      </c>
      <c r="AD158" s="146" t="s">
        <v>856</v>
      </c>
      <c r="AG158" s="146">
        <v>1</v>
      </c>
      <c r="AH158" s="146">
        <v>0</v>
      </c>
      <c r="AI158" s="146">
        <v>116</v>
      </c>
      <c r="AJ158" s="146">
        <v>50</v>
      </c>
      <c r="AK158" s="146">
        <v>9</v>
      </c>
      <c r="AL158" s="146">
        <v>9</v>
      </c>
      <c r="AM158" s="146">
        <v>1</v>
      </c>
      <c r="AQ158" s="146">
        <f t="shared" si="2"/>
        <v>0</v>
      </c>
    </row>
    <row r="159" spans="1:43">
      <c r="A159" s="146" t="s">
        <v>1056</v>
      </c>
      <c r="B159" s="146" t="s">
        <v>908</v>
      </c>
      <c r="C159" s="146" t="s">
        <v>909</v>
      </c>
      <c r="D159" s="146" t="s">
        <v>931</v>
      </c>
      <c r="E159" s="146" t="s">
        <v>842</v>
      </c>
      <c r="J159" s="146" t="s">
        <v>911</v>
      </c>
      <c r="K159" s="477">
        <v>985</v>
      </c>
      <c r="L159" s="146" t="s">
        <v>912</v>
      </c>
      <c r="M159" s="146" t="s">
        <v>913</v>
      </c>
      <c r="N159" s="477">
        <v>1.7629999999999999</v>
      </c>
      <c r="O159" s="146" t="s">
        <v>914</v>
      </c>
      <c r="P159" s="477">
        <v>1737</v>
      </c>
      <c r="Q159" s="478">
        <v>82.6</v>
      </c>
      <c r="R159" s="478">
        <v>302</v>
      </c>
      <c r="S159" s="479">
        <v>0</v>
      </c>
      <c r="T159" s="146">
        <v>302</v>
      </c>
      <c r="U159" s="479">
        <v>5</v>
      </c>
      <c r="V159" s="146">
        <v>15</v>
      </c>
      <c r="W159" s="146">
        <v>0</v>
      </c>
      <c r="X159" s="146">
        <v>15</v>
      </c>
      <c r="Y159" s="477">
        <v>0.28999999999999998</v>
      </c>
      <c r="Z159" s="477">
        <v>4.9399999999999999E-2</v>
      </c>
      <c r="AA159" s="477">
        <v>58</v>
      </c>
      <c r="AB159" s="146" t="s">
        <v>929</v>
      </c>
      <c r="AC159" s="146" t="s">
        <v>916</v>
      </c>
      <c r="AD159" s="146" t="s">
        <v>856</v>
      </c>
      <c r="AG159" s="146">
        <v>4</v>
      </c>
      <c r="AH159" s="146">
        <v>1</v>
      </c>
      <c r="AI159" s="146">
        <v>870</v>
      </c>
      <c r="AJ159" s="146">
        <v>504</v>
      </c>
      <c r="AK159" s="146">
        <v>88</v>
      </c>
      <c r="AL159" s="146">
        <v>88</v>
      </c>
      <c r="AM159" s="146">
        <v>4</v>
      </c>
      <c r="AQ159" s="146">
        <v>12</v>
      </c>
    </row>
    <row r="160" spans="1:43">
      <c r="A160" s="146" t="s">
        <v>1056</v>
      </c>
      <c r="B160" s="146" t="s">
        <v>908</v>
      </c>
      <c r="C160" s="146" t="s">
        <v>909</v>
      </c>
      <c r="D160" s="146" t="s">
        <v>932</v>
      </c>
      <c r="E160" s="146" t="s">
        <v>842</v>
      </c>
      <c r="J160" s="146" t="s">
        <v>911</v>
      </c>
      <c r="K160" s="477">
        <v>5940</v>
      </c>
      <c r="L160" s="146" t="s">
        <v>912</v>
      </c>
      <c r="M160" s="146" t="s">
        <v>913</v>
      </c>
      <c r="N160" s="477">
        <v>6.67</v>
      </c>
      <c r="O160" s="146" t="s">
        <v>914</v>
      </c>
      <c r="P160" s="477">
        <v>39620</v>
      </c>
      <c r="Q160" s="478">
        <v>82.2</v>
      </c>
      <c r="R160" s="478">
        <v>7052</v>
      </c>
      <c r="S160" s="479">
        <v>0</v>
      </c>
      <c r="T160" s="146">
        <v>7052</v>
      </c>
      <c r="U160" s="479">
        <v>5</v>
      </c>
      <c r="V160" s="146">
        <v>353</v>
      </c>
      <c r="W160" s="146">
        <v>0</v>
      </c>
      <c r="X160" s="146">
        <v>353</v>
      </c>
      <c r="Y160" s="477">
        <v>0.06</v>
      </c>
      <c r="Z160" s="477">
        <v>1.3599999999999999E-2</v>
      </c>
      <c r="AA160" s="477">
        <v>16</v>
      </c>
      <c r="AB160" s="146" t="s">
        <v>915</v>
      </c>
      <c r="AC160" s="146" t="s">
        <v>916</v>
      </c>
      <c r="AD160" s="146" t="s">
        <v>856</v>
      </c>
      <c r="AG160" s="146">
        <v>21</v>
      </c>
      <c r="AH160" s="146">
        <v>5</v>
      </c>
      <c r="AI160" s="146">
        <v>5648</v>
      </c>
      <c r="AJ160" s="146">
        <v>2377</v>
      </c>
      <c r="AK160" s="146">
        <v>423</v>
      </c>
      <c r="AL160" s="146">
        <v>423</v>
      </c>
      <c r="AM160" s="146">
        <v>21</v>
      </c>
      <c r="AQ160" s="146">
        <f t="shared" si="2"/>
        <v>58</v>
      </c>
    </row>
    <row r="161" spans="1:43">
      <c r="A161" s="146" t="s">
        <v>1056</v>
      </c>
      <c r="B161" s="146" t="s">
        <v>908</v>
      </c>
      <c r="C161" s="146" t="s">
        <v>909</v>
      </c>
      <c r="D161" s="146" t="s">
        <v>933</v>
      </c>
      <c r="E161" s="146" t="s">
        <v>842</v>
      </c>
      <c r="J161" s="146" t="s">
        <v>911</v>
      </c>
      <c r="K161" s="477">
        <v>5251</v>
      </c>
      <c r="L161" s="146" t="s">
        <v>912</v>
      </c>
      <c r="M161" s="146" t="s">
        <v>913</v>
      </c>
      <c r="N161" s="477">
        <v>0</v>
      </c>
      <c r="O161" s="146" t="s">
        <v>914</v>
      </c>
      <c r="P161" s="477">
        <v>0</v>
      </c>
      <c r="Q161" s="478">
        <v>82.2</v>
      </c>
      <c r="R161" s="478">
        <v>0</v>
      </c>
      <c r="S161" s="479">
        <v>0</v>
      </c>
      <c r="T161" s="146">
        <v>0</v>
      </c>
      <c r="U161" s="479">
        <v>5</v>
      </c>
      <c r="V161" s="146">
        <v>0</v>
      </c>
      <c r="W161" s="146">
        <v>0</v>
      </c>
      <c r="X161" s="146">
        <v>0</v>
      </c>
      <c r="Y161" s="477">
        <v>0.06</v>
      </c>
      <c r="Z161" s="477">
        <v>1.3599999999999999E-2</v>
      </c>
      <c r="AA161" s="477">
        <v>16</v>
      </c>
      <c r="AB161" s="146" t="s">
        <v>915</v>
      </c>
      <c r="AC161" s="146" t="s">
        <v>916</v>
      </c>
      <c r="AD161" s="146" t="s">
        <v>856</v>
      </c>
      <c r="AG161" s="146">
        <v>0</v>
      </c>
      <c r="AH161" s="146">
        <v>0</v>
      </c>
      <c r="AI161" s="146">
        <v>0</v>
      </c>
      <c r="AJ161" s="146">
        <v>0</v>
      </c>
      <c r="AK161" s="146">
        <v>0</v>
      </c>
      <c r="AL161" s="146">
        <v>0</v>
      </c>
      <c r="AM161" s="146">
        <v>0</v>
      </c>
      <c r="AQ161" s="146">
        <f t="shared" si="2"/>
        <v>0</v>
      </c>
    </row>
    <row r="162" spans="1:43">
      <c r="A162" s="146" t="s">
        <v>1056</v>
      </c>
      <c r="B162" s="146" t="s">
        <v>908</v>
      </c>
      <c r="C162" s="146" t="s">
        <v>909</v>
      </c>
      <c r="D162" s="146" t="s">
        <v>934</v>
      </c>
      <c r="E162" s="146" t="s">
        <v>842</v>
      </c>
      <c r="J162" s="146" t="s">
        <v>911</v>
      </c>
      <c r="K162" s="477">
        <v>3594</v>
      </c>
      <c r="L162" s="146" t="s">
        <v>912</v>
      </c>
      <c r="M162" s="146" t="s">
        <v>913</v>
      </c>
      <c r="N162" s="477">
        <v>2.2250000000000001</v>
      </c>
      <c r="O162" s="146" t="s">
        <v>914</v>
      </c>
      <c r="P162" s="477">
        <v>7997</v>
      </c>
      <c r="Q162" s="478">
        <v>82.2</v>
      </c>
      <c r="R162" s="478">
        <v>1423</v>
      </c>
      <c r="S162" s="479">
        <v>0</v>
      </c>
      <c r="T162" s="146">
        <v>1423</v>
      </c>
      <c r="U162" s="479">
        <v>5</v>
      </c>
      <c r="V162" s="146">
        <v>71</v>
      </c>
      <c r="W162" s="146">
        <v>0</v>
      </c>
      <c r="X162" s="146">
        <v>71</v>
      </c>
      <c r="Y162" s="477">
        <v>0.06</v>
      </c>
      <c r="Z162" s="477">
        <v>1.3599999999999999E-2</v>
      </c>
      <c r="AA162" s="477">
        <v>16</v>
      </c>
      <c r="AB162" s="146" t="s">
        <v>915</v>
      </c>
      <c r="AC162" s="146" t="s">
        <v>916</v>
      </c>
      <c r="AD162" s="146" t="s">
        <v>856</v>
      </c>
      <c r="AG162" s="146">
        <v>4</v>
      </c>
      <c r="AH162" s="146">
        <v>1</v>
      </c>
      <c r="AI162" s="146">
        <v>1136</v>
      </c>
      <c r="AJ162" s="146">
        <v>480</v>
      </c>
      <c r="AK162" s="146">
        <v>85</v>
      </c>
      <c r="AL162" s="146">
        <v>85</v>
      </c>
      <c r="AM162" s="146">
        <v>4</v>
      </c>
      <c r="AQ162" s="146">
        <f t="shared" si="2"/>
        <v>12</v>
      </c>
    </row>
    <row r="163" spans="1:43">
      <c r="A163" s="146" t="s">
        <v>1056</v>
      </c>
      <c r="B163" s="146" t="s">
        <v>908</v>
      </c>
      <c r="C163" s="146" t="s">
        <v>909</v>
      </c>
      <c r="D163" s="146" t="s">
        <v>935</v>
      </c>
      <c r="E163" s="146" t="s">
        <v>842</v>
      </c>
      <c r="J163" s="146" t="s">
        <v>911</v>
      </c>
      <c r="K163" s="477">
        <v>4148</v>
      </c>
      <c r="L163" s="146" t="s">
        <v>912</v>
      </c>
      <c r="M163" s="146" t="s">
        <v>913</v>
      </c>
      <c r="N163" s="477">
        <v>12.85</v>
      </c>
      <c r="O163" s="146" t="s">
        <v>914</v>
      </c>
      <c r="P163" s="477">
        <v>53302</v>
      </c>
      <c r="Q163" s="478">
        <v>82.2</v>
      </c>
      <c r="R163" s="478">
        <v>9488</v>
      </c>
      <c r="S163" s="479">
        <v>0</v>
      </c>
      <c r="T163" s="146">
        <v>9488</v>
      </c>
      <c r="U163" s="479">
        <v>5</v>
      </c>
      <c r="V163" s="146">
        <v>474</v>
      </c>
      <c r="W163" s="146">
        <v>0</v>
      </c>
      <c r="X163" s="146">
        <v>474</v>
      </c>
      <c r="Y163" s="477">
        <v>0.06</v>
      </c>
      <c r="Z163" s="477">
        <v>1.3599999999999999E-2</v>
      </c>
      <c r="AA163" s="477">
        <v>16</v>
      </c>
      <c r="AB163" s="146" t="s">
        <v>915</v>
      </c>
      <c r="AC163" s="146" t="s">
        <v>916</v>
      </c>
      <c r="AD163" s="146" t="s">
        <v>856</v>
      </c>
      <c r="AG163" s="146">
        <v>28</v>
      </c>
      <c r="AH163" s="146">
        <v>6</v>
      </c>
      <c r="AI163" s="146">
        <v>7584</v>
      </c>
      <c r="AJ163" s="146">
        <v>3198</v>
      </c>
      <c r="AK163" s="146">
        <v>569</v>
      </c>
      <c r="AL163" s="146">
        <v>569</v>
      </c>
      <c r="AM163" s="146">
        <v>28</v>
      </c>
      <c r="AQ163" s="146">
        <f t="shared" si="2"/>
        <v>70</v>
      </c>
    </row>
    <row r="164" spans="1:43">
      <c r="A164" s="146" t="s">
        <v>1056</v>
      </c>
      <c r="B164" s="146" t="s">
        <v>908</v>
      </c>
      <c r="C164" s="146" t="s">
        <v>909</v>
      </c>
      <c r="D164" s="146" t="s">
        <v>936</v>
      </c>
      <c r="E164" s="146" t="s">
        <v>842</v>
      </c>
      <c r="J164" s="146" t="s">
        <v>911</v>
      </c>
      <c r="K164" s="477">
        <v>7293</v>
      </c>
      <c r="L164" s="146" t="s">
        <v>912</v>
      </c>
      <c r="M164" s="146" t="s">
        <v>913</v>
      </c>
      <c r="N164" s="477">
        <v>0.49</v>
      </c>
      <c r="O164" s="146" t="s">
        <v>914</v>
      </c>
      <c r="P164" s="477">
        <v>3574</v>
      </c>
      <c r="Q164" s="478">
        <v>0</v>
      </c>
      <c r="R164" s="478">
        <v>3574</v>
      </c>
      <c r="S164" s="479">
        <v>0</v>
      </c>
      <c r="T164" s="146">
        <v>3574</v>
      </c>
      <c r="U164" s="479">
        <v>5</v>
      </c>
      <c r="V164" s="146">
        <v>179</v>
      </c>
      <c r="W164" s="146">
        <v>0</v>
      </c>
      <c r="X164" s="146">
        <v>179</v>
      </c>
      <c r="Y164" s="477">
        <v>0.05</v>
      </c>
      <c r="Z164" s="477">
        <v>1.0200000000000001E-2</v>
      </c>
      <c r="AA164" s="477">
        <v>12</v>
      </c>
      <c r="AB164" s="146" t="s">
        <v>929</v>
      </c>
      <c r="AC164" s="146" t="s">
        <v>918</v>
      </c>
      <c r="AD164" s="146" t="s">
        <v>856</v>
      </c>
      <c r="AG164" s="146">
        <v>9</v>
      </c>
      <c r="AH164" s="146">
        <v>2</v>
      </c>
      <c r="AI164" s="146">
        <v>2148</v>
      </c>
      <c r="AJ164" s="146">
        <v>179</v>
      </c>
      <c r="AK164" s="146">
        <v>179</v>
      </c>
      <c r="AL164" s="146">
        <v>179</v>
      </c>
      <c r="AM164" s="146">
        <v>9</v>
      </c>
      <c r="AQ164" s="146">
        <f t="shared" si="2"/>
        <v>23</v>
      </c>
    </row>
    <row r="165" spans="1:43">
      <c r="A165" s="146" t="s">
        <v>1056</v>
      </c>
      <c r="B165" s="146" t="s">
        <v>908</v>
      </c>
      <c r="C165" s="146" t="s">
        <v>909</v>
      </c>
      <c r="D165" s="146" t="s">
        <v>937</v>
      </c>
      <c r="E165" s="146" t="s">
        <v>842</v>
      </c>
      <c r="J165" s="146" t="s">
        <v>911</v>
      </c>
      <c r="K165" s="477">
        <v>4810</v>
      </c>
      <c r="L165" s="146" t="s">
        <v>912</v>
      </c>
      <c r="M165" s="146" t="s">
        <v>913</v>
      </c>
      <c r="N165" s="477">
        <v>9.1999999999999998E-2</v>
      </c>
      <c r="O165" s="146" t="s">
        <v>914</v>
      </c>
      <c r="P165" s="477">
        <v>443</v>
      </c>
      <c r="Q165" s="478">
        <v>0</v>
      </c>
      <c r="R165" s="478">
        <v>443</v>
      </c>
      <c r="S165" s="479">
        <v>0</v>
      </c>
      <c r="T165" s="146">
        <v>443</v>
      </c>
      <c r="U165" s="479">
        <v>5</v>
      </c>
      <c r="V165" s="146">
        <v>22</v>
      </c>
      <c r="W165" s="146">
        <v>0</v>
      </c>
      <c r="X165" s="146">
        <v>22</v>
      </c>
      <c r="Y165" s="477">
        <v>0.05</v>
      </c>
      <c r="Z165" s="477">
        <v>1.0200000000000001E-2</v>
      </c>
      <c r="AA165" s="477">
        <v>12</v>
      </c>
      <c r="AB165" s="146" t="s">
        <v>929</v>
      </c>
      <c r="AC165" s="146" t="s">
        <v>918</v>
      </c>
      <c r="AD165" s="146" t="s">
        <v>856</v>
      </c>
      <c r="AG165" s="146">
        <v>1</v>
      </c>
      <c r="AH165" s="146">
        <v>0</v>
      </c>
      <c r="AI165" s="146">
        <v>264</v>
      </c>
      <c r="AJ165" s="146">
        <v>22</v>
      </c>
      <c r="AK165" s="146">
        <v>22</v>
      </c>
      <c r="AL165" s="146">
        <v>22</v>
      </c>
      <c r="AM165" s="146">
        <v>1</v>
      </c>
      <c r="AQ165" s="146">
        <f t="shared" si="2"/>
        <v>0</v>
      </c>
    </row>
    <row r="166" spans="1:43">
      <c r="A166" s="146" t="s">
        <v>1056</v>
      </c>
      <c r="B166" s="146" t="s">
        <v>908</v>
      </c>
      <c r="C166" s="146" t="s">
        <v>909</v>
      </c>
      <c r="D166" s="146" t="s">
        <v>938</v>
      </c>
      <c r="E166" s="146" t="s">
        <v>842</v>
      </c>
      <c r="J166" s="146" t="s">
        <v>911</v>
      </c>
      <c r="K166" s="477">
        <v>985</v>
      </c>
      <c r="L166" s="146" t="s">
        <v>912</v>
      </c>
      <c r="M166" s="146" t="s">
        <v>913</v>
      </c>
      <c r="N166" s="477">
        <v>6.3339999999999996</v>
      </c>
      <c r="O166" s="146" t="s">
        <v>914</v>
      </c>
      <c r="P166" s="477">
        <v>6239</v>
      </c>
      <c r="Q166" s="478">
        <v>0</v>
      </c>
      <c r="R166" s="478">
        <v>6239</v>
      </c>
      <c r="S166" s="479">
        <v>0</v>
      </c>
      <c r="T166" s="146">
        <v>6239</v>
      </c>
      <c r="U166" s="479">
        <v>5</v>
      </c>
      <c r="V166" s="146">
        <v>312</v>
      </c>
      <c r="W166" s="146">
        <v>0</v>
      </c>
      <c r="X166" s="146">
        <v>312</v>
      </c>
      <c r="Y166" s="477">
        <v>0.05</v>
      </c>
      <c r="Z166" s="477">
        <v>1.0200000000000001E-2</v>
      </c>
      <c r="AA166" s="477">
        <v>12</v>
      </c>
      <c r="AB166" s="146" t="s">
        <v>929</v>
      </c>
      <c r="AC166" s="146" t="s">
        <v>918</v>
      </c>
      <c r="AD166" s="146" t="s">
        <v>856</v>
      </c>
      <c r="AG166" s="146">
        <v>16</v>
      </c>
      <c r="AH166" s="146">
        <v>3</v>
      </c>
      <c r="AI166" s="146">
        <v>3744</v>
      </c>
      <c r="AJ166" s="146">
        <v>312</v>
      </c>
      <c r="AK166" s="146">
        <v>312</v>
      </c>
      <c r="AL166" s="146">
        <v>312</v>
      </c>
      <c r="AM166" s="146">
        <v>16</v>
      </c>
      <c r="AQ166" s="146">
        <f t="shared" si="2"/>
        <v>35</v>
      </c>
    </row>
    <row r="167" spans="1:43">
      <c r="A167" s="146" t="s">
        <v>1056</v>
      </c>
      <c r="B167" s="146" t="s">
        <v>908</v>
      </c>
      <c r="C167" s="146" t="s">
        <v>909</v>
      </c>
      <c r="D167" s="146" t="s">
        <v>939</v>
      </c>
      <c r="E167" s="146" t="s">
        <v>842</v>
      </c>
      <c r="J167" s="146" t="s">
        <v>911</v>
      </c>
      <c r="K167" s="477">
        <v>43926</v>
      </c>
      <c r="L167" s="146" t="s">
        <v>912</v>
      </c>
      <c r="M167" s="146" t="s">
        <v>913</v>
      </c>
      <c r="N167" s="477">
        <v>2.75E-2</v>
      </c>
      <c r="O167" s="146" t="s">
        <v>914</v>
      </c>
      <c r="P167" s="477">
        <v>1208</v>
      </c>
      <c r="Q167" s="478">
        <v>0</v>
      </c>
      <c r="R167" s="478">
        <v>1208</v>
      </c>
      <c r="S167" s="479">
        <v>0</v>
      </c>
      <c r="T167" s="146">
        <v>1208</v>
      </c>
      <c r="U167" s="479">
        <v>5</v>
      </c>
      <c r="V167" s="146">
        <v>60</v>
      </c>
      <c r="W167" s="146">
        <v>0</v>
      </c>
      <c r="X167" s="146">
        <v>60</v>
      </c>
      <c r="Y167" s="477">
        <v>0.15</v>
      </c>
      <c r="Z167" s="477">
        <v>3.0599999999999999E-2</v>
      </c>
      <c r="AA167" s="477">
        <v>36</v>
      </c>
      <c r="AB167" s="146" t="s">
        <v>915</v>
      </c>
      <c r="AC167" s="146" t="s">
        <v>918</v>
      </c>
      <c r="AD167" s="146" t="s">
        <v>856</v>
      </c>
      <c r="AG167" s="146">
        <v>9</v>
      </c>
      <c r="AH167" s="146">
        <v>2</v>
      </c>
      <c r="AI167" s="146">
        <v>2160</v>
      </c>
      <c r="AJ167" s="146">
        <v>181</v>
      </c>
      <c r="AK167" s="146">
        <v>181</v>
      </c>
      <c r="AL167" s="146">
        <v>181</v>
      </c>
      <c r="AM167" s="146">
        <v>9</v>
      </c>
      <c r="AQ167" s="146">
        <f t="shared" si="2"/>
        <v>23</v>
      </c>
    </row>
    <row r="168" spans="1:43">
      <c r="A168" s="146" t="s">
        <v>1056</v>
      </c>
      <c r="B168" s="146" t="s">
        <v>940</v>
      </c>
      <c r="C168" s="146" t="s">
        <v>941</v>
      </c>
      <c r="D168" s="146" t="s">
        <v>942</v>
      </c>
      <c r="E168" s="146" t="s">
        <v>862</v>
      </c>
      <c r="F168" s="146" t="s">
        <v>872</v>
      </c>
      <c r="G168" s="146">
        <v>2514</v>
      </c>
      <c r="H168" s="477">
        <v>0.23</v>
      </c>
      <c r="I168" s="146" t="s">
        <v>894</v>
      </c>
      <c r="P168" s="477">
        <v>578</v>
      </c>
      <c r="Q168" s="478">
        <v>100</v>
      </c>
      <c r="R168" s="478">
        <v>0</v>
      </c>
      <c r="S168" s="479">
        <v>93.300000000000011</v>
      </c>
      <c r="T168" s="146">
        <v>0</v>
      </c>
      <c r="U168" s="479">
        <v>0.5</v>
      </c>
      <c r="V168" s="146">
        <v>0</v>
      </c>
      <c r="W168" s="146">
        <v>0</v>
      </c>
      <c r="X168" s="146">
        <v>0</v>
      </c>
      <c r="Y168" s="477">
        <v>0.88</v>
      </c>
      <c r="Z168" s="146">
        <v>0.37840000000000001</v>
      </c>
      <c r="AA168" s="477">
        <v>185</v>
      </c>
      <c r="AB168" s="146" t="s">
        <v>943</v>
      </c>
      <c r="AC168" s="146" t="s">
        <v>856</v>
      </c>
      <c r="AG168" s="146">
        <v>0</v>
      </c>
      <c r="AH168" s="146">
        <v>0</v>
      </c>
      <c r="AI168" s="146">
        <v>0</v>
      </c>
      <c r="AJ168" s="146">
        <v>509</v>
      </c>
      <c r="AK168" s="146">
        <v>0</v>
      </c>
      <c r="AL168" s="146">
        <v>0</v>
      </c>
      <c r="AM168" s="146">
        <v>0</v>
      </c>
      <c r="AQ168" s="146">
        <f t="shared" si="2"/>
        <v>0</v>
      </c>
    </row>
    <row r="169" spans="1:43">
      <c r="A169" s="146" t="s">
        <v>1056</v>
      </c>
      <c r="B169" s="146" t="s">
        <v>940</v>
      </c>
      <c r="C169" s="146" t="s">
        <v>941</v>
      </c>
      <c r="D169" s="146" t="s">
        <v>944</v>
      </c>
      <c r="E169" s="146" t="s">
        <v>862</v>
      </c>
      <c r="F169" s="146" t="s">
        <v>874</v>
      </c>
      <c r="G169" s="146">
        <v>544</v>
      </c>
      <c r="H169" s="477">
        <v>0.23</v>
      </c>
      <c r="I169" s="146" t="s">
        <v>894</v>
      </c>
      <c r="P169" s="477">
        <v>125</v>
      </c>
      <c r="Q169" s="478">
        <v>100</v>
      </c>
      <c r="R169" s="478">
        <v>0</v>
      </c>
      <c r="S169" s="479">
        <v>93.300000000000011</v>
      </c>
      <c r="T169" s="146">
        <v>0</v>
      </c>
      <c r="U169" s="479">
        <v>0.5</v>
      </c>
      <c r="V169" s="146">
        <v>0</v>
      </c>
      <c r="W169" s="146">
        <v>0</v>
      </c>
      <c r="X169" s="146">
        <v>0</v>
      </c>
      <c r="Y169" s="477">
        <v>0.88</v>
      </c>
      <c r="Z169" s="146">
        <v>0.37840000000000001</v>
      </c>
      <c r="AA169" s="477">
        <v>185</v>
      </c>
      <c r="AB169" s="146" t="s">
        <v>943</v>
      </c>
      <c r="AC169" s="146" t="s">
        <v>856</v>
      </c>
      <c r="AG169" s="146">
        <v>0</v>
      </c>
      <c r="AH169" s="146">
        <v>0</v>
      </c>
      <c r="AI169" s="146">
        <v>0</v>
      </c>
      <c r="AJ169" s="146">
        <v>110</v>
      </c>
      <c r="AK169" s="146">
        <v>0</v>
      </c>
      <c r="AL169" s="146">
        <v>0</v>
      </c>
      <c r="AM169" s="146">
        <v>0</v>
      </c>
      <c r="AQ169" s="146">
        <f t="shared" si="2"/>
        <v>0</v>
      </c>
    </row>
    <row r="170" spans="1:43">
      <c r="A170" s="146" t="s">
        <v>1056</v>
      </c>
      <c r="B170" s="146" t="s">
        <v>940</v>
      </c>
      <c r="C170" s="146" t="s">
        <v>941</v>
      </c>
      <c r="D170" s="146" t="s">
        <v>945</v>
      </c>
      <c r="E170" s="146" t="s">
        <v>862</v>
      </c>
      <c r="F170" s="146" t="s">
        <v>875</v>
      </c>
      <c r="G170" s="146">
        <v>38672</v>
      </c>
      <c r="H170" s="477">
        <v>0.23</v>
      </c>
      <c r="I170" s="146" t="s">
        <v>894</v>
      </c>
      <c r="P170" s="477">
        <v>8895</v>
      </c>
      <c r="Q170" s="478">
        <v>100</v>
      </c>
      <c r="R170" s="478">
        <v>0</v>
      </c>
      <c r="S170" s="479">
        <v>93.300000000000011</v>
      </c>
      <c r="T170" s="146">
        <v>0</v>
      </c>
      <c r="U170" s="479">
        <v>0.5</v>
      </c>
      <c r="V170" s="146">
        <v>0</v>
      </c>
      <c r="W170" s="146">
        <v>0</v>
      </c>
      <c r="X170" s="146">
        <v>0</v>
      </c>
      <c r="Y170" s="477">
        <v>0.88</v>
      </c>
      <c r="Z170" s="146">
        <v>0.37840000000000001</v>
      </c>
      <c r="AA170" s="477">
        <v>185</v>
      </c>
      <c r="AB170" s="146" t="s">
        <v>943</v>
      </c>
      <c r="AC170" s="146" t="s">
        <v>856</v>
      </c>
      <c r="AG170" s="146">
        <v>0</v>
      </c>
      <c r="AH170" s="146">
        <v>0</v>
      </c>
      <c r="AI170" s="146">
        <v>0</v>
      </c>
      <c r="AJ170" s="146">
        <v>7828</v>
      </c>
      <c r="AK170" s="146">
        <v>0</v>
      </c>
      <c r="AL170" s="146">
        <v>0</v>
      </c>
      <c r="AM170" s="146">
        <v>0</v>
      </c>
      <c r="AQ170" s="146">
        <v>0</v>
      </c>
    </row>
    <row r="171" spans="1:43">
      <c r="A171" s="146" t="s">
        <v>1056</v>
      </c>
      <c r="B171" s="146" t="s">
        <v>940</v>
      </c>
      <c r="C171" s="146" t="s">
        <v>946</v>
      </c>
      <c r="D171" s="146" t="s">
        <v>947</v>
      </c>
      <c r="E171" s="146" t="s">
        <v>862</v>
      </c>
      <c r="F171" s="146" t="s">
        <v>883</v>
      </c>
      <c r="G171" s="146">
        <v>5350</v>
      </c>
      <c r="H171" s="477">
        <v>0.55000000000000004</v>
      </c>
      <c r="I171" s="146" t="s">
        <v>894</v>
      </c>
      <c r="P171" s="477">
        <v>2943</v>
      </c>
      <c r="Q171" s="478">
        <v>100</v>
      </c>
      <c r="R171" s="478">
        <v>0</v>
      </c>
      <c r="S171" s="479">
        <v>96.649999999999991</v>
      </c>
      <c r="T171" s="146">
        <v>0</v>
      </c>
      <c r="U171" s="479">
        <v>0.5</v>
      </c>
      <c r="V171" s="146">
        <v>0</v>
      </c>
      <c r="W171" s="146">
        <v>0</v>
      </c>
      <c r="X171" s="146">
        <v>0</v>
      </c>
      <c r="Y171" s="477">
        <v>0.88</v>
      </c>
      <c r="Z171" s="146">
        <v>0.37840000000000001</v>
      </c>
      <c r="AA171" s="477">
        <v>185</v>
      </c>
      <c r="AB171" s="146" t="s">
        <v>943</v>
      </c>
      <c r="AC171" s="146" t="s">
        <v>856</v>
      </c>
      <c r="AG171" s="146">
        <v>0</v>
      </c>
      <c r="AH171" s="146">
        <v>0</v>
      </c>
      <c r="AI171" s="146">
        <v>0</v>
      </c>
      <c r="AJ171" s="146">
        <v>2590</v>
      </c>
      <c r="AK171" s="146">
        <v>0</v>
      </c>
      <c r="AL171" s="146">
        <v>0</v>
      </c>
      <c r="AM171" s="146">
        <v>0</v>
      </c>
      <c r="AQ171" s="146">
        <f t="shared" si="2"/>
        <v>0</v>
      </c>
    </row>
    <row r="172" spans="1:43">
      <c r="A172" s="146" t="s">
        <v>1056</v>
      </c>
      <c r="B172" s="146" t="s">
        <v>940</v>
      </c>
      <c r="C172" s="146" t="s">
        <v>941</v>
      </c>
      <c r="D172" s="146" t="s">
        <v>948</v>
      </c>
      <c r="E172" s="146" t="s">
        <v>862</v>
      </c>
      <c r="F172" s="146" t="s">
        <v>876</v>
      </c>
      <c r="G172" s="146">
        <v>12078</v>
      </c>
      <c r="H172" s="477">
        <v>0.23</v>
      </c>
      <c r="I172" s="146" t="s">
        <v>894</v>
      </c>
      <c r="P172" s="477">
        <v>2778</v>
      </c>
      <c r="Q172" s="478">
        <v>100</v>
      </c>
      <c r="R172" s="478">
        <v>0</v>
      </c>
      <c r="S172" s="479">
        <v>93.300000000000011</v>
      </c>
      <c r="T172" s="146">
        <v>0</v>
      </c>
      <c r="U172" s="479">
        <v>0.5</v>
      </c>
      <c r="V172" s="146">
        <v>0</v>
      </c>
      <c r="W172" s="146">
        <v>0</v>
      </c>
      <c r="X172" s="146">
        <v>0</v>
      </c>
      <c r="Y172" s="477">
        <v>0.88</v>
      </c>
      <c r="Z172" s="146">
        <v>0.37840000000000001</v>
      </c>
      <c r="AA172" s="477">
        <v>185</v>
      </c>
      <c r="AB172" s="146" t="s">
        <v>943</v>
      </c>
      <c r="AC172" s="146" t="s">
        <v>856</v>
      </c>
      <c r="AG172" s="146">
        <v>0</v>
      </c>
      <c r="AH172" s="146">
        <v>0</v>
      </c>
      <c r="AI172" s="146">
        <v>0</v>
      </c>
      <c r="AJ172" s="146">
        <v>2445</v>
      </c>
      <c r="AK172" s="146">
        <v>0</v>
      </c>
      <c r="AL172" s="146">
        <v>0</v>
      </c>
      <c r="AM172" s="146">
        <v>0</v>
      </c>
      <c r="AQ172" s="146">
        <f t="shared" si="2"/>
        <v>0</v>
      </c>
    </row>
    <row r="173" spans="1:43">
      <c r="A173" s="146" t="s">
        <v>1056</v>
      </c>
      <c r="B173" s="146" t="s">
        <v>940</v>
      </c>
      <c r="C173" s="146" t="s">
        <v>941</v>
      </c>
      <c r="D173" s="146" t="s">
        <v>949</v>
      </c>
      <c r="E173" s="146" t="s">
        <v>862</v>
      </c>
      <c r="F173" s="146" t="s">
        <v>877</v>
      </c>
      <c r="G173" s="146">
        <v>110</v>
      </c>
      <c r="H173" s="477">
        <v>0.23</v>
      </c>
      <c r="I173" s="146" t="s">
        <v>894</v>
      </c>
      <c r="P173" s="477">
        <v>25</v>
      </c>
      <c r="Q173" s="478">
        <v>100</v>
      </c>
      <c r="R173" s="478">
        <v>0</v>
      </c>
      <c r="S173" s="479">
        <v>93.300000000000011</v>
      </c>
      <c r="T173" s="146">
        <v>0</v>
      </c>
      <c r="U173" s="479">
        <v>0.5</v>
      </c>
      <c r="V173" s="146">
        <v>0</v>
      </c>
      <c r="W173" s="146">
        <v>0</v>
      </c>
      <c r="X173" s="146">
        <v>0</v>
      </c>
      <c r="Y173" s="477">
        <v>0.88</v>
      </c>
      <c r="Z173" s="146">
        <v>0.37840000000000001</v>
      </c>
      <c r="AA173" s="477">
        <v>185</v>
      </c>
      <c r="AB173" s="146" t="s">
        <v>943</v>
      </c>
      <c r="AC173" s="146" t="s">
        <v>856</v>
      </c>
      <c r="AG173" s="146">
        <v>0</v>
      </c>
      <c r="AH173" s="146">
        <v>0</v>
      </c>
      <c r="AI173" s="146">
        <v>0</v>
      </c>
      <c r="AJ173" s="146">
        <v>22</v>
      </c>
      <c r="AK173" s="146">
        <v>0</v>
      </c>
      <c r="AL173" s="146">
        <v>0</v>
      </c>
      <c r="AM173" s="146">
        <v>0</v>
      </c>
      <c r="AQ173" s="146">
        <f t="shared" si="2"/>
        <v>0</v>
      </c>
    </row>
    <row r="174" spans="1:43">
      <c r="A174" s="146" t="s">
        <v>1056</v>
      </c>
      <c r="B174" s="146" t="s">
        <v>940</v>
      </c>
      <c r="C174" s="146" t="s">
        <v>950</v>
      </c>
      <c r="D174" s="146" t="s">
        <v>951</v>
      </c>
      <c r="E174" s="146" t="s">
        <v>862</v>
      </c>
      <c r="F174" s="146" t="s">
        <v>868</v>
      </c>
      <c r="G174" s="146">
        <v>990</v>
      </c>
      <c r="H174" s="477"/>
      <c r="P174" s="477">
        <v>0</v>
      </c>
      <c r="Q174" s="478">
        <v>0</v>
      </c>
      <c r="R174" s="478">
        <v>0</v>
      </c>
      <c r="S174" s="479">
        <v>69.180000000000007</v>
      </c>
      <c r="T174" s="146">
        <v>0</v>
      </c>
      <c r="U174" s="479">
        <v>0.5</v>
      </c>
      <c r="V174" s="146">
        <v>0</v>
      </c>
      <c r="W174" s="146">
        <v>0</v>
      </c>
      <c r="X174" s="146">
        <v>0</v>
      </c>
      <c r="Y174" s="477">
        <v>0.88</v>
      </c>
      <c r="Z174" s="146">
        <v>0.37840000000000001</v>
      </c>
      <c r="AA174" s="477"/>
      <c r="AF174" s="330"/>
      <c r="AG174" s="146">
        <v>0</v>
      </c>
      <c r="AH174" s="146">
        <v>0</v>
      </c>
      <c r="AI174" s="146">
        <v>0</v>
      </c>
      <c r="AJ174" s="146">
        <v>0</v>
      </c>
      <c r="AK174" s="146">
        <v>0</v>
      </c>
      <c r="AL174" s="146">
        <v>0</v>
      </c>
      <c r="AM174" s="146">
        <v>0</v>
      </c>
      <c r="AQ174" s="146">
        <f t="shared" si="2"/>
        <v>0</v>
      </c>
    </row>
    <row r="175" spans="1:43">
      <c r="A175" s="146" t="s">
        <v>1056</v>
      </c>
      <c r="B175" s="146" t="s">
        <v>940</v>
      </c>
      <c r="C175" s="146" t="s">
        <v>950</v>
      </c>
      <c r="D175" s="146" t="s">
        <v>952</v>
      </c>
      <c r="E175" s="146" t="s">
        <v>862</v>
      </c>
      <c r="F175" s="146" t="s">
        <v>870</v>
      </c>
      <c r="G175" s="146">
        <v>90</v>
      </c>
      <c r="H175" s="477"/>
      <c r="P175" s="477">
        <v>0</v>
      </c>
      <c r="Q175" s="478">
        <v>0</v>
      </c>
      <c r="R175" s="478">
        <v>0</v>
      </c>
      <c r="S175" s="479">
        <v>69.180000000000007</v>
      </c>
      <c r="T175" s="146">
        <v>0</v>
      </c>
      <c r="U175" s="479">
        <v>0.5</v>
      </c>
      <c r="V175" s="146">
        <v>0</v>
      </c>
      <c r="W175" s="146">
        <v>0</v>
      </c>
      <c r="X175" s="146">
        <v>0</v>
      </c>
      <c r="Y175" s="477">
        <v>0.88</v>
      </c>
      <c r="Z175" s="146">
        <v>0.37840000000000001</v>
      </c>
      <c r="AA175" s="477"/>
      <c r="AF175" s="330"/>
      <c r="AG175" s="146">
        <v>0</v>
      </c>
      <c r="AH175" s="146">
        <v>0</v>
      </c>
      <c r="AI175" s="146">
        <v>0</v>
      </c>
      <c r="AJ175" s="146">
        <v>0</v>
      </c>
      <c r="AK175" s="146">
        <v>0</v>
      </c>
      <c r="AL175" s="146">
        <v>0</v>
      </c>
      <c r="AM175" s="146">
        <v>0</v>
      </c>
      <c r="AQ175" s="146">
        <f t="shared" si="2"/>
        <v>0</v>
      </c>
    </row>
    <row r="176" spans="1:43">
      <c r="A176" s="146" t="s">
        <v>1056</v>
      </c>
      <c r="B176" s="146" t="s">
        <v>940</v>
      </c>
      <c r="C176" s="146" t="s">
        <v>953</v>
      </c>
      <c r="D176" s="146" t="s">
        <v>954</v>
      </c>
      <c r="E176" s="146" t="s">
        <v>862</v>
      </c>
      <c r="F176" s="146" t="s">
        <v>872</v>
      </c>
      <c r="G176" s="146">
        <v>2514</v>
      </c>
      <c r="H176" s="477">
        <v>0.56000000000000005</v>
      </c>
      <c r="I176" s="146" t="s">
        <v>894</v>
      </c>
      <c r="P176" s="477">
        <v>1408</v>
      </c>
      <c r="Q176" s="478">
        <v>50</v>
      </c>
      <c r="R176" s="478">
        <v>704</v>
      </c>
      <c r="S176" s="479">
        <v>69.180000000000007</v>
      </c>
      <c r="T176" s="146">
        <v>217</v>
      </c>
      <c r="U176" s="479">
        <v>0.5</v>
      </c>
      <c r="V176" s="146">
        <v>1</v>
      </c>
      <c r="W176" s="146">
        <v>0</v>
      </c>
      <c r="X176" s="146">
        <v>1</v>
      </c>
      <c r="Y176" s="477">
        <v>0.88</v>
      </c>
      <c r="Z176" s="146">
        <v>0.37840000000000001</v>
      </c>
      <c r="AA176" s="477">
        <v>194</v>
      </c>
      <c r="AB176" s="146" t="s">
        <v>955</v>
      </c>
      <c r="AC176" s="146" t="s">
        <v>856</v>
      </c>
      <c r="AG176" s="146">
        <v>1</v>
      </c>
      <c r="AH176" s="146">
        <v>0</v>
      </c>
      <c r="AI176" s="146">
        <v>194</v>
      </c>
      <c r="AJ176" s="146">
        <v>1239</v>
      </c>
      <c r="AK176" s="146">
        <v>620</v>
      </c>
      <c r="AL176" s="146">
        <v>191</v>
      </c>
      <c r="AM176" s="146">
        <v>1</v>
      </c>
      <c r="AQ176" s="146">
        <f t="shared" si="2"/>
        <v>0</v>
      </c>
    </row>
    <row r="177" spans="1:43">
      <c r="A177" s="146" t="s">
        <v>1056</v>
      </c>
      <c r="B177" s="146" t="s">
        <v>940</v>
      </c>
      <c r="C177" s="146" t="s">
        <v>953</v>
      </c>
      <c r="D177" s="146" t="s">
        <v>956</v>
      </c>
      <c r="E177" s="146" t="s">
        <v>862</v>
      </c>
      <c r="F177" s="146" t="s">
        <v>874</v>
      </c>
      <c r="G177" s="146">
        <v>544</v>
      </c>
      <c r="H177" s="477">
        <v>0.56000000000000005</v>
      </c>
      <c r="I177" s="146" t="s">
        <v>894</v>
      </c>
      <c r="P177" s="477">
        <v>305</v>
      </c>
      <c r="Q177" s="478">
        <v>50</v>
      </c>
      <c r="R177" s="478">
        <v>152</v>
      </c>
      <c r="S177" s="479">
        <v>69.180000000000007</v>
      </c>
      <c r="T177" s="146">
        <v>47</v>
      </c>
      <c r="U177" s="479">
        <v>0.5</v>
      </c>
      <c r="V177" s="146">
        <v>0</v>
      </c>
      <c r="W177" s="146">
        <v>0</v>
      </c>
      <c r="X177" s="146">
        <v>0</v>
      </c>
      <c r="Y177" s="477">
        <v>0.88</v>
      </c>
      <c r="Z177" s="146">
        <v>0.37840000000000001</v>
      </c>
      <c r="AA177" s="477">
        <v>194</v>
      </c>
      <c r="AB177" s="146" t="s">
        <v>943</v>
      </c>
      <c r="AC177" s="146" t="s">
        <v>856</v>
      </c>
      <c r="AG177" s="146">
        <v>0</v>
      </c>
      <c r="AH177" s="146">
        <v>0</v>
      </c>
      <c r="AI177" s="146">
        <v>0</v>
      </c>
      <c r="AJ177" s="146">
        <v>268</v>
      </c>
      <c r="AK177" s="146">
        <v>134</v>
      </c>
      <c r="AL177" s="146">
        <v>41</v>
      </c>
      <c r="AM177" s="146">
        <v>0</v>
      </c>
      <c r="AQ177" s="146">
        <f t="shared" si="2"/>
        <v>0</v>
      </c>
    </row>
    <row r="178" spans="1:43">
      <c r="A178" s="146" t="s">
        <v>1056</v>
      </c>
      <c r="B178" s="146" t="s">
        <v>940</v>
      </c>
      <c r="C178" s="146" t="s">
        <v>953</v>
      </c>
      <c r="D178" s="146" t="s">
        <v>957</v>
      </c>
      <c r="E178" s="146" t="s">
        <v>862</v>
      </c>
      <c r="F178" s="146" t="s">
        <v>875</v>
      </c>
      <c r="G178" s="146">
        <v>38672</v>
      </c>
      <c r="H178" s="146">
        <v>0.53</v>
      </c>
      <c r="I178" s="146" t="s">
        <v>894</v>
      </c>
      <c r="K178" s="477"/>
      <c r="N178" s="477"/>
      <c r="P178" s="477">
        <v>20496</v>
      </c>
      <c r="Q178" s="478">
        <v>40</v>
      </c>
      <c r="R178" s="478">
        <v>12298</v>
      </c>
      <c r="S178" s="479">
        <v>69.180000000000007</v>
      </c>
      <c r="T178" s="146">
        <v>3790</v>
      </c>
      <c r="U178" s="479">
        <v>0.5</v>
      </c>
      <c r="V178" s="146">
        <v>19</v>
      </c>
      <c r="W178" s="146">
        <v>0</v>
      </c>
      <c r="X178" s="146">
        <v>19</v>
      </c>
      <c r="Y178" s="146">
        <v>0.88</v>
      </c>
      <c r="Z178" s="146">
        <v>0.37840000000000001</v>
      </c>
      <c r="AA178" s="146">
        <v>194</v>
      </c>
      <c r="AB178" s="146" t="s">
        <v>943</v>
      </c>
      <c r="AC178" s="146" t="s">
        <v>856</v>
      </c>
      <c r="AG178" s="146">
        <v>17</v>
      </c>
      <c r="AH178" s="146">
        <v>7</v>
      </c>
      <c r="AI178" s="146">
        <v>3686</v>
      </c>
      <c r="AJ178" s="146">
        <v>18036</v>
      </c>
      <c r="AK178" s="146">
        <v>10822</v>
      </c>
      <c r="AL178" s="146">
        <v>3335</v>
      </c>
      <c r="AM178" s="146">
        <v>17</v>
      </c>
      <c r="AQ178" s="146">
        <v>81</v>
      </c>
    </row>
    <row r="179" spans="1:43">
      <c r="A179" s="146" t="s">
        <v>1056</v>
      </c>
      <c r="B179" s="146" t="s">
        <v>940</v>
      </c>
      <c r="C179" s="146" t="s">
        <v>953</v>
      </c>
      <c r="D179" s="146" t="s">
        <v>958</v>
      </c>
      <c r="E179" s="146" t="s">
        <v>862</v>
      </c>
      <c r="F179" s="146" t="s">
        <v>876</v>
      </c>
      <c r="G179" s="146">
        <v>12078</v>
      </c>
      <c r="H179" s="146">
        <v>0.56000000000000005</v>
      </c>
      <c r="I179" s="146" t="s">
        <v>894</v>
      </c>
      <c r="K179" s="477"/>
      <c r="N179" s="477"/>
      <c r="P179" s="477">
        <v>6764</v>
      </c>
      <c r="Q179" s="478">
        <v>50</v>
      </c>
      <c r="R179" s="478">
        <v>3382</v>
      </c>
      <c r="S179" s="479">
        <v>69.180000000000007</v>
      </c>
      <c r="T179" s="146">
        <v>1042</v>
      </c>
      <c r="U179" s="479">
        <v>0.5</v>
      </c>
      <c r="V179" s="146">
        <v>5</v>
      </c>
      <c r="W179" s="146">
        <v>0</v>
      </c>
      <c r="X179" s="146">
        <v>5</v>
      </c>
      <c r="Y179" s="146">
        <v>0.88</v>
      </c>
      <c r="Z179" s="146">
        <v>0.37840000000000001</v>
      </c>
      <c r="AA179" s="146">
        <v>194</v>
      </c>
      <c r="AB179" s="146" t="s">
        <v>943</v>
      </c>
      <c r="AC179" s="146" t="s">
        <v>856</v>
      </c>
      <c r="AG179" s="146">
        <v>4</v>
      </c>
      <c r="AH179" s="146">
        <v>2</v>
      </c>
      <c r="AI179" s="146">
        <v>970</v>
      </c>
      <c r="AJ179" s="146">
        <v>5952</v>
      </c>
      <c r="AK179" s="146">
        <v>2976</v>
      </c>
      <c r="AL179" s="146">
        <v>917</v>
      </c>
      <c r="AM179" s="146">
        <v>4</v>
      </c>
      <c r="AQ179" s="146">
        <f t="shared" si="2"/>
        <v>23</v>
      </c>
    </row>
    <row r="180" spans="1:43">
      <c r="A180" s="146" t="s">
        <v>1056</v>
      </c>
      <c r="B180" s="146" t="s">
        <v>940</v>
      </c>
      <c r="C180" s="146" t="s">
        <v>953</v>
      </c>
      <c r="D180" s="146" t="s">
        <v>959</v>
      </c>
      <c r="E180" s="146" t="s">
        <v>862</v>
      </c>
      <c r="F180" s="146" t="s">
        <v>877</v>
      </c>
      <c r="G180" s="146">
        <v>110</v>
      </c>
      <c r="H180" s="477">
        <v>0.56000000000000005</v>
      </c>
      <c r="I180" s="146" t="s">
        <v>894</v>
      </c>
      <c r="K180" s="480"/>
      <c r="P180" s="477">
        <v>62</v>
      </c>
      <c r="Q180" s="478">
        <v>50</v>
      </c>
      <c r="R180" s="478">
        <v>31</v>
      </c>
      <c r="S180" s="479">
        <v>69.180000000000007</v>
      </c>
      <c r="T180" s="146">
        <v>10</v>
      </c>
      <c r="U180" s="479">
        <v>0.5</v>
      </c>
      <c r="V180" s="146">
        <v>0</v>
      </c>
      <c r="W180" s="146">
        <v>0</v>
      </c>
      <c r="X180" s="146">
        <v>0</v>
      </c>
      <c r="Y180" s="477">
        <v>0.88</v>
      </c>
      <c r="Z180" s="146">
        <v>0.37840000000000001</v>
      </c>
      <c r="AA180" s="477">
        <v>194</v>
      </c>
      <c r="AB180" s="146" t="s">
        <v>943</v>
      </c>
      <c r="AC180" s="146" t="s">
        <v>856</v>
      </c>
      <c r="AG180" s="146">
        <v>0</v>
      </c>
      <c r="AH180" s="146">
        <v>0</v>
      </c>
      <c r="AI180" s="146">
        <v>0</v>
      </c>
      <c r="AJ180" s="146">
        <v>55</v>
      </c>
      <c r="AK180" s="146">
        <v>27</v>
      </c>
      <c r="AL180" s="146">
        <v>9</v>
      </c>
      <c r="AM180" s="146">
        <v>0</v>
      </c>
      <c r="AQ180" s="146">
        <f t="shared" si="2"/>
        <v>0</v>
      </c>
    </row>
    <row r="181" spans="1:43">
      <c r="A181" s="146" t="s">
        <v>1056</v>
      </c>
      <c r="B181" s="146" t="s">
        <v>940</v>
      </c>
      <c r="C181" s="146" t="s">
        <v>960</v>
      </c>
      <c r="D181" s="146" t="s">
        <v>961</v>
      </c>
      <c r="E181" s="146" t="s">
        <v>862</v>
      </c>
      <c r="F181" s="146" t="s">
        <v>879</v>
      </c>
      <c r="G181" s="146">
        <v>14504</v>
      </c>
      <c r="H181" s="477">
        <v>0.33</v>
      </c>
      <c r="I181" s="146" t="s">
        <v>894</v>
      </c>
      <c r="P181" s="477">
        <v>4786</v>
      </c>
      <c r="Q181" s="478">
        <v>40</v>
      </c>
      <c r="R181" s="478">
        <v>2872</v>
      </c>
      <c r="S181" s="479">
        <v>90</v>
      </c>
      <c r="T181" s="146">
        <v>287</v>
      </c>
      <c r="U181" s="479">
        <v>0.5</v>
      </c>
      <c r="V181" s="146">
        <v>1</v>
      </c>
      <c r="W181" s="146">
        <v>0</v>
      </c>
      <c r="X181" s="146">
        <v>1</v>
      </c>
      <c r="Y181" s="477">
        <v>0.88</v>
      </c>
      <c r="Z181" s="146">
        <v>0.37840000000000001</v>
      </c>
      <c r="AA181" s="477">
        <v>214</v>
      </c>
      <c r="AB181" s="146" t="s">
        <v>943</v>
      </c>
      <c r="AC181" s="146" t="s">
        <v>856</v>
      </c>
      <c r="AG181" s="146">
        <v>1</v>
      </c>
      <c r="AH181" s="146">
        <v>0</v>
      </c>
      <c r="AI181" s="146">
        <v>214</v>
      </c>
      <c r="AJ181" s="146">
        <v>4212</v>
      </c>
      <c r="AK181" s="146">
        <v>2527</v>
      </c>
      <c r="AL181" s="146">
        <v>253</v>
      </c>
      <c r="AM181" s="146">
        <v>1</v>
      </c>
      <c r="AQ181" s="146">
        <f t="shared" si="2"/>
        <v>0</v>
      </c>
    </row>
    <row r="182" spans="1:43">
      <c r="A182" s="146" t="s">
        <v>1056</v>
      </c>
      <c r="B182" s="146" t="s">
        <v>940</v>
      </c>
      <c r="C182" s="146" t="s">
        <v>962</v>
      </c>
      <c r="D182" s="146" t="s">
        <v>963</v>
      </c>
      <c r="E182" s="146" t="s">
        <v>862</v>
      </c>
      <c r="F182" s="146" t="s">
        <v>881</v>
      </c>
      <c r="G182" s="146">
        <v>74</v>
      </c>
      <c r="H182" s="477">
        <v>0.55000000000000004</v>
      </c>
      <c r="I182" s="146" t="s">
        <v>894</v>
      </c>
      <c r="P182" s="477">
        <v>41</v>
      </c>
      <c r="Q182" s="478">
        <v>40</v>
      </c>
      <c r="R182" s="478">
        <v>25</v>
      </c>
      <c r="S182" s="479">
        <v>69.180000000000007</v>
      </c>
      <c r="T182" s="146">
        <v>8</v>
      </c>
      <c r="U182" s="479">
        <v>0.5</v>
      </c>
      <c r="V182" s="146">
        <v>0</v>
      </c>
      <c r="W182" s="146">
        <v>0</v>
      </c>
      <c r="X182" s="146">
        <v>0</v>
      </c>
      <c r="Y182" s="477">
        <v>0.88</v>
      </c>
      <c r="Z182" s="146">
        <v>0.37840000000000001</v>
      </c>
      <c r="AA182" s="477"/>
      <c r="AB182" s="146" t="s">
        <v>964</v>
      </c>
      <c r="AG182" s="146">
        <v>0</v>
      </c>
      <c r="AH182" s="146">
        <v>0</v>
      </c>
      <c r="AI182" s="146">
        <v>0</v>
      </c>
      <c r="AJ182" s="146">
        <v>36</v>
      </c>
      <c r="AK182" s="146">
        <v>22</v>
      </c>
      <c r="AL182" s="146">
        <v>7</v>
      </c>
      <c r="AM182" s="146">
        <v>0</v>
      </c>
      <c r="AQ182" s="146">
        <f t="shared" si="2"/>
        <v>0</v>
      </c>
    </row>
    <row r="183" spans="1:43">
      <c r="A183" s="146" t="s">
        <v>1056</v>
      </c>
      <c r="B183" s="146" t="s">
        <v>940</v>
      </c>
      <c r="C183" s="146" t="s">
        <v>962</v>
      </c>
      <c r="D183" s="146" t="s">
        <v>965</v>
      </c>
      <c r="E183" s="146" t="s">
        <v>862</v>
      </c>
      <c r="F183" s="146" t="s">
        <v>883</v>
      </c>
      <c r="G183" s="146">
        <v>5350</v>
      </c>
      <c r="H183" s="477">
        <v>0.55000000000000004</v>
      </c>
      <c r="I183" s="146" t="s">
        <v>894</v>
      </c>
      <c r="P183" s="477">
        <v>2943</v>
      </c>
      <c r="Q183" s="478">
        <v>50</v>
      </c>
      <c r="R183" s="478">
        <v>1472</v>
      </c>
      <c r="S183" s="479">
        <v>89.95</v>
      </c>
      <c r="T183" s="146">
        <v>148</v>
      </c>
      <c r="U183" s="479">
        <v>0.5</v>
      </c>
      <c r="V183" s="146">
        <v>1</v>
      </c>
      <c r="W183" s="146">
        <v>0</v>
      </c>
      <c r="X183" s="146">
        <v>1</v>
      </c>
      <c r="Y183" s="477">
        <v>0.88</v>
      </c>
      <c r="Z183" s="146">
        <v>0.37840000000000001</v>
      </c>
      <c r="AA183" s="477">
        <v>103</v>
      </c>
      <c r="AB183" s="146" t="s">
        <v>943</v>
      </c>
      <c r="AC183" s="146" t="s">
        <v>856</v>
      </c>
      <c r="AG183" s="146">
        <v>1</v>
      </c>
      <c r="AH183" s="146">
        <v>0</v>
      </c>
      <c r="AI183" s="146">
        <v>103</v>
      </c>
      <c r="AJ183" s="146">
        <v>2590</v>
      </c>
      <c r="AK183" s="146">
        <v>1295</v>
      </c>
      <c r="AL183" s="146">
        <v>130</v>
      </c>
      <c r="AM183" s="146">
        <v>1</v>
      </c>
      <c r="AQ183" s="146">
        <f t="shared" si="2"/>
        <v>0</v>
      </c>
    </row>
    <row r="184" spans="1:43">
      <c r="A184" s="146" t="s">
        <v>1056</v>
      </c>
      <c r="B184" s="146" t="s">
        <v>940</v>
      </c>
      <c r="C184" s="146" t="s">
        <v>962</v>
      </c>
      <c r="D184" s="146" t="s">
        <v>966</v>
      </c>
      <c r="E184" s="146" t="s">
        <v>862</v>
      </c>
      <c r="F184" s="146" t="s">
        <v>885</v>
      </c>
      <c r="G184" s="146">
        <v>409</v>
      </c>
      <c r="H184" s="477">
        <v>0.55000000000000004</v>
      </c>
      <c r="I184" s="146" t="s">
        <v>894</v>
      </c>
      <c r="P184" s="477">
        <v>225</v>
      </c>
      <c r="Q184" s="478">
        <v>40</v>
      </c>
      <c r="R184" s="478">
        <v>135</v>
      </c>
      <c r="S184" s="479">
        <v>69.180000000000007</v>
      </c>
      <c r="T184" s="146">
        <v>42</v>
      </c>
      <c r="U184" s="479">
        <v>0.5</v>
      </c>
      <c r="V184" s="146">
        <v>0</v>
      </c>
      <c r="W184" s="146">
        <v>0</v>
      </c>
      <c r="X184" s="146">
        <v>0</v>
      </c>
      <c r="Y184" s="477">
        <v>0.88</v>
      </c>
      <c r="Z184" s="146">
        <v>0.37840000000000001</v>
      </c>
      <c r="AA184" s="477"/>
      <c r="AB184" s="146" t="s">
        <v>964</v>
      </c>
      <c r="AG184" s="146">
        <v>0</v>
      </c>
      <c r="AH184" s="146">
        <v>0</v>
      </c>
      <c r="AI184" s="146">
        <v>0</v>
      </c>
      <c r="AJ184" s="146">
        <v>198</v>
      </c>
      <c r="AK184" s="146">
        <v>119</v>
      </c>
      <c r="AL184" s="146">
        <v>37</v>
      </c>
      <c r="AM184" s="146">
        <v>0</v>
      </c>
      <c r="AQ184" s="146">
        <f t="shared" si="2"/>
        <v>0</v>
      </c>
    </row>
    <row r="185" spans="1:43">
      <c r="A185" s="146" t="s">
        <v>1056</v>
      </c>
      <c r="B185" s="146" t="s">
        <v>940</v>
      </c>
      <c r="C185" s="146" t="s">
        <v>962</v>
      </c>
      <c r="D185" s="146" t="s">
        <v>967</v>
      </c>
      <c r="E185" s="146" t="s">
        <v>862</v>
      </c>
      <c r="F185" s="146" t="s">
        <v>906</v>
      </c>
      <c r="G185" s="146">
        <v>1644</v>
      </c>
      <c r="H185" s="477">
        <v>1.04</v>
      </c>
      <c r="I185" s="146" t="s">
        <v>894</v>
      </c>
      <c r="P185" s="477">
        <v>1710</v>
      </c>
      <c r="Q185" s="478">
        <v>40</v>
      </c>
      <c r="R185" s="478">
        <v>1026</v>
      </c>
      <c r="S185" s="479">
        <v>96.649999999999991</v>
      </c>
      <c r="T185" s="146">
        <v>34</v>
      </c>
      <c r="U185" s="479">
        <v>0.5</v>
      </c>
      <c r="V185" s="146">
        <v>0</v>
      </c>
      <c r="W185" s="146">
        <v>0</v>
      </c>
      <c r="X185" s="146">
        <v>0</v>
      </c>
      <c r="Y185" s="477">
        <v>0.88</v>
      </c>
      <c r="Z185" s="146">
        <v>0.37840000000000001</v>
      </c>
      <c r="AA185" s="477">
        <v>223</v>
      </c>
      <c r="AB185" s="146" t="s">
        <v>943</v>
      </c>
      <c r="AC185" s="146" t="s">
        <v>856</v>
      </c>
      <c r="AG185" s="146">
        <v>0</v>
      </c>
      <c r="AH185" s="146">
        <v>0</v>
      </c>
      <c r="AI185" s="146">
        <v>0</v>
      </c>
      <c r="AJ185" s="146">
        <v>1505</v>
      </c>
      <c r="AK185" s="146">
        <v>903</v>
      </c>
      <c r="AL185" s="146">
        <v>30</v>
      </c>
      <c r="AM185" s="146">
        <v>0</v>
      </c>
      <c r="AQ185" s="146">
        <f t="shared" si="2"/>
        <v>0</v>
      </c>
    </row>
    <row r="186" spans="1:43">
      <c r="A186" s="146" t="s">
        <v>1056</v>
      </c>
      <c r="B186" s="146" t="s">
        <v>49</v>
      </c>
      <c r="C186" s="146" t="s">
        <v>968</v>
      </c>
      <c r="D186" s="146" t="s">
        <v>969</v>
      </c>
      <c r="K186" s="477"/>
      <c r="N186" s="477"/>
      <c r="P186" s="477">
        <v>0</v>
      </c>
      <c r="Q186" s="478">
        <v>0</v>
      </c>
      <c r="R186" s="478">
        <v>0</v>
      </c>
      <c r="S186" s="479">
        <v>0</v>
      </c>
      <c r="T186" s="146">
        <v>0</v>
      </c>
      <c r="U186" s="479"/>
      <c r="V186" s="146">
        <v>0</v>
      </c>
      <c r="W186" s="146">
        <v>0</v>
      </c>
      <c r="X186" s="146">
        <v>0</v>
      </c>
      <c r="AF186" s="146" t="s">
        <v>970</v>
      </c>
      <c r="AG186" s="146">
        <v>0</v>
      </c>
      <c r="AH186" s="146">
        <v>0</v>
      </c>
      <c r="AI186" s="146">
        <v>0</v>
      </c>
      <c r="AJ186" s="146">
        <v>0</v>
      </c>
      <c r="AK186" s="146">
        <v>0</v>
      </c>
      <c r="AL186" s="146">
        <v>0</v>
      </c>
      <c r="AM186" s="146">
        <v>0</v>
      </c>
      <c r="AQ186" s="146">
        <f t="shared" si="2"/>
        <v>0</v>
      </c>
    </row>
    <row r="187" spans="1:43">
      <c r="A187" s="146" t="s">
        <v>1056</v>
      </c>
      <c r="B187" s="146" t="s">
        <v>49</v>
      </c>
      <c r="C187" s="146" t="s">
        <v>968</v>
      </c>
      <c r="D187" s="146" t="s">
        <v>971</v>
      </c>
      <c r="K187" s="477"/>
      <c r="N187" s="477"/>
      <c r="P187" s="477">
        <v>0</v>
      </c>
      <c r="Q187" s="478">
        <v>0</v>
      </c>
      <c r="R187" s="478">
        <v>0</v>
      </c>
      <c r="S187" s="479">
        <v>0</v>
      </c>
      <c r="T187" s="146">
        <v>0</v>
      </c>
      <c r="U187" s="479"/>
      <c r="V187" s="146">
        <v>0</v>
      </c>
      <c r="W187" s="146">
        <v>0</v>
      </c>
      <c r="X187" s="146">
        <v>0</v>
      </c>
      <c r="AF187" s="146" t="s">
        <v>972</v>
      </c>
      <c r="AG187" s="146">
        <v>0</v>
      </c>
      <c r="AH187" s="146">
        <v>0</v>
      </c>
      <c r="AI187" s="146">
        <v>0</v>
      </c>
      <c r="AJ187" s="146">
        <v>0</v>
      </c>
      <c r="AK187" s="146">
        <v>0</v>
      </c>
      <c r="AL187" s="146">
        <v>0</v>
      </c>
      <c r="AM187" s="146">
        <v>0</v>
      </c>
      <c r="AQ187" s="146">
        <f t="shared" si="2"/>
        <v>0</v>
      </c>
    </row>
    <row r="188" spans="1:43">
      <c r="A188" s="146" t="s">
        <v>1056</v>
      </c>
      <c r="B188" s="146" t="s">
        <v>49</v>
      </c>
      <c r="C188" s="146" t="s">
        <v>973</v>
      </c>
      <c r="D188" s="146" t="s">
        <v>973</v>
      </c>
      <c r="E188" s="146" t="s">
        <v>842</v>
      </c>
      <c r="P188" s="477">
        <v>0</v>
      </c>
      <c r="Q188" s="478">
        <v>0</v>
      </c>
      <c r="R188" s="478">
        <v>0</v>
      </c>
      <c r="S188" s="479">
        <v>43.437499999999993</v>
      </c>
      <c r="T188" s="146">
        <v>0</v>
      </c>
      <c r="U188" s="479">
        <v>32.200000000000003</v>
      </c>
      <c r="V188" s="146">
        <v>0</v>
      </c>
      <c r="W188" s="146">
        <v>0</v>
      </c>
      <c r="X188" s="146">
        <v>0</v>
      </c>
      <c r="AB188" s="146" t="s">
        <v>974</v>
      </c>
      <c r="AC188" s="146" t="s">
        <v>975</v>
      </c>
      <c r="AG188" s="146">
        <v>0</v>
      </c>
      <c r="AH188" s="146">
        <v>0</v>
      </c>
      <c r="AI188" s="146">
        <v>0</v>
      </c>
      <c r="AJ188" s="146">
        <v>0</v>
      </c>
      <c r="AK188" s="146">
        <v>0</v>
      </c>
      <c r="AL188" s="146">
        <v>0</v>
      </c>
      <c r="AM188" s="146">
        <v>0</v>
      </c>
      <c r="AQ188" s="146">
        <f t="shared" si="2"/>
        <v>0</v>
      </c>
    </row>
    <row r="189" spans="1:43">
      <c r="A189" s="146" t="s">
        <v>1056</v>
      </c>
      <c r="B189" s="146" t="s">
        <v>49</v>
      </c>
      <c r="C189" s="146" t="s">
        <v>976</v>
      </c>
      <c r="D189" s="146" t="s">
        <v>977</v>
      </c>
      <c r="E189" s="146" t="s">
        <v>978</v>
      </c>
      <c r="P189" s="477">
        <v>0</v>
      </c>
      <c r="Q189" s="478">
        <v>0</v>
      </c>
      <c r="R189" s="478">
        <v>0</v>
      </c>
      <c r="S189" s="479">
        <v>0</v>
      </c>
      <c r="T189" s="146">
        <v>0</v>
      </c>
      <c r="U189" s="479">
        <v>100</v>
      </c>
      <c r="V189" s="146">
        <v>0</v>
      </c>
      <c r="W189" s="146">
        <v>0</v>
      </c>
      <c r="X189" s="146">
        <v>0</v>
      </c>
      <c r="Y189" s="146">
        <v>1</v>
      </c>
      <c r="Z189" s="146">
        <v>0.88</v>
      </c>
      <c r="AF189" s="146" t="s">
        <v>979</v>
      </c>
      <c r="AG189" s="146">
        <v>0</v>
      </c>
      <c r="AH189" s="146">
        <v>0</v>
      </c>
      <c r="AI189" s="146">
        <v>0</v>
      </c>
      <c r="AJ189" s="146">
        <v>0</v>
      </c>
      <c r="AK189" s="146">
        <v>0</v>
      </c>
      <c r="AL189" s="146">
        <v>0</v>
      </c>
      <c r="AM189" s="146">
        <v>0</v>
      </c>
      <c r="AQ189" s="146">
        <f t="shared" si="2"/>
        <v>0</v>
      </c>
    </row>
    <row r="190" spans="1:43">
      <c r="A190" s="146" t="s">
        <v>1056</v>
      </c>
      <c r="B190" s="146" t="s">
        <v>49</v>
      </c>
      <c r="C190" s="146" t="s">
        <v>980</v>
      </c>
      <c r="D190" s="146" t="s">
        <v>981</v>
      </c>
      <c r="E190" s="146" t="s">
        <v>842</v>
      </c>
      <c r="J190" s="146" t="s">
        <v>843</v>
      </c>
      <c r="K190" s="146">
        <v>500</v>
      </c>
      <c r="L190" s="146" t="s">
        <v>844</v>
      </c>
      <c r="M190" s="146" t="s">
        <v>341</v>
      </c>
      <c r="N190" s="146">
        <v>10</v>
      </c>
      <c r="O190" s="146" t="s">
        <v>845</v>
      </c>
      <c r="P190" s="477">
        <v>5000</v>
      </c>
      <c r="Q190" s="478">
        <v>0</v>
      </c>
      <c r="R190" s="478">
        <v>5000</v>
      </c>
      <c r="S190" s="479">
        <v>0</v>
      </c>
      <c r="T190" s="146">
        <v>5000</v>
      </c>
      <c r="U190" s="479">
        <v>0</v>
      </c>
      <c r="V190" s="146">
        <v>0</v>
      </c>
      <c r="W190" s="146">
        <v>0</v>
      </c>
      <c r="X190" s="146">
        <v>0</v>
      </c>
      <c r="Y190" s="146">
        <v>0.4</v>
      </c>
      <c r="Z190" s="146">
        <v>6.59E-2</v>
      </c>
      <c r="AA190" s="146">
        <v>77.400000000000006</v>
      </c>
      <c r="AB190" s="146" t="s">
        <v>982</v>
      </c>
      <c r="AC190" s="146" t="s">
        <v>983</v>
      </c>
      <c r="AG190" s="146">
        <v>0</v>
      </c>
      <c r="AH190" s="146">
        <v>0</v>
      </c>
      <c r="AI190" s="146">
        <v>0</v>
      </c>
      <c r="AJ190" s="146">
        <v>2000</v>
      </c>
      <c r="AK190" s="146">
        <v>2000</v>
      </c>
      <c r="AL190" s="146">
        <v>2000</v>
      </c>
      <c r="AM190" s="146">
        <v>0</v>
      </c>
      <c r="AQ190" s="146">
        <f t="shared" si="2"/>
        <v>0</v>
      </c>
    </row>
    <row r="191" spans="1:43">
      <c r="A191" s="146" t="s">
        <v>1056</v>
      </c>
      <c r="B191" s="146" t="s">
        <v>49</v>
      </c>
      <c r="C191" s="146" t="s">
        <v>984</v>
      </c>
      <c r="D191" s="146" t="s">
        <v>985</v>
      </c>
      <c r="E191" s="146" t="s">
        <v>842</v>
      </c>
      <c r="P191" s="477">
        <v>0</v>
      </c>
      <c r="Q191" s="478">
        <v>0</v>
      </c>
      <c r="R191" s="478">
        <v>0</v>
      </c>
      <c r="S191" s="479">
        <v>85</v>
      </c>
      <c r="T191" s="146">
        <v>0</v>
      </c>
      <c r="U191" s="479">
        <v>95</v>
      </c>
      <c r="V191" s="146">
        <v>0</v>
      </c>
      <c r="W191" s="146">
        <v>0</v>
      </c>
      <c r="X191" s="146">
        <v>0</v>
      </c>
      <c r="Y191" s="146">
        <v>1</v>
      </c>
      <c r="Z191" s="146">
        <v>5.5300000000000002E-2</v>
      </c>
      <c r="AA191" s="146">
        <v>65</v>
      </c>
      <c r="AF191" s="146" t="s">
        <v>979</v>
      </c>
      <c r="AG191" s="146">
        <v>0</v>
      </c>
      <c r="AH191" s="146">
        <v>0</v>
      </c>
      <c r="AI191" s="146">
        <v>0</v>
      </c>
      <c r="AJ191" s="146">
        <v>0</v>
      </c>
      <c r="AK191" s="146">
        <v>0</v>
      </c>
      <c r="AL191" s="146">
        <v>0</v>
      </c>
      <c r="AM191" s="146">
        <v>0</v>
      </c>
      <c r="AQ191" s="146">
        <f t="shared" si="2"/>
        <v>0</v>
      </c>
    </row>
    <row r="192" spans="1:43">
      <c r="A192" s="146" t="s">
        <v>1056</v>
      </c>
      <c r="B192" s="146" t="s">
        <v>49</v>
      </c>
      <c r="C192" s="146" t="s">
        <v>986</v>
      </c>
      <c r="D192" s="146" t="s">
        <v>987</v>
      </c>
      <c r="E192" s="146" t="s">
        <v>842</v>
      </c>
      <c r="J192" s="146" t="s">
        <v>843</v>
      </c>
      <c r="K192" s="146">
        <v>6000</v>
      </c>
      <c r="L192" s="146" t="s">
        <v>844</v>
      </c>
      <c r="M192" s="146" t="s">
        <v>341</v>
      </c>
      <c r="N192" s="146">
        <v>29</v>
      </c>
      <c r="O192" s="146" t="s">
        <v>845</v>
      </c>
      <c r="P192" s="477">
        <v>174000</v>
      </c>
      <c r="Q192" s="478">
        <v>0</v>
      </c>
      <c r="R192" s="478">
        <v>174000</v>
      </c>
      <c r="S192" s="479">
        <v>95</v>
      </c>
      <c r="T192" s="146">
        <v>8700</v>
      </c>
      <c r="U192" s="479">
        <v>0</v>
      </c>
      <c r="V192" s="146">
        <v>0</v>
      </c>
      <c r="W192" s="146">
        <v>0</v>
      </c>
      <c r="X192" s="146">
        <v>0</v>
      </c>
      <c r="Y192" s="146">
        <v>0.24</v>
      </c>
      <c r="Z192" s="146">
        <v>7.5999999999999998E-2</v>
      </c>
      <c r="AA192" s="146">
        <v>89.325599999999994</v>
      </c>
      <c r="AB192" s="146" t="s">
        <v>988</v>
      </c>
      <c r="AC192" s="146" t="s">
        <v>983</v>
      </c>
      <c r="AG192" s="146">
        <v>0</v>
      </c>
      <c r="AH192" s="146">
        <v>0</v>
      </c>
      <c r="AI192" s="146">
        <v>0</v>
      </c>
      <c r="AJ192" s="146">
        <v>41760</v>
      </c>
      <c r="AK192" s="146">
        <v>41760</v>
      </c>
      <c r="AL192" s="146">
        <v>2088</v>
      </c>
      <c r="AM192" s="146">
        <v>0</v>
      </c>
      <c r="AQ192" s="146">
        <f t="shared" si="2"/>
        <v>0</v>
      </c>
    </row>
    <row r="193" spans="1:43">
      <c r="A193" s="146" t="s">
        <v>1056</v>
      </c>
      <c r="B193" s="146" t="s">
        <v>49</v>
      </c>
      <c r="C193" s="146" t="s">
        <v>989</v>
      </c>
      <c r="D193" s="146" t="s">
        <v>990</v>
      </c>
      <c r="E193" s="146" t="s">
        <v>842</v>
      </c>
      <c r="J193" s="146" t="s">
        <v>843</v>
      </c>
      <c r="K193" s="146">
        <v>3000</v>
      </c>
      <c r="L193" s="146" t="s">
        <v>844</v>
      </c>
      <c r="M193" s="146" t="s">
        <v>341</v>
      </c>
      <c r="N193" s="146">
        <v>36</v>
      </c>
      <c r="O193" s="146" t="s">
        <v>845</v>
      </c>
      <c r="P193" s="477">
        <v>108000</v>
      </c>
      <c r="Q193" s="478">
        <v>0</v>
      </c>
      <c r="R193" s="478">
        <v>108000</v>
      </c>
      <c r="S193" s="479">
        <v>95</v>
      </c>
      <c r="T193" s="146">
        <v>5400</v>
      </c>
      <c r="U193" s="479">
        <v>0</v>
      </c>
      <c r="V193" s="146">
        <v>0</v>
      </c>
      <c r="W193" s="146">
        <v>0</v>
      </c>
      <c r="X193" s="146">
        <v>0</v>
      </c>
      <c r="Y193" s="146">
        <v>0.24</v>
      </c>
      <c r="Z193" s="146">
        <v>7.5999999999999998E-2</v>
      </c>
      <c r="AA193" s="146">
        <v>89.325599999999994</v>
      </c>
      <c r="AC193" s="146" t="s">
        <v>983</v>
      </c>
      <c r="AG193" s="146">
        <v>0</v>
      </c>
      <c r="AH193" s="146">
        <v>0</v>
      </c>
      <c r="AI193" s="146">
        <v>0</v>
      </c>
      <c r="AJ193" s="146">
        <v>25920</v>
      </c>
      <c r="AK193" s="146">
        <v>25920</v>
      </c>
      <c r="AL193" s="146">
        <v>1296</v>
      </c>
      <c r="AM193" s="146">
        <v>0</v>
      </c>
      <c r="AQ193" s="146">
        <f t="shared" si="2"/>
        <v>0</v>
      </c>
    </row>
    <row r="194" spans="1:43">
      <c r="A194" s="146" t="s">
        <v>1056</v>
      </c>
      <c r="B194" s="146" t="s">
        <v>991</v>
      </c>
      <c r="C194" s="146" t="s">
        <v>992</v>
      </c>
      <c r="D194" s="146" t="s">
        <v>992</v>
      </c>
      <c r="E194" s="146" t="s">
        <v>993</v>
      </c>
      <c r="Q194" s="481"/>
      <c r="R194" s="478"/>
      <c r="S194" s="479"/>
      <c r="T194" s="146">
        <v>36072</v>
      </c>
      <c r="U194" s="479">
        <v>55</v>
      </c>
      <c r="V194" s="146">
        <v>19840</v>
      </c>
      <c r="W194" s="146">
        <v>1000</v>
      </c>
      <c r="X194" s="146">
        <v>20840</v>
      </c>
      <c r="Y194" s="146">
        <v>0.56999999999999995</v>
      </c>
      <c r="Z194" s="146">
        <v>0.24509999999999998</v>
      </c>
      <c r="AB194" s="146" t="s">
        <v>994</v>
      </c>
      <c r="AC194" s="146" t="s">
        <v>995</v>
      </c>
      <c r="AG194" s="146">
        <v>11879</v>
      </c>
      <c r="AH194" s="146">
        <v>5108</v>
      </c>
      <c r="AI194" s="146">
        <v>0</v>
      </c>
      <c r="AJ194" s="146">
        <v>0</v>
      </c>
      <c r="AK194" s="146">
        <v>0</v>
      </c>
      <c r="AL194" s="146">
        <v>20561</v>
      </c>
      <c r="AM194" s="146">
        <v>11309</v>
      </c>
      <c r="AQ194" s="146">
        <v>59406</v>
      </c>
    </row>
    <row r="195" spans="1:43">
      <c r="A195" s="146" t="s">
        <v>1056</v>
      </c>
      <c r="B195" s="146" t="s">
        <v>991</v>
      </c>
      <c r="C195" s="146" t="s">
        <v>996</v>
      </c>
      <c r="D195" s="146" t="s">
        <v>996</v>
      </c>
      <c r="E195" s="146" t="s">
        <v>993</v>
      </c>
      <c r="Q195" s="481"/>
      <c r="R195" s="478"/>
      <c r="S195" s="479"/>
      <c r="T195" s="146">
        <v>6069</v>
      </c>
      <c r="U195" s="479">
        <v>85</v>
      </c>
      <c r="V195" s="146">
        <v>5159</v>
      </c>
      <c r="W195" s="146">
        <v>1030</v>
      </c>
      <c r="X195" s="146">
        <v>6189</v>
      </c>
      <c r="Y195" s="146">
        <v>0.41</v>
      </c>
      <c r="Z195" s="146">
        <v>0.17629999999999998</v>
      </c>
      <c r="AB195" s="146" t="s">
        <v>994</v>
      </c>
      <c r="AC195" s="146" t="s">
        <v>995</v>
      </c>
      <c r="AG195" s="146">
        <v>2537</v>
      </c>
      <c r="AH195" s="146">
        <v>1091</v>
      </c>
      <c r="AI195" s="146">
        <v>0</v>
      </c>
      <c r="AJ195" s="146">
        <v>0</v>
      </c>
      <c r="AK195" s="146">
        <v>0</v>
      </c>
      <c r="AL195" s="146">
        <v>2488</v>
      </c>
      <c r="AM195" s="146">
        <v>2115</v>
      </c>
      <c r="AQ195" s="146">
        <f t="shared" ref="AQ195:AQ258" si="3">ROUND(AH195*11.63,0)</f>
        <v>12688</v>
      </c>
    </row>
    <row r="196" spans="1:43">
      <c r="A196" s="146" t="s">
        <v>1056</v>
      </c>
      <c r="B196" s="146" t="s">
        <v>991</v>
      </c>
      <c r="C196" s="146" t="s">
        <v>997</v>
      </c>
      <c r="D196" s="146" t="s">
        <v>997</v>
      </c>
      <c r="E196" s="146" t="s">
        <v>993</v>
      </c>
      <c r="Q196" s="481"/>
      <c r="R196" s="478"/>
      <c r="S196" s="479"/>
      <c r="T196" s="146">
        <v>7850</v>
      </c>
      <c r="U196" s="479">
        <v>70</v>
      </c>
      <c r="V196" s="146">
        <v>5495</v>
      </c>
      <c r="W196" s="146">
        <v>0</v>
      </c>
      <c r="X196" s="146">
        <v>5495</v>
      </c>
      <c r="Y196" s="146">
        <v>0.56999999999999995</v>
      </c>
      <c r="Z196" s="146">
        <v>0.24509999999999998</v>
      </c>
      <c r="AB196" s="146" t="s">
        <v>998</v>
      </c>
      <c r="AC196" s="146" t="s">
        <v>999</v>
      </c>
      <c r="AG196" s="146">
        <v>3132</v>
      </c>
      <c r="AH196" s="146">
        <v>1347</v>
      </c>
      <c r="AI196" s="146">
        <v>0</v>
      </c>
      <c r="AJ196" s="146">
        <v>0</v>
      </c>
      <c r="AK196" s="146">
        <v>0</v>
      </c>
      <c r="AL196" s="146">
        <v>4474</v>
      </c>
      <c r="AM196" s="146">
        <v>3132</v>
      </c>
      <c r="AQ196" s="146">
        <v>15666</v>
      </c>
    </row>
    <row r="197" spans="1:43">
      <c r="A197" s="146" t="s">
        <v>1056</v>
      </c>
      <c r="B197" s="146" t="s">
        <v>991</v>
      </c>
      <c r="C197" s="146" t="s">
        <v>997</v>
      </c>
      <c r="D197" s="146" t="s">
        <v>1000</v>
      </c>
      <c r="E197" s="146" t="s">
        <v>842</v>
      </c>
      <c r="J197" s="146" t="s">
        <v>843</v>
      </c>
      <c r="K197" s="146">
        <v>500</v>
      </c>
      <c r="L197" s="146" t="s">
        <v>844</v>
      </c>
      <c r="M197" s="146" t="s">
        <v>341</v>
      </c>
      <c r="N197" s="146">
        <v>1.66</v>
      </c>
      <c r="O197" s="146" t="s">
        <v>1001</v>
      </c>
      <c r="P197" s="146">
        <v>830</v>
      </c>
      <c r="Q197" s="478">
        <v>50</v>
      </c>
      <c r="R197" s="478">
        <v>415</v>
      </c>
      <c r="S197" s="479">
        <v>0</v>
      </c>
      <c r="T197" s="146">
        <v>415</v>
      </c>
      <c r="U197" s="479">
        <v>10</v>
      </c>
      <c r="V197" s="146">
        <v>42</v>
      </c>
      <c r="W197" s="146">
        <v>0</v>
      </c>
      <c r="X197" s="146">
        <v>42</v>
      </c>
      <c r="Y197" s="146">
        <v>0.56999999999999995</v>
      </c>
      <c r="Z197" s="146">
        <v>0.24509999999999998</v>
      </c>
      <c r="AG197" s="146">
        <v>24</v>
      </c>
      <c r="AH197" s="146">
        <v>10</v>
      </c>
      <c r="AI197" s="146">
        <v>0</v>
      </c>
      <c r="AJ197" s="146">
        <v>473</v>
      </c>
      <c r="AK197" s="146">
        <v>237</v>
      </c>
      <c r="AL197" s="146">
        <v>237</v>
      </c>
      <c r="AM197" s="146">
        <v>24</v>
      </c>
      <c r="AQ197" s="146">
        <f t="shared" si="3"/>
        <v>116</v>
      </c>
    </row>
    <row r="198" spans="1:43">
      <c r="A198" s="146" t="s">
        <v>1056</v>
      </c>
      <c r="B198" s="146" t="s">
        <v>991</v>
      </c>
      <c r="C198" s="146" t="s">
        <v>1003</v>
      </c>
      <c r="D198" s="146" t="s">
        <v>1003</v>
      </c>
      <c r="E198" s="146" t="s">
        <v>993</v>
      </c>
      <c r="K198" s="477"/>
      <c r="N198" s="477"/>
      <c r="Q198" s="481"/>
      <c r="R198" s="478"/>
      <c r="S198" s="479"/>
      <c r="T198" s="146">
        <v>9921</v>
      </c>
      <c r="U198" s="479">
        <v>70</v>
      </c>
      <c r="V198" s="146">
        <v>6945</v>
      </c>
      <c r="W198" s="146">
        <v>100</v>
      </c>
      <c r="X198" s="146">
        <v>7045</v>
      </c>
      <c r="Y198" s="477">
        <v>0.56999999999999995</v>
      </c>
      <c r="Z198" s="477">
        <v>0.24509999999999998</v>
      </c>
      <c r="AA198" s="477"/>
      <c r="AB198" s="146" t="s">
        <v>994</v>
      </c>
      <c r="AC198" s="146" t="s">
        <v>995</v>
      </c>
      <c r="AG198" s="146">
        <v>4016</v>
      </c>
      <c r="AH198" s="146">
        <v>1727</v>
      </c>
      <c r="AI198" s="146">
        <v>0</v>
      </c>
      <c r="AJ198" s="146">
        <v>0</v>
      </c>
      <c r="AK198" s="146">
        <v>0</v>
      </c>
      <c r="AL198" s="146">
        <v>5655</v>
      </c>
      <c r="AM198" s="146">
        <v>3959</v>
      </c>
      <c r="AQ198" s="146">
        <f t="shared" si="3"/>
        <v>20085</v>
      </c>
    </row>
    <row r="199" spans="1:43">
      <c r="A199" s="146" t="s">
        <v>1056</v>
      </c>
      <c r="B199" s="146" t="s">
        <v>991</v>
      </c>
      <c r="C199" s="146" t="s">
        <v>1004</v>
      </c>
      <c r="D199" s="146" t="s">
        <v>1004</v>
      </c>
      <c r="E199" s="146" t="s">
        <v>993</v>
      </c>
      <c r="K199" s="477"/>
      <c r="N199" s="477"/>
      <c r="Q199" s="481"/>
      <c r="R199" s="478"/>
      <c r="S199" s="479"/>
      <c r="T199" s="146">
        <v>17981</v>
      </c>
      <c r="U199" s="479">
        <v>100</v>
      </c>
      <c r="V199" s="146">
        <v>17981</v>
      </c>
      <c r="W199" s="146">
        <v>200</v>
      </c>
      <c r="X199" s="146">
        <v>18181</v>
      </c>
      <c r="Y199" s="477">
        <v>0.41</v>
      </c>
      <c r="Z199" s="477">
        <v>0.17629999999999998</v>
      </c>
      <c r="AA199" s="477"/>
      <c r="AB199" s="146" t="s">
        <v>994</v>
      </c>
      <c r="AC199" s="146" t="s">
        <v>995</v>
      </c>
      <c r="AG199" s="146">
        <v>7454</v>
      </c>
      <c r="AH199" s="146">
        <v>3205</v>
      </c>
      <c r="AI199" s="146">
        <v>0</v>
      </c>
      <c r="AJ199" s="146">
        <v>0</v>
      </c>
      <c r="AK199" s="146">
        <v>0</v>
      </c>
      <c r="AL199" s="146">
        <v>7372</v>
      </c>
      <c r="AM199" s="146">
        <v>7372</v>
      </c>
      <c r="AQ199" s="146">
        <f t="shared" si="3"/>
        <v>37274</v>
      </c>
    </row>
    <row r="200" spans="1:43">
      <c r="A200" s="146" t="s">
        <v>1056</v>
      </c>
      <c r="B200" s="146" t="s">
        <v>991</v>
      </c>
      <c r="C200" s="146" t="s">
        <v>1005</v>
      </c>
      <c r="D200" s="146" t="s">
        <v>1005</v>
      </c>
      <c r="E200" s="146" t="s">
        <v>854</v>
      </c>
      <c r="Q200" s="481"/>
      <c r="R200" s="478"/>
      <c r="S200" s="479"/>
      <c r="T200" s="146">
        <v>7264</v>
      </c>
      <c r="U200" s="479">
        <v>51</v>
      </c>
      <c r="V200" s="146">
        <v>3705</v>
      </c>
      <c r="W200" s="146">
        <v>0</v>
      </c>
      <c r="X200" s="146">
        <v>3705</v>
      </c>
      <c r="Y200" s="146">
        <v>0.8</v>
      </c>
      <c r="Z200" s="146">
        <v>0.34400000000000003</v>
      </c>
      <c r="AB200" s="146" t="s">
        <v>1006</v>
      </c>
      <c r="AG200" s="146">
        <v>2964</v>
      </c>
      <c r="AH200" s="146">
        <v>1275</v>
      </c>
      <c r="AI200" s="146">
        <v>0</v>
      </c>
      <c r="AJ200" s="146">
        <v>0</v>
      </c>
      <c r="AK200" s="146">
        <v>0</v>
      </c>
      <c r="AL200" s="146">
        <v>5811</v>
      </c>
      <c r="AM200" s="146">
        <v>2964</v>
      </c>
      <c r="AQ200" s="146">
        <v>14828</v>
      </c>
    </row>
    <row r="201" spans="1:43">
      <c r="A201" s="146" t="s">
        <v>1056</v>
      </c>
      <c r="B201" s="146" t="s">
        <v>991</v>
      </c>
      <c r="C201" s="146" t="s">
        <v>1007</v>
      </c>
      <c r="D201" s="146" t="s">
        <v>1007</v>
      </c>
      <c r="E201" s="146" t="s">
        <v>842</v>
      </c>
      <c r="Q201" s="481"/>
      <c r="R201" s="478"/>
      <c r="S201" s="479"/>
      <c r="T201" s="477"/>
      <c r="U201" s="479"/>
      <c r="V201" s="146">
        <v>1290</v>
      </c>
      <c r="W201" s="146">
        <v>50</v>
      </c>
      <c r="X201" s="146">
        <v>1340</v>
      </c>
      <c r="Y201" s="146">
        <v>0.9</v>
      </c>
      <c r="Z201" s="146">
        <v>0.38700000000000001</v>
      </c>
      <c r="AG201" s="146">
        <v>1206</v>
      </c>
      <c r="AH201" s="146">
        <v>519</v>
      </c>
      <c r="AI201" s="146">
        <v>0</v>
      </c>
      <c r="AJ201" s="146">
        <v>0</v>
      </c>
      <c r="AK201" s="146">
        <v>0</v>
      </c>
      <c r="AL201" s="146">
        <v>0</v>
      </c>
      <c r="AM201" s="146">
        <v>1161</v>
      </c>
      <c r="AN201" s="146" t="s">
        <v>1007</v>
      </c>
      <c r="AO201" s="146">
        <v>1.1100000000000001</v>
      </c>
      <c r="AP201" s="146">
        <v>1162</v>
      </c>
      <c r="AQ201" s="146">
        <v>6036</v>
      </c>
    </row>
    <row r="202" spans="1:43">
      <c r="A202" s="146" t="s">
        <v>1056</v>
      </c>
      <c r="B202" s="146" t="s">
        <v>991</v>
      </c>
      <c r="C202" s="146" t="s">
        <v>1007</v>
      </c>
      <c r="D202" s="146" t="s">
        <v>1008</v>
      </c>
      <c r="E202" s="146" t="s">
        <v>842</v>
      </c>
      <c r="Q202" s="481"/>
      <c r="R202" s="478"/>
      <c r="S202" s="479"/>
      <c r="T202" s="477"/>
      <c r="U202" s="479"/>
      <c r="V202" s="146">
        <v>394</v>
      </c>
      <c r="W202" s="146">
        <v>150</v>
      </c>
      <c r="X202" s="146">
        <v>544</v>
      </c>
      <c r="Y202" s="146">
        <v>0.9</v>
      </c>
      <c r="Z202" s="146">
        <v>0.38700000000000001</v>
      </c>
      <c r="AG202" s="146">
        <v>490</v>
      </c>
      <c r="AH202" s="146">
        <v>211</v>
      </c>
      <c r="AI202" s="146">
        <v>0</v>
      </c>
      <c r="AJ202" s="146">
        <v>0</v>
      </c>
      <c r="AK202" s="146">
        <v>0</v>
      </c>
      <c r="AL202" s="146">
        <v>0</v>
      </c>
      <c r="AM202" s="146">
        <v>355</v>
      </c>
      <c r="AN202" s="146" t="s">
        <v>1008</v>
      </c>
      <c r="AO202" s="146">
        <v>1.1100000000000001</v>
      </c>
      <c r="AP202" s="146">
        <v>355</v>
      </c>
      <c r="AQ202" s="146">
        <v>2454</v>
      </c>
    </row>
    <row r="203" spans="1:43">
      <c r="A203" s="146" t="s">
        <v>1056</v>
      </c>
      <c r="B203" s="146" t="s">
        <v>991</v>
      </c>
      <c r="C203" s="146" t="s">
        <v>1009</v>
      </c>
      <c r="D203" s="146" t="s">
        <v>1009</v>
      </c>
      <c r="E203" s="146" t="s">
        <v>854</v>
      </c>
      <c r="Q203" s="481"/>
      <c r="R203" s="478"/>
      <c r="S203" s="479"/>
      <c r="U203" s="479"/>
      <c r="V203" s="146">
        <v>1566</v>
      </c>
      <c r="W203" s="146">
        <v>0</v>
      </c>
      <c r="X203" s="146">
        <v>1566</v>
      </c>
      <c r="Y203" s="146">
        <v>1</v>
      </c>
      <c r="Z203" s="146">
        <v>0.33200000000000002</v>
      </c>
      <c r="AB203" s="146" t="s">
        <v>1010</v>
      </c>
      <c r="AG203" s="146">
        <v>1566</v>
      </c>
      <c r="AH203" s="146">
        <v>520</v>
      </c>
      <c r="AI203" s="146">
        <v>0</v>
      </c>
      <c r="AJ203" s="146">
        <v>0</v>
      </c>
      <c r="AK203" s="146">
        <v>0</v>
      </c>
      <c r="AL203" s="146">
        <v>0</v>
      </c>
      <c r="AM203" s="146">
        <v>0</v>
      </c>
      <c r="AN203" s="146" t="s">
        <v>1009</v>
      </c>
      <c r="AO203" s="146">
        <v>1</v>
      </c>
      <c r="AP203" s="146">
        <v>1566</v>
      </c>
      <c r="AQ203" s="146">
        <f t="shared" si="3"/>
        <v>6048</v>
      </c>
    </row>
    <row r="204" spans="1:43">
      <c r="A204" s="146" t="s">
        <v>1056</v>
      </c>
      <c r="B204" s="146" t="s">
        <v>991</v>
      </c>
      <c r="C204" s="146" t="s">
        <v>1011</v>
      </c>
      <c r="D204" s="146" t="s">
        <v>1012</v>
      </c>
      <c r="E204" s="146" t="s">
        <v>993</v>
      </c>
      <c r="Q204" s="481"/>
      <c r="R204" s="478"/>
      <c r="S204" s="479"/>
      <c r="T204" s="146">
        <v>6654</v>
      </c>
      <c r="U204" s="479">
        <v>3</v>
      </c>
      <c r="V204" s="146">
        <v>200</v>
      </c>
      <c r="W204" s="146">
        <v>0</v>
      </c>
      <c r="X204" s="146">
        <v>200</v>
      </c>
      <c r="Y204" s="146">
        <v>0.56999999999999995</v>
      </c>
      <c r="Z204" s="146">
        <v>0.24509999999999998</v>
      </c>
      <c r="AB204" s="146" t="s">
        <v>994</v>
      </c>
      <c r="AC204" s="146" t="s">
        <v>995</v>
      </c>
      <c r="AG204" s="146">
        <v>114</v>
      </c>
      <c r="AH204" s="146">
        <v>49</v>
      </c>
      <c r="AI204" s="146">
        <v>0</v>
      </c>
      <c r="AJ204" s="146">
        <v>0</v>
      </c>
      <c r="AK204" s="146">
        <v>0</v>
      </c>
      <c r="AL204" s="146">
        <v>3793</v>
      </c>
      <c r="AM204" s="146">
        <v>114</v>
      </c>
      <c r="AQ204" s="146">
        <f t="shared" si="3"/>
        <v>570</v>
      </c>
    </row>
    <row r="205" spans="1:43">
      <c r="A205" s="146" t="s">
        <v>1056</v>
      </c>
      <c r="B205" s="146" t="s">
        <v>991</v>
      </c>
      <c r="C205" s="146" t="s">
        <v>1011</v>
      </c>
      <c r="D205" s="146" t="s">
        <v>1013</v>
      </c>
      <c r="E205" s="146" t="s">
        <v>993</v>
      </c>
      <c r="Q205" s="481"/>
      <c r="R205" s="478"/>
      <c r="S205" s="479"/>
      <c r="T205" s="146">
        <v>3863</v>
      </c>
      <c r="U205" s="479">
        <v>5</v>
      </c>
      <c r="V205" s="146">
        <v>193</v>
      </c>
      <c r="W205" s="146">
        <v>0</v>
      </c>
      <c r="X205" s="146">
        <v>193</v>
      </c>
      <c r="Y205" s="146">
        <v>0.41</v>
      </c>
      <c r="Z205" s="146">
        <v>0.17629999999999998</v>
      </c>
      <c r="AB205" s="146" t="s">
        <v>994</v>
      </c>
      <c r="AG205" s="146">
        <v>79</v>
      </c>
      <c r="AH205" s="146">
        <v>34</v>
      </c>
      <c r="AI205" s="146">
        <v>0</v>
      </c>
      <c r="AJ205" s="146">
        <v>0</v>
      </c>
      <c r="AK205" s="146">
        <v>0</v>
      </c>
      <c r="AL205" s="146">
        <v>1584</v>
      </c>
      <c r="AM205" s="146">
        <v>79</v>
      </c>
      <c r="AQ205" s="146">
        <f t="shared" si="3"/>
        <v>395</v>
      </c>
    </row>
    <row r="206" spans="1:43">
      <c r="A206" s="146" t="s">
        <v>1056</v>
      </c>
      <c r="B206" s="146" t="s">
        <v>991</v>
      </c>
      <c r="C206" s="146" t="s">
        <v>1014</v>
      </c>
      <c r="D206" s="146" t="s">
        <v>1014</v>
      </c>
      <c r="E206" s="146" t="s">
        <v>842</v>
      </c>
      <c r="Q206" s="481"/>
      <c r="R206" s="478"/>
      <c r="S206" s="479"/>
      <c r="T206" s="477"/>
      <c r="U206" s="479"/>
      <c r="V206" s="146">
        <v>7099</v>
      </c>
      <c r="W206" s="146">
        <v>866</v>
      </c>
      <c r="X206" s="146">
        <v>7965</v>
      </c>
      <c r="Y206" s="146">
        <v>0.73</v>
      </c>
      <c r="Z206" s="146">
        <v>0.31390000000000001</v>
      </c>
      <c r="AG206" s="146">
        <v>5814</v>
      </c>
      <c r="AH206" s="146">
        <v>2500</v>
      </c>
      <c r="AI206" s="146">
        <v>0</v>
      </c>
      <c r="AJ206" s="146">
        <v>0</v>
      </c>
      <c r="AK206" s="146">
        <v>0</v>
      </c>
      <c r="AL206" s="146">
        <v>0</v>
      </c>
      <c r="AM206" s="146">
        <v>5182</v>
      </c>
      <c r="AN206" s="146" t="s">
        <v>1014</v>
      </c>
      <c r="AO206" s="146">
        <v>1.37</v>
      </c>
      <c r="AP206" s="146">
        <v>5182</v>
      </c>
      <c r="AQ206" s="146">
        <v>29075</v>
      </c>
    </row>
    <row r="207" spans="1:43">
      <c r="A207" s="146" t="s">
        <v>1056</v>
      </c>
      <c r="B207" s="146" t="s">
        <v>991</v>
      </c>
      <c r="C207" s="146" t="s">
        <v>1015</v>
      </c>
      <c r="D207" s="146" t="s">
        <v>1015</v>
      </c>
      <c r="E207" s="146" t="s">
        <v>854</v>
      </c>
      <c r="Q207" s="481"/>
      <c r="R207" s="478"/>
      <c r="S207" s="479"/>
      <c r="T207" s="146">
        <v>935</v>
      </c>
      <c r="U207" s="479">
        <v>53</v>
      </c>
      <c r="V207" s="146">
        <v>496</v>
      </c>
      <c r="W207" s="146">
        <v>0</v>
      </c>
      <c r="X207" s="146">
        <v>496</v>
      </c>
      <c r="Y207" s="146">
        <v>0.5</v>
      </c>
      <c r="Z207" s="146">
        <v>0.215</v>
      </c>
      <c r="AB207" s="146" t="s">
        <v>1016</v>
      </c>
      <c r="AG207" s="146">
        <v>248</v>
      </c>
      <c r="AH207" s="146">
        <v>107</v>
      </c>
      <c r="AI207" s="146">
        <v>0</v>
      </c>
      <c r="AJ207" s="146">
        <v>0</v>
      </c>
      <c r="AK207" s="146">
        <v>0</v>
      </c>
      <c r="AL207" s="146">
        <v>468</v>
      </c>
      <c r="AM207" s="146">
        <v>248</v>
      </c>
      <c r="AQ207" s="146">
        <f t="shared" si="3"/>
        <v>1244</v>
      </c>
    </row>
    <row r="208" spans="1:43">
      <c r="A208" s="146" t="s">
        <v>1056</v>
      </c>
      <c r="B208" s="146" t="s">
        <v>1017</v>
      </c>
      <c r="C208" s="146" t="s">
        <v>1018</v>
      </c>
      <c r="D208" s="146" t="s">
        <v>1019</v>
      </c>
      <c r="E208" s="146" t="s">
        <v>842</v>
      </c>
      <c r="J208" s="146" t="s">
        <v>1020</v>
      </c>
      <c r="K208" s="146">
        <v>18.026</v>
      </c>
      <c r="L208" s="146" t="s">
        <v>1021</v>
      </c>
      <c r="M208" s="146" t="s">
        <v>1022</v>
      </c>
      <c r="N208" s="146">
        <v>4.9000000000000004</v>
      </c>
      <c r="O208" s="146" t="s">
        <v>1023</v>
      </c>
      <c r="P208" s="477">
        <v>88</v>
      </c>
      <c r="Q208" s="478">
        <v>0</v>
      </c>
      <c r="R208" s="478">
        <v>88</v>
      </c>
      <c r="S208" s="479">
        <v>100</v>
      </c>
      <c r="T208" s="146">
        <v>0</v>
      </c>
      <c r="U208" s="479">
        <v>50</v>
      </c>
      <c r="V208" s="146">
        <v>0</v>
      </c>
      <c r="W208" s="146">
        <v>0</v>
      </c>
      <c r="X208" s="146">
        <v>0</v>
      </c>
      <c r="Y208" s="146">
        <v>0.38</v>
      </c>
      <c r="Z208" s="146">
        <v>0.2979</v>
      </c>
      <c r="AA208" s="146">
        <v>350</v>
      </c>
      <c r="AB208" s="146" t="s">
        <v>974</v>
      </c>
      <c r="AC208" s="146" t="s">
        <v>975</v>
      </c>
      <c r="AG208" s="146">
        <v>0</v>
      </c>
      <c r="AH208" s="146">
        <v>0</v>
      </c>
      <c r="AI208" s="146">
        <v>0</v>
      </c>
      <c r="AJ208" s="146">
        <v>33</v>
      </c>
      <c r="AK208" s="146">
        <v>33</v>
      </c>
      <c r="AL208" s="146">
        <v>0</v>
      </c>
      <c r="AM208" s="146">
        <v>0</v>
      </c>
      <c r="AQ208" s="146">
        <f t="shared" si="3"/>
        <v>0</v>
      </c>
    </row>
    <row r="209" spans="1:43">
      <c r="A209" s="146" t="s">
        <v>1056</v>
      </c>
      <c r="B209" s="146" t="s">
        <v>1017</v>
      </c>
      <c r="C209" s="146" t="s">
        <v>1024</v>
      </c>
      <c r="D209" s="146" t="s">
        <v>1025</v>
      </c>
      <c r="E209" s="146" t="s">
        <v>842</v>
      </c>
      <c r="J209" s="146" t="s">
        <v>1020</v>
      </c>
      <c r="K209" s="146">
        <v>21.35</v>
      </c>
      <c r="L209" s="146" t="s">
        <v>1021</v>
      </c>
      <c r="M209" s="146" t="s">
        <v>1022</v>
      </c>
      <c r="N209" s="146">
        <v>10</v>
      </c>
      <c r="O209" s="146" t="s">
        <v>1023</v>
      </c>
      <c r="P209" s="477">
        <v>214</v>
      </c>
      <c r="Q209" s="478">
        <v>0</v>
      </c>
      <c r="R209" s="478">
        <v>214</v>
      </c>
      <c r="S209" s="479">
        <v>100</v>
      </c>
      <c r="T209" s="146">
        <v>0</v>
      </c>
      <c r="U209" s="479">
        <v>80</v>
      </c>
      <c r="V209" s="146">
        <v>0</v>
      </c>
      <c r="W209" s="146">
        <v>0</v>
      </c>
      <c r="X209" s="146">
        <v>0</v>
      </c>
      <c r="Y209" s="146">
        <v>0.9</v>
      </c>
      <c r="Z209" s="146">
        <v>0.25540000000000002</v>
      </c>
      <c r="AA209" s="146">
        <v>300</v>
      </c>
      <c r="AB209" s="146" t="s">
        <v>974</v>
      </c>
      <c r="AC209" s="146" t="s">
        <v>975</v>
      </c>
      <c r="AG209" s="146">
        <v>0</v>
      </c>
      <c r="AH209" s="146">
        <v>0</v>
      </c>
      <c r="AI209" s="146">
        <v>0</v>
      </c>
      <c r="AJ209" s="146">
        <v>193</v>
      </c>
      <c r="AK209" s="146">
        <v>193</v>
      </c>
      <c r="AL209" s="146">
        <v>0</v>
      </c>
      <c r="AM209" s="146">
        <v>0</v>
      </c>
      <c r="AQ209" s="146">
        <v>0</v>
      </c>
    </row>
    <row r="210" spans="1:43">
      <c r="A210" s="146" t="s">
        <v>1056</v>
      </c>
      <c r="B210" s="146" t="s">
        <v>1017</v>
      </c>
      <c r="C210" s="146" t="s">
        <v>1024</v>
      </c>
      <c r="D210" s="146" t="s">
        <v>1026</v>
      </c>
      <c r="E210" s="146" t="s">
        <v>842</v>
      </c>
      <c r="J210" s="146" t="s">
        <v>1020</v>
      </c>
      <c r="K210" s="146">
        <v>38.677</v>
      </c>
      <c r="L210" s="146" t="s">
        <v>1021</v>
      </c>
      <c r="M210" s="146" t="s">
        <v>1022</v>
      </c>
      <c r="N210" s="146">
        <v>7</v>
      </c>
      <c r="O210" s="146" t="s">
        <v>1023</v>
      </c>
      <c r="P210" s="477">
        <v>271</v>
      </c>
      <c r="Q210" s="478">
        <v>0</v>
      </c>
      <c r="R210" s="478">
        <v>271</v>
      </c>
      <c r="S210" s="479">
        <v>100</v>
      </c>
      <c r="T210" s="146">
        <v>0</v>
      </c>
      <c r="U210" s="479">
        <v>80</v>
      </c>
      <c r="V210" s="146">
        <v>0</v>
      </c>
      <c r="W210" s="146">
        <v>0</v>
      </c>
      <c r="X210" s="146">
        <v>0</v>
      </c>
      <c r="Y210" s="146">
        <v>0.1</v>
      </c>
      <c r="Z210" s="146">
        <v>0.34050000000000002</v>
      </c>
      <c r="AA210" s="146">
        <v>400</v>
      </c>
      <c r="AB210" s="146" t="s">
        <v>974</v>
      </c>
      <c r="AC210" s="146" t="s">
        <v>975</v>
      </c>
      <c r="AG210" s="146">
        <v>0</v>
      </c>
      <c r="AH210" s="146">
        <v>0</v>
      </c>
      <c r="AI210" s="146">
        <v>0</v>
      </c>
      <c r="AJ210" s="146">
        <v>27</v>
      </c>
      <c r="AK210" s="146">
        <v>27</v>
      </c>
      <c r="AL210" s="146">
        <v>0</v>
      </c>
      <c r="AM210" s="146">
        <v>0</v>
      </c>
      <c r="AQ210" s="146">
        <v>0</v>
      </c>
    </row>
    <row r="211" spans="1:43">
      <c r="A211" s="146" t="s">
        <v>1056</v>
      </c>
      <c r="B211" s="146" t="s">
        <v>1017</v>
      </c>
      <c r="C211" s="146" t="s">
        <v>1024</v>
      </c>
      <c r="D211" s="146" t="s">
        <v>1027</v>
      </c>
      <c r="E211" s="146" t="s">
        <v>842</v>
      </c>
      <c r="J211" s="146" t="s">
        <v>1020</v>
      </c>
      <c r="K211" s="146">
        <v>7.516</v>
      </c>
      <c r="L211" s="146" t="s">
        <v>1021</v>
      </c>
      <c r="M211" s="146" t="s">
        <v>1022</v>
      </c>
      <c r="N211" s="146">
        <v>2000</v>
      </c>
      <c r="O211" s="146" t="s">
        <v>1023</v>
      </c>
      <c r="P211" s="477">
        <v>15032</v>
      </c>
      <c r="Q211" s="478">
        <v>0</v>
      </c>
      <c r="R211" s="478">
        <v>15032</v>
      </c>
      <c r="S211" s="479">
        <v>100</v>
      </c>
      <c r="T211" s="146">
        <v>0</v>
      </c>
      <c r="U211" s="479">
        <v>80</v>
      </c>
      <c r="V211" s="146">
        <v>0</v>
      </c>
      <c r="W211" s="146">
        <v>0</v>
      </c>
      <c r="X211" s="146">
        <v>0</v>
      </c>
      <c r="Y211" s="146">
        <v>0.11</v>
      </c>
      <c r="Z211" s="146">
        <v>0.28089999999999998</v>
      </c>
      <c r="AA211" s="146">
        <v>330</v>
      </c>
      <c r="AB211" s="146" t="s">
        <v>974</v>
      </c>
      <c r="AC211" s="146" t="s">
        <v>975</v>
      </c>
      <c r="AG211" s="146">
        <v>0</v>
      </c>
      <c r="AH211" s="146">
        <v>0</v>
      </c>
      <c r="AI211" s="146">
        <v>0</v>
      </c>
      <c r="AJ211" s="146">
        <v>1654</v>
      </c>
      <c r="AK211" s="146">
        <v>1654</v>
      </c>
      <c r="AL211" s="146">
        <v>0</v>
      </c>
      <c r="AM211" s="146">
        <v>0</v>
      </c>
      <c r="AQ211" s="146">
        <f t="shared" si="3"/>
        <v>0</v>
      </c>
    </row>
    <row r="212" spans="1:43">
      <c r="A212" s="146" t="s">
        <v>1056</v>
      </c>
      <c r="B212" s="146" t="s">
        <v>1017</v>
      </c>
      <c r="C212" s="146" t="s">
        <v>1028</v>
      </c>
      <c r="D212" s="146" t="s">
        <v>1029</v>
      </c>
      <c r="E212" s="146" t="s">
        <v>842</v>
      </c>
      <c r="J212" s="146" t="s">
        <v>1020</v>
      </c>
      <c r="K212" s="146">
        <v>4.2160000000000002</v>
      </c>
      <c r="L212" s="146" t="s">
        <v>1021</v>
      </c>
      <c r="M212" s="146" t="s">
        <v>1022</v>
      </c>
      <c r="N212" s="146">
        <v>59</v>
      </c>
      <c r="O212" s="146" t="s">
        <v>1023</v>
      </c>
      <c r="P212" s="477">
        <v>249</v>
      </c>
      <c r="Q212" s="478">
        <v>0</v>
      </c>
      <c r="R212" s="478">
        <v>249</v>
      </c>
      <c r="S212" s="479">
        <v>90</v>
      </c>
      <c r="T212" s="146">
        <v>25</v>
      </c>
      <c r="U212" s="479">
        <v>50</v>
      </c>
      <c r="V212" s="146">
        <v>12</v>
      </c>
      <c r="W212" s="146">
        <v>0</v>
      </c>
      <c r="X212" s="146">
        <v>12</v>
      </c>
      <c r="Y212" s="146">
        <v>0.22</v>
      </c>
      <c r="Z212" s="146">
        <v>0.2979</v>
      </c>
      <c r="AA212" s="146">
        <v>350</v>
      </c>
      <c r="AB212" s="146" t="s">
        <v>974</v>
      </c>
      <c r="AC212" s="146" t="s">
        <v>975</v>
      </c>
      <c r="AG212" s="146">
        <v>3</v>
      </c>
      <c r="AH212" s="146">
        <v>4</v>
      </c>
      <c r="AI212" s="146">
        <v>4200</v>
      </c>
      <c r="AJ212" s="146">
        <v>55</v>
      </c>
      <c r="AK212" s="146">
        <v>55</v>
      </c>
      <c r="AL212" s="146">
        <v>6</v>
      </c>
      <c r="AM212" s="146">
        <v>3</v>
      </c>
      <c r="AQ212" s="146">
        <f t="shared" si="3"/>
        <v>47</v>
      </c>
    </row>
    <row r="213" spans="1:43">
      <c r="A213" s="146" t="s">
        <v>1056</v>
      </c>
      <c r="B213" s="146" t="s">
        <v>1017</v>
      </c>
      <c r="C213" s="146" t="s">
        <v>1028</v>
      </c>
      <c r="D213" s="146" t="s">
        <v>1030</v>
      </c>
      <c r="E213" s="146" t="s">
        <v>842</v>
      </c>
      <c r="J213" s="146" t="s">
        <v>1020</v>
      </c>
      <c r="K213" s="146">
        <v>8.0429999999999993</v>
      </c>
      <c r="L213" s="146" t="s">
        <v>1021</v>
      </c>
      <c r="M213" s="146" t="s">
        <v>1022</v>
      </c>
      <c r="N213" s="146">
        <v>12.3</v>
      </c>
      <c r="O213" s="146" t="s">
        <v>1023</v>
      </c>
      <c r="P213" s="477">
        <v>99</v>
      </c>
      <c r="Q213" s="478">
        <v>0</v>
      </c>
      <c r="R213" s="478">
        <v>99</v>
      </c>
      <c r="S213" s="479">
        <v>90</v>
      </c>
      <c r="T213" s="146">
        <v>10</v>
      </c>
      <c r="U213" s="479">
        <v>50</v>
      </c>
      <c r="V213" s="146">
        <v>5</v>
      </c>
      <c r="W213" s="146">
        <v>0</v>
      </c>
      <c r="X213" s="146">
        <v>5</v>
      </c>
      <c r="Y213" s="146">
        <v>0.18</v>
      </c>
      <c r="Z213" s="146">
        <v>0.25540000000000002</v>
      </c>
      <c r="AA213" s="146">
        <v>300</v>
      </c>
      <c r="AB213" s="146" t="s">
        <v>974</v>
      </c>
      <c r="AC213" s="146" t="s">
        <v>975</v>
      </c>
      <c r="AG213" s="146">
        <v>1</v>
      </c>
      <c r="AH213" s="146">
        <v>1</v>
      </c>
      <c r="AI213" s="146">
        <v>1500</v>
      </c>
      <c r="AJ213" s="146">
        <v>18</v>
      </c>
      <c r="AK213" s="146">
        <v>18</v>
      </c>
      <c r="AL213" s="146">
        <v>2</v>
      </c>
      <c r="AM213" s="146">
        <v>1</v>
      </c>
      <c r="AQ213" s="146">
        <f t="shared" si="3"/>
        <v>12</v>
      </c>
    </row>
    <row r="214" spans="1:43">
      <c r="A214" s="146" t="s">
        <v>1056</v>
      </c>
      <c r="B214" s="146" t="s">
        <v>1017</v>
      </c>
      <c r="C214" s="146" t="s">
        <v>1028</v>
      </c>
      <c r="D214" s="146" t="s">
        <v>1031</v>
      </c>
      <c r="E214" s="146" t="s">
        <v>842</v>
      </c>
      <c r="J214" s="146" t="s">
        <v>1020</v>
      </c>
      <c r="K214" s="146">
        <v>0.45700000000000002</v>
      </c>
      <c r="L214" s="146" t="s">
        <v>1021</v>
      </c>
      <c r="M214" s="146" t="s">
        <v>1022</v>
      </c>
      <c r="N214" s="146">
        <v>12.3</v>
      </c>
      <c r="O214" s="146" t="s">
        <v>1023</v>
      </c>
      <c r="P214" s="477">
        <v>6</v>
      </c>
      <c r="Q214" s="478">
        <v>0</v>
      </c>
      <c r="R214" s="478">
        <v>6</v>
      </c>
      <c r="S214" s="479">
        <v>90</v>
      </c>
      <c r="T214" s="146">
        <v>1</v>
      </c>
      <c r="U214" s="479">
        <v>50</v>
      </c>
      <c r="V214" s="146">
        <v>0</v>
      </c>
      <c r="W214" s="146">
        <v>0</v>
      </c>
      <c r="X214" s="146">
        <v>0</v>
      </c>
      <c r="Y214" s="146">
        <v>0.18</v>
      </c>
      <c r="Z214" s="146">
        <v>0.25540000000000002</v>
      </c>
      <c r="AA214" s="146">
        <v>300</v>
      </c>
      <c r="AB214" s="146" t="s">
        <v>974</v>
      </c>
      <c r="AC214" s="146" t="s">
        <v>975</v>
      </c>
      <c r="AG214" s="146">
        <v>0</v>
      </c>
      <c r="AH214" s="146">
        <v>0</v>
      </c>
      <c r="AI214" s="146">
        <v>0</v>
      </c>
      <c r="AJ214" s="146">
        <v>1</v>
      </c>
      <c r="AK214" s="146">
        <v>1</v>
      </c>
      <c r="AL214" s="146">
        <v>0</v>
      </c>
      <c r="AM214" s="146">
        <v>0</v>
      </c>
      <c r="AQ214" s="146">
        <f t="shared" si="3"/>
        <v>0</v>
      </c>
    </row>
    <row r="215" spans="1:43">
      <c r="A215" s="146" t="s">
        <v>1056</v>
      </c>
      <c r="B215" s="146" t="s">
        <v>1017</v>
      </c>
      <c r="C215" s="146" t="s">
        <v>1028</v>
      </c>
      <c r="D215" s="146" t="s">
        <v>1032</v>
      </c>
      <c r="E215" s="146" t="s">
        <v>842</v>
      </c>
      <c r="J215" s="146" t="s">
        <v>1020</v>
      </c>
      <c r="K215" s="146">
        <v>0.58499999999999996</v>
      </c>
      <c r="L215" s="146" t="s">
        <v>1021</v>
      </c>
      <c r="M215" s="146" t="s">
        <v>1022</v>
      </c>
      <c r="N215" s="146">
        <v>130.5</v>
      </c>
      <c r="O215" s="146" t="s">
        <v>1023</v>
      </c>
      <c r="P215" s="477">
        <v>76</v>
      </c>
      <c r="Q215" s="478">
        <v>0</v>
      </c>
      <c r="R215" s="478">
        <v>76</v>
      </c>
      <c r="S215" s="479">
        <v>90</v>
      </c>
      <c r="T215" s="146">
        <v>8</v>
      </c>
      <c r="U215" s="479">
        <v>50</v>
      </c>
      <c r="V215" s="146">
        <v>4</v>
      </c>
      <c r="W215" s="146">
        <v>0</v>
      </c>
      <c r="X215" s="146">
        <v>4</v>
      </c>
      <c r="Y215" s="146">
        <v>0.97</v>
      </c>
      <c r="Z215" s="146">
        <v>0.2979</v>
      </c>
      <c r="AA215" s="146">
        <v>350</v>
      </c>
      <c r="AB215" s="146" t="s">
        <v>974</v>
      </c>
      <c r="AC215" s="146" t="s">
        <v>975</v>
      </c>
      <c r="AG215" s="146">
        <v>4</v>
      </c>
      <c r="AH215" s="146">
        <v>1</v>
      </c>
      <c r="AI215" s="146">
        <v>1400</v>
      </c>
      <c r="AJ215" s="146">
        <v>74</v>
      </c>
      <c r="AK215" s="146">
        <v>74</v>
      </c>
      <c r="AL215" s="146">
        <v>8</v>
      </c>
      <c r="AM215" s="146">
        <v>4</v>
      </c>
      <c r="AQ215" s="146">
        <f t="shared" si="3"/>
        <v>12</v>
      </c>
    </row>
    <row r="216" spans="1:43">
      <c r="A216" s="146" t="s">
        <v>1056</v>
      </c>
      <c r="B216" s="146" t="s">
        <v>1017</v>
      </c>
      <c r="C216" s="146" t="s">
        <v>1028</v>
      </c>
      <c r="D216" s="146" t="s">
        <v>1033</v>
      </c>
      <c r="E216" s="146" t="s">
        <v>842</v>
      </c>
      <c r="J216" s="146" t="s">
        <v>1020</v>
      </c>
      <c r="K216" s="146">
        <v>0.47199999999999998</v>
      </c>
      <c r="L216" s="146" t="s">
        <v>1021</v>
      </c>
      <c r="M216" s="146" t="s">
        <v>1022</v>
      </c>
      <c r="N216" s="146">
        <v>284.3</v>
      </c>
      <c r="O216" s="146" t="s">
        <v>1023</v>
      </c>
      <c r="P216" s="477">
        <v>134</v>
      </c>
      <c r="Q216" s="478">
        <v>0</v>
      </c>
      <c r="R216" s="478">
        <v>134</v>
      </c>
      <c r="S216" s="479">
        <v>90</v>
      </c>
      <c r="T216" s="146">
        <v>13</v>
      </c>
      <c r="U216" s="479">
        <v>50</v>
      </c>
      <c r="V216" s="146">
        <v>6</v>
      </c>
      <c r="W216" s="146">
        <v>0</v>
      </c>
      <c r="X216" s="146">
        <v>6</v>
      </c>
      <c r="Y216" s="146">
        <v>0.14000000000000001</v>
      </c>
      <c r="Z216" s="146">
        <v>0.2979</v>
      </c>
      <c r="AA216" s="146">
        <v>350</v>
      </c>
      <c r="AB216" s="146" t="s">
        <v>974</v>
      </c>
      <c r="AC216" s="146" t="s">
        <v>975</v>
      </c>
      <c r="AG216" s="146">
        <v>1</v>
      </c>
      <c r="AH216" s="146">
        <v>2</v>
      </c>
      <c r="AI216" s="146">
        <v>2100</v>
      </c>
      <c r="AJ216" s="146">
        <v>19</v>
      </c>
      <c r="AK216" s="146">
        <v>19</v>
      </c>
      <c r="AL216" s="146">
        <v>2</v>
      </c>
      <c r="AM216" s="146">
        <v>1</v>
      </c>
      <c r="AQ216" s="146">
        <f t="shared" si="3"/>
        <v>23</v>
      </c>
    </row>
    <row r="217" spans="1:43">
      <c r="A217" s="146" t="s">
        <v>1056</v>
      </c>
      <c r="B217" s="146" t="s">
        <v>1017</v>
      </c>
      <c r="C217" s="146" t="s">
        <v>1028</v>
      </c>
      <c r="D217" s="146" t="s">
        <v>1034</v>
      </c>
      <c r="E217" s="146" t="s">
        <v>842</v>
      </c>
      <c r="J217" s="146" t="s">
        <v>1020</v>
      </c>
      <c r="K217" s="146">
        <v>7.8280000000000003</v>
      </c>
      <c r="L217" s="146" t="s">
        <v>1021</v>
      </c>
      <c r="M217" s="146" t="s">
        <v>1022</v>
      </c>
      <c r="N217" s="146">
        <v>142.1</v>
      </c>
      <c r="O217" s="146" t="s">
        <v>1023</v>
      </c>
      <c r="P217" s="477">
        <v>1112</v>
      </c>
      <c r="Q217" s="478">
        <v>0</v>
      </c>
      <c r="R217" s="478">
        <v>1112</v>
      </c>
      <c r="S217" s="479">
        <v>90</v>
      </c>
      <c r="T217" s="146">
        <v>111</v>
      </c>
      <c r="U217" s="479">
        <v>50</v>
      </c>
      <c r="V217" s="146">
        <v>56</v>
      </c>
      <c r="W217" s="146">
        <v>0</v>
      </c>
      <c r="X217" s="146">
        <v>56</v>
      </c>
      <c r="Y217" s="146">
        <v>0.75</v>
      </c>
      <c r="Z217" s="146">
        <v>0.2979</v>
      </c>
      <c r="AA217" s="146">
        <v>350</v>
      </c>
      <c r="AB217" s="146" t="s">
        <v>974</v>
      </c>
      <c r="AC217" s="146" t="s">
        <v>975</v>
      </c>
      <c r="AG217" s="146">
        <v>42</v>
      </c>
      <c r="AH217" s="146">
        <v>17</v>
      </c>
      <c r="AI217" s="146">
        <v>19600</v>
      </c>
      <c r="AJ217" s="146">
        <v>834</v>
      </c>
      <c r="AK217" s="146">
        <v>834</v>
      </c>
      <c r="AL217" s="146">
        <v>83</v>
      </c>
      <c r="AM217" s="146">
        <v>42</v>
      </c>
      <c r="AQ217" s="146">
        <f t="shared" si="3"/>
        <v>198</v>
      </c>
    </row>
    <row r="218" spans="1:43">
      <c r="A218" s="146" t="s">
        <v>1056</v>
      </c>
      <c r="B218" s="146" t="s">
        <v>1017</v>
      </c>
      <c r="C218" s="146" t="s">
        <v>1028</v>
      </c>
      <c r="D218" s="146" t="s">
        <v>1035</v>
      </c>
      <c r="E218" s="146" t="s">
        <v>842</v>
      </c>
      <c r="J218" s="146" t="s">
        <v>1020</v>
      </c>
      <c r="K218" s="146">
        <v>5.0529999999999999</v>
      </c>
      <c r="L218" s="146" t="s">
        <v>1021</v>
      </c>
      <c r="M218" s="146" t="s">
        <v>1022</v>
      </c>
      <c r="N218" s="146">
        <v>142.1</v>
      </c>
      <c r="O218" s="146" t="s">
        <v>1023</v>
      </c>
      <c r="P218" s="477">
        <v>718</v>
      </c>
      <c r="Q218" s="478">
        <v>0</v>
      </c>
      <c r="R218" s="478">
        <v>718</v>
      </c>
      <c r="S218" s="479">
        <v>90</v>
      </c>
      <c r="T218" s="146">
        <v>72</v>
      </c>
      <c r="U218" s="479">
        <v>50</v>
      </c>
      <c r="V218" s="146">
        <v>36</v>
      </c>
      <c r="W218" s="146">
        <v>0</v>
      </c>
      <c r="X218" s="146">
        <v>36</v>
      </c>
      <c r="Y218" s="146">
        <v>0.45</v>
      </c>
      <c r="Z218" s="146">
        <v>0.2979</v>
      </c>
      <c r="AA218" s="146">
        <v>350</v>
      </c>
      <c r="AB218" s="146" t="s">
        <v>974</v>
      </c>
      <c r="AC218" s="146" t="s">
        <v>975</v>
      </c>
      <c r="AG218" s="146">
        <v>16</v>
      </c>
      <c r="AH218" s="146">
        <v>11</v>
      </c>
      <c r="AI218" s="146">
        <v>12600</v>
      </c>
      <c r="AJ218" s="146">
        <v>323</v>
      </c>
      <c r="AK218" s="146">
        <v>323</v>
      </c>
      <c r="AL218" s="146">
        <v>32</v>
      </c>
      <c r="AM218" s="146">
        <v>16</v>
      </c>
      <c r="AQ218" s="146">
        <f t="shared" si="3"/>
        <v>128</v>
      </c>
    </row>
    <row r="219" spans="1:43">
      <c r="A219" s="146" t="s">
        <v>1056</v>
      </c>
      <c r="B219" s="146" t="s">
        <v>1017</v>
      </c>
      <c r="C219" s="146" t="s">
        <v>1036</v>
      </c>
      <c r="D219" s="146" t="s">
        <v>1037</v>
      </c>
      <c r="E219" s="146" t="s">
        <v>842</v>
      </c>
      <c r="J219" s="146" t="s">
        <v>1020</v>
      </c>
      <c r="K219" s="146">
        <v>46.323999999999998</v>
      </c>
      <c r="L219" s="146" t="s">
        <v>1021</v>
      </c>
      <c r="M219" s="146" t="s">
        <v>1022</v>
      </c>
      <c r="N219" s="146">
        <v>0.9</v>
      </c>
      <c r="O219" s="146" t="s">
        <v>1023</v>
      </c>
      <c r="P219" s="477">
        <v>42</v>
      </c>
      <c r="Q219" s="478">
        <v>0</v>
      </c>
      <c r="R219" s="478">
        <v>42</v>
      </c>
      <c r="S219" s="479">
        <v>100</v>
      </c>
      <c r="T219" s="146">
        <v>0</v>
      </c>
      <c r="U219" s="479">
        <v>50</v>
      </c>
      <c r="V219" s="146">
        <v>0</v>
      </c>
      <c r="W219" s="146">
        <v>0</v>
      </c>
      <c r="X219" s="146">
        <v>0</v>
      </c>
      <c r="Y219" s="146">
        <v>0.6</v>
      </c>
      <c r="Z219" s="146">
        <v>0.21279999999999999</v>
      </c>
      <c r="AA219" s="146">
        <v>250</v>
      </c>
      <c r="AB219" s="146" t="s">
        <v>974</v>
      </c>
      <c r="AC219" s="146" t="s">
        <v>975</v>
      </c>
      <c r="AG219" s="146">
        <v>0</v>
      </c>
      <c r="AH219" s="146">
        <v>0</v>
      </c>
      <c r="AI219" s="146">
        <v>0</v>
      </c>
      <c r="AJ219" s="146">
        <v>25</v>
      </c>
      <c r="AK219" s="146">
        <v>25</v>
      </c>
      <c r="AL219" s="146">
        <v>0</v>
      </c>
      <c r="AM219" s="146">
        <v>0</v>
      </c>
      <c r="AQ219" s="146">
        <f t="shared" si="3"/>
        <v>0</v>
      </c>
    </row>
    <row r="220" spans="1:43">
      <c r="A220" s="146" t="s">
        <v>1056</v>
      </c>
      <c r="B220" s="146" t="s">
        <v>1017</v>
      </c>
      <c r="C220" s="146" t="s">
        <v>1038</v>
      </c>
      <c r="D220" s="146" t="s">
        <v>1039</v>
      </c>
      <c r="E220" s="146" t="s">
        <v>842</v>
      </c>
      <c r="J220" s="146" t="s">
        <v>1020</v>
      </c>
      <c r="K220" s="146">
        <v>2.8239999999999998</v>
      </c>
      <c r="L220" s="146" t="s">
        <v>1021</v>
      </c>
      <c r="M220" s="146" t="s">
        <v>1022</v>
      </c>
      <c r="N220" s="146">
        <v>5.2</v>
      </c>
      <c r="O220" s="146" t="s">
        <v>1023</v>
      </c>
      <c r="P220" s="477">
        <v>15</v>
      </c>
      <c r="Q220" s="478">
        <v>0</v>
      </c>
      <c r="R220" s="478">
        <v>15</v>
      </c>
      <c r="S220" s="479">
        <v>100</v>
      </c>
      <c r="T220" s="146">
        <v>0</v>
      </c>
      <c r="U220" s="479">
        <v>5</v>
      </c>
      <c r="V220" s="146">
        <v>0</v>
      </c>
      <c r="W220" s="146">
        <v>0</v>
      </c>
      <c r="X220" s="146">
        <v>0</v>
      </c>
      <c r="Y220" s="146">
        <v>0.87</v>
      </c>
      <c r="Z220" s="146">
        <v>0.25540000000000002</v>
      </c>
      <c r="AA220" s="146">
        <v>300</v>
      </c>
      <c r="AB220" s="146" t="s">
        <v>974</v>
      </c>
      <c r="AC220" s="146" t="s">
        <v>975</v>
      </c>
      <c r="AG220" s="146">
        <v>0</v>
      </c>
      <c r="AH220" s="146">
        <v>0</v>
      </c>
      <c r="AI220" s="146">
        <v>0</v>
      </c>
      <c r="AJ220" s="146">
        <v>13</v>
      </c>
      <c r="AK220" s="146">
        <v>13</v>
      </c>
      <c r="AL220" s="146">
        <v>0</v>
      </c>
      <c r="AM220" s="146">
        <v>0</v>
      </c>
      <c r="AQ220" s="146">
        <f t="shared" si="3"/>
        <v>0</v>
      </c>
    </row>
    <row r="221" spans="1:43">
      <c r="A221" s="146" t="s">
        <v>1056</v>
      </c>
      <c r="B221" s="146" t="s">
        <v>1017</v>
      </c>
      <c r="C221" s="146" t="s">
        <v>1040</v>
      </c>
      <c r="D221" s="146" t="s">
        <v>1041</v>
      </c>
      <c r="E221" s="146" t="s">
        <v>842</v>
      </c>
      <c r="J221" s="146" t="s">
        <v>1020</v>
      </c>
      <c r="K221" s="146">
        <v>6.3280000000000003</v>
      </c>
      <c r="L221" s="146" t="s">
        <v>1021</v>
      </c>
      <c r="M221" s="146" t="s">
        <v>1022</v>
      </c>
      <c r="N221" s="146">
        <v>8</v>
      </c>
      <c r="O221" s="146" t="s">
        <v>1023</v>
      </c>
      <c r="P221" s="477">
        <v>51</v>
      </c>
      <c r="Q221" s="478">
        <v>0</v>
      </c>
      <c r="R221" s="478">
        <v>51</v>
      </c>
      <c r="S221" s="479">
        <v>100</v>
      </c>
      <c r="T221" s="146">
        <v>0</v>
      </c>
      <c r="U221" s="479">
        <v>80</v>
      </c>
      <c r="V221" s="146">
        <v>0</v>
      </c>
      <c r="W221" s="146">
        <v>0</v>
      </c>
      <c r="X221" s="146">
        <v>0</v>
      </c>
      <c r="Y221" s="146">
        <v>0.35</v>
      </c>
      <c r="Z221" s="146">
        <v>0.34050000000000002</v>
      </c>
      <c r="AA221" s="146">
        <v>400</v>
      </c>
      <c r="AB221" s="146" t="s">
        <v>974</v>
      </c>
      <c r="AC221" s="146" t="s">
        <v>975</v>
      </c>
      <c r="AG221" s="146">
        <v>0</v>
      </c>
      <c r="AH221" s="146">
        <v>0</v>
      </c>
      <c r="AI221" s="146">
        <v>0</v>
      </c>
      <c r="AJ221" s="146">
        <v>18</v>
      </c>
      <c r="AK221" s="146">
        <v>18</v>
      </c>
      <c r="AL221" s="146">
        <v>0</v>
      </c>
      <c r="AM221" s="146">
        <v>0</v>
      </c>
      <c r="AQ221" s="146">
        <f t="shared" si="3"/>
        <v>0</v>
      </c>
    </row>
    <row r="222" spans="1:43">
      <c r="A222" s="146" t="s">
        <v>1056</v>
      </c>
      <c r="B222" s="146" t="s">
        <v>1017</v>
      </c>
      <c r="C222" s="146" t="s">
        <v>1040</v>
      </c>
      <c r="D222" s="146" t="s">
        <v>1042</v>
      </c>
      <c r="E222" s="146" t="s">
        <v>842</v>
      </c>
      <c r="J222" s="146" t="s">
        <v>1020</v>
      </c>
      <c r="K222" s="146">
        <v>2.0499999999999998</v>
      </c>
      <c r="L222" s="146" t="s">
        <v>1021</v>
      </c>
      <c r="M222" s="146" t="s">
        <v>1022</v>
      </c>
      <c r="N222" s="146">
        <v>27</v>
      </c>
      <c r="O222" s="146" t="s">
        <v>1023</v>
      </c>
      <c r="P222" s="477">
        <v>55</v>
      </c>
      <c r="Q222" s="478">
        <v>0</v>
      </c>
      <c r="R222" s="478">
        <v>55</v>
      </c>
      <c r="S222" s="479">
        <v>100</v>
      </c>
      <c r="T222" s="146">
        <v>0</v>
      </c>
      <c r="U222" s="479">
        <v>80</v>
      </c>
      <c r="V222" s="146">
        <v>0</v>
      </c>
      <c r="W222" s="146">
        <v>0</v>
      </c>
      <c r="X222" s="146">
        <v>0</v>
      </c>
      <c r="Y222" s="146">
        <v>0.16</v>
      </c>
      <c r="Z222" s="146">
        <v>0.34050000000000002</v>
      </c>
      <c r="AA222" s="146">
        <v>400</v>
      </c>
      <c r="AB222" s="146" t="s">
        <v>974</v>
      </c>
      <c r="AC222" s="146" t="s">
        <v>975</v>
      </c>
      <c r="AG222" s="146">
        <v>0</v>
      </c>
      <c r="AH222" s="146">
        <v>0</v>
      </c>
      <c r="AI222" s="146">
        <v>0</v>
      </c>
      <c r="AJ222" s="146">
        <v>9</v>
      </c>
      <c r="AK222" s="146">
        <v>9</v>
      </c>
      <c r="AL222" s="146">
        <v>0</v>
      </c>
      <c r="AM222" s="146">
        <v>0</v>
      </c>
      <c r="AQ222" s="146">
        <f t="shared" si="3"/>
        <v>0</v>
      </c>
    </row>
    <row r="223" spans="1:43">
      <c r="A223" s="146" t="s">
        <v>1056</v>
      </c>
      <c r="B223" s="146" t="s">
        <v>1017</v>
      </c>
      <c r="C223" s="146" t="s">
        <v>1040</v>
      </c>
      <c r="D223" s="146" t="s">
        <v>1043</v>
      </c>
      <c r="E223" s="146" t="s">
        <v>842</v>
      </c>
      <c r="J223" s="146" t="s">
        <v>1020</v>
      </c>
      <c r="K223" s="146">
        <v>12.635</v>
      </c>
      <c r="L223" s="146" t="s">
        <v>1021</v>
      </c>
      <c r="M223" s="146" t="s">
        <v>1022</v>
      </c>
      <c r="N223" s="146">
        <v>8</v>
      </c>
      <c r="O223" s="146" t="s">
        <v>1023</v>
      </c>
      <c r="P223" s="477">
        <v>101</v>
      </c>
      <c r="Q223" s="478">
        <v>0</v>
      </c>
      <c r="R223" s="478">
        <v>101</v>
      </c>
      <c r="S223" s="479">
        <v>100</v>
      </c>
      <c r="T223" s="146">
        <v>0</v>
      </c>
      <c r="U223" s="479">
        <v>80</v>
      </c>
      <c r="V223" s="146">
        <v>0</v>
      </c>
      <c r="W223" s="146">
        <v>0</v>
      </c>
      <c r="X223" s="146">
        <v>0</v>
      </c>
      <c r="Y223" s="146">
        <v>0.14000000000000001</v>
      </c>
      <c r="Z223" s="146">
        <v>0.34050000000000002</v>
      </c>
      <c r="AA223" s="146">
        <v>400</v>
      </c>
      <c r="AB223" s="146" t="s">
        <v>974</v>
      </c>
      <c r="AC223" s="146" t="s">
        <v>975</v>
      </c>
      <c r="AG223" s="146">
        <v>0</v>
      </c>
      <c r="AH223" s="146">
        <v>0</v>
      </c>
      <c r="AI223" s="146">
        <v>0</v>
      </c>
      <c r="AJ223" s="146">
        <v>14</v>
      </c>
      <c r="AK223" s="146">
        <v>14</v>
      </c>
      <c r="AL223" s="146">
        <v>0</v>
      </c>
      <c r="AM223" s="146">
        <v>0</v>
      </c>
      <c r="AQ223" s="146">
        <f t="shared" si="3"/>
        <v>0</v>
      </c>
    </row>
    <row r="224" spans="1:43">
      <c r="A224" s="146" t="s">
        <v>1056</v>
      </c>
      <c r="B224" s="146" t="s">
        <v>1017</v>
      </c>
      <c r="C224" s="146" t="s">
        <v>1040</v>
      </c>
      <c r="D224" s="146" t="s">
        <v>1044</v>
      </c>
      <c r="E224" s="146" t="s">
        <v>842</v>
      </c>
      <c r="J224" s="146" t="s">
        <v>1020</v>
      </c>
      <c r="K224" s="146">
        <v>2.0859999999999999</v>
      </c>
      <c r="L224" s="146" t="s">
        <v>1021</v>
      </c>
      <c r="M224" s="146" t="s">
        <v>1022</v>
      </c>
      <c r="N224" s="146">
        <v>86.9</v>
      </c>
      <c r="O224" s="146" t="s">
        <v>1023</v>
      </c>
      <c r="P224" s="477">
        <v>181</v>
      </c>
      <c r="Q224" s="478">
        <v>0</v>
      </c>
      <c r="R224" s="478">
        <v>181</v>
      </c>
      <c r="S224" s="479">
        <v>100</v>
      </c>
      <c r="T224" s="146">
        <v>0</v>
      </c>
      <c r="U224" s="479">
        <v>80</v>
      </c>
      <c r="V224" s="146">
        <v>0</v>
      </c>
      <c r="W224" s="146">
        <v>0</v>
      </c>
      <c r="X224" s="146">
        <v>0</v>
      </c>
      <c r="Y224" s="146">
        <v>0.1</v>
      </c>
      <c r="Z224" s="146">
        <v>0.51070000000000004</v>
      </c>
      <c r="AA224" s="146">
        <v>600</v>
      </c>
      <c r="AB224" s="146" t="s">
        <v>974</v>
      </c>
      <c r="AC224" s="146" t="s">
        <v>975</v>
      </c>
      <c r="AG224" s="146">
        <v>0</v>
      </c>
      <c r="AH224" s="146">
        <v>0</v>
      </c>
      <c r="AI224" s="146">
        <v>0</v>
      </c>
      <c r="AJ224" s="146">
        <v>18</v>
      </c>
      <c r="AK224" s="146">
        <v>18</v>
      </c>
      <c r="AL224" s="146">
        <v>0</v>
      </c>
      <c r="AM224" s="146">
        <v>0</v>
      </c>
      <c r="AQ224" s="146">
        <f t="shared" si="3"/>
        <v>0</v>
      </c>
    </row>
    <row r="225" spans="1:43">
      <c r="A225" s="146" t="s">
        <v>1056</v>
      </c>
      <c r="B225" s="146" t="s">
        <v>1017</v>
      </c>
      <c r="C225" s="146" t="s">
        <v>1045</v>
      </c>
      <c r="D225" s="146" t="s">
        <v>1046</v>
      </c>
      <c r="E225" s="146" t="s">
        <v>842</v>
      </c>
      <c r="J225" s="146" t="s">
        <v>1020</v>
      </c>
      <c r="K225" s="146">
        <v>13.629</v>
      </c>
      <c r="L225" s="146" t="s">
        <v>1021</v>
      </c>
      <c r="M225" s="146" t="s">
        <v>1022</v>
      </c>
      <c r="N225" s="146">
        <v>0.7</v>
      </c>
      <c r="O225" s="146" t="s">
        <v>1023</v>
      </c>
      <c r="P225" s="477">
        <v>10</v>
      </c>
      <c r="Q225" s="478">
        <v>0</v>
      </c>
      <c r="R225" s="478">
        <v>10</v>
      </c>
      <c r="S225" s="479">
        <v>100</v>
      </c>
      <c r="T225" s="146">
        <v>0</v>
      </c>
      <c r="U225" s="479">
        <v>50</v>
      </c>
      <c r="V225" s="146">
        <v>0</v>
      </c>
      <c r="W225" s="146">
        <v>0</v>
      </c>
      <c r="X225" s="146">
        <v>0</v>
      </c>
      <c r="Y225" s="146">
        <v>0.95</v>
      </c>
      <c r="Z225" s="146">
        <v>0.21279999999999999</v>
      </c>
      <c r="AA225" s="146">
        <v>250</v>
      </c>
      <c r="AB225" s="146" t="s">
        <v>974</v>
      </c>
      <c r="AC225" s="146" t="s">
        <v>975</v>
      </c>
      <c r="AG225" s="146">
        <v>0</v>
      </c>
      <c r="AH225" s="146">
        <v>0</v>
      </c>
      <c r="AI225" s="146">
        <v>0</v>
      </c>
      <c r="AJ225" s="146">
        <v>10</v>
      </c>
      <c r="AK225" s="146">
        <v>10</v>
      </c>
      <c r="AL225" s="146">
        <v>0</v>
      </c>
      <c r="AM225" s="146">
        <v>0</v>
      </c>
      <c r="AQ225" s="146">
        <f t="shared" si="3"/>
        <v>0</v>
      </c>
    </row>
    <row r="226" spans="1:43">
      <c r="A226" s="146" t="s">
        <v>1056</v>
      </c>
      <c r="B226" s="146" t="s">
        <v>1017</v>
      </c>
      <c r="C226" s="146" t="s">
        <v>1047</v>
      </c>
      <c r="D226" s="146" t="s">
        <v>1048</v>
      </c>
      <c r="E226" s="146" t="s">
        <v>842</v>
      </c>
      <c r="J226" s="146" t="s">
        <v>1020</v>
      </c>
      <c r="K226" s="146">
        <v>31.779</v>
      </c>
      <c r="L226" s="146" t="s">
        <v>1021</v>
      </c>
      <c r="M226" s="146" t="s">
        <v>1022</v>
      </c>
      <c r="N226" s="146">
        <v>2.1</v>
      </c>
      <c r="O226" s="146" t="s">
        <v>1023</v>
      </c>
      <c r="P226" s="477">
        <v>67</v>
      </c>
      <c r="Q226" s="478">
        <v>0</v>
      </c>
      <c r="R226" s="478">
        <v>67</v>
      </c>
      <c r="S226" s="479">
        <v>100</v>
      </c>
      <c r="T226" s="146">
        <v>0</v>
      </c>
      <c r="U226" s="479">
        <v>10</v>
      </c>
      <c r="V226" s="146">
        <v>0</v>
      </c>
      <c r="W226" s="146">
        <v>0</v>
      </c>
      <c r="X226" s="146">
        <v>0</v>
      </c>
      <c r="Y226" s="146">
        <v>0.59</v>
      </c>
      <c r="Z226" s="146">
        <v>0.42559999999999998</v>
      </c>
      <c r="AA226" s="146">
        <v>500</v>
      </c>
      <c r="AB226" s="146" t="s">
        <v>974</v>
      </c>
      <c r="AC226" s="146" t="s">
        <v>975</v>
      </c>
      <c r="AG226" s="146">
        <v>0</v>
      </c>
      <c r="AH226" s="146">
        <v>0</v>
      </c>
      <c r="AI226" s="146">
        <v>0</v>
      </c>
      <c r="AJ226" s="146">
        <v>40</v>
      </c>
      <c r="AK226" s="146">
        <v>40</v>
      </c>
      <c r="AL226" s="146">
        <v>0</v>
      </c>
      <c r="AM226" s="146">
        <v>0</v>
      </c>
      <c r="AQ226" s="146">
        <f t="shared" si="3"/>
        <v>0</v>
      </c>
    </row>
    <row r="227" spans="1:43">
      <c r="A227" s="146" t="s">
        <v>1056</v>
      </c>
      <c r="B227" s="146" t="s">
        <v>1017</v>
      </c>
      <c r="C227" s="146" t="s">
        <v>1047</v>
      </c>
      <c r="D227" s="146" t="s">
        <v>1049</v>
      </c>
      <c r="E227" s="146" t="s">
        <v>842</v>
      </c>
      <c r="J227" s="146" t="s">
        <v>1020</v>
      </c>
      <c r="K227" s="146">
        <v>28.219000000000001</v>
      </c>
      <c r="L227" s="146" t="s">
        <v>1021</v>
      </c>
      <c r="M227" s="146" t="s">
        <v>1022</v>
      </c>
      <c r="N227" s="146">
        <v>1.8</v>
      </c>
      <c r="O227" s="146" t="s">
        <v>1023</v>
      </c>
      <c r="P227" s="477">
        <v>51</v>
      </c>
      <c r="Q227" s="478">
        <v>0</v>
      </c>
      <c r="R227" s="478">
        <v>51</v>
      </c>
      <c r="S227" s="479">
        <v>100</v>
      </c>
      <c r="T227" s="146">
        <v>0</v>
      </c>
      <c r="U227" s="479">
        <v>10</v>
      </c>
      <c r="V227" s="146">
        <v>0</v>
      </c>
      <c r="W227" s="146">
        <v>0</v>
      </c>
      <c r="X227" s="146">
        <v>0</v>
      </c>
      <c r="Y227" s="146">
        <v>0.15</v>
      </c>
      <c r="Z227" s="146">
        <v>0.34050000000000002</v>
      </c>
      <c r="AA227" s="146">
        <v>400</v>
      </c>
      <c r="AB227" s="146" t="s">
        <v>974</v>
      </c>
      <c r="AC227" s="146" t="s">
        <v>975</v>
      </c>
      <c r="AG227" s="146">
        <v>0</v>
      </c>
      <c r="AH227" s="146">
        <v>0</v>
      </c>
      <c r="AI227" s="146">
        <v>0</v>
      </c>
      <c r="AJ227" s="146">
        <v>8</v>
      </c>
      <c r="AK227" s="146">
        <v>8</v>
      </c>
      <c r="AL227" s="146">
        <v>0</v>
      </c>
      <c r="AM227" s="146">
        <v>0</v>
      </c>
      <c r="AQ227" s="146">
        <f t="shared" si="3"/>
        <v>0</v>
      </c>
    </row>
    <row r="228" spans="1:43">
      <c r="A228" s="146" t="s">
        <v>1056</v>
      </c>
      <c r="B228" s="146" t="s">
        <v>1017</v>
      </c>
      <c r="C228" s="146" t="s">
        <v>1050</v>
      </c>
      <c r="D228" s="146" t="s">
        <v>1051</v>
      </c>
      <c r="E228" s="146" t="s">
        <v>842</v>
      </c>
      <c r="J228" s="146" t="s">
        <v>1020</v>
      </c>
      <c r="K228" s="146">
        <v>11.185</v>
      </c>
      <c r="L228" s="146" t="s">
        <v>1021</v>
      </c>
      <c r="M228" s="146" t="s">
        <v>1022</v>
      </c>
      <c r="N228" s="146">
        <v>6.4</v>
      </c>
      <c r="O228" s="146" t="s">
        <v>1023</v>
      </c>
      <c r="P228" s="477">
        <v>72</v>
      </c>
      <c r="Q228" s="478">
        <v>0</v>
      </c>
      <c r="R228" s="478">
        <v>72</v>
      </c>
      <c r="S228" s="479">
        <v>90</v>
      </c>
      <c r="T228" s="146">
        <v>7</v>
      </c>
      <c r="U228" s="479">
        <v>50</v>
      </c>
      <c r="V228" s="146">
        <v>4</v>
      </c>
      <c r="W228" s="146">
        <v>0</v>
      </c>
      <c r="X228" s="146">
        <v>4</v>
      </c>
      <c r="Y228" s="146">
        <v>0.18</v>
      </c>
      <c r="Z228" s="146">
        <v>0.25540000000000002</v>
      </c>
      <c r="AA228" s="146">
        <v>300</v>
      </c>
      <c r="AB228" s="146" t="s">
        <v>974</v>
      </c>
      <c r="AC228" s="146" t="s">
        <v>975</v>
      </c>
      <c r="AG228" s="146">
        <v>1</v>
      </c>
      <c r="AH228" s="146">
        <v>1</v>
      </c>
      <c r="AI228" s="146">
        <v>1200</v>
      </c>
      <c r="AJ228" s="146">
        <v>13</v>
      </c>
      <c r="AK228" s="146">
        <v>13</v>
      </c>
      <c r="AL228" s="146">
        <v>1</v>
      </c>
      <c r="AM228" s="146">
        <v>1</v>
      </c>
      <c r="AQ228" s="146">
        <f t="shared" si="3"/>
        <v>12</v>
      </c>
    </row>
    <row r="229" spans="1:43">
      <c r="A229" s="146" t="s">
        <v>1056</v>
      </c>
      <c r="B229" s="146" t="s">
        <v>1017</v>
      </c>
      <c r="C229" s="146" t="s">
        <v>1052</v>
      </c>
      <c r="D229" s="146" t="s">
        <v>1053</v>
      </c>
      <c r="E229" s="146" t="s">
        <v>842</v>
      </c>
      <c r="J229" s="146" t="s">
        <v>1020</v>
      </c>
      <c r="K229" s="146">
        <v>32.411000000000001</v>
      </c>
      <c r="L229" s="146" t="s">
        <v>1021</v>
      </c>
      <c r="M229" s="146" t="s">
        <v>1022</v>
      </c>
      <c r="N229" s="146">
        <v>4.9000000000000004</v>
      </c>
      <c r="O229" s="146" t="s">
        <v>1023</v>
      </c>
      <c r="P229" s="477">
        <v>159</v>
      </c>
      <c r="Q229" s="478">
        <v>0</v>
      </c>
      <c r="R229" s="478">
        <v>159</v>
      </c>
      <c r="S229" s="479">
        <v>90</v>
      </c>
      <c r="T229" s="146">
        <v>16</v>
      </c>
      <c r="U229" s="479">
        <v>50</v>
      </c>
      <c r="V229" s="146">
        <v>8</v>
      </c>
      <c r="W229" s="146">
        <v>0</v>
      </c>
      <c r="X229" s="146">
        <v>8</v>
      </c>
      <c r="Y229" s="146">
        <v>0.38</v>
      </c>
      <c r="Z229" s="146">
        <v>0.2979</v>
      </c>
      <c r="AA229" s="146">
        <v>350</v>
      </c>
      <c r="AB229" s="146" t="s">
        <v>974</v>
      </c>
      <c r="AC229" s="146" t="s">
        <v>975</v>
      </c>
      <c r="AG229" s="146">
        <v>3</v>
      </c>
      <c r="AH229" s="146">
        <v>2</v>
      </c>
      <c r="AI229" s="146">
        <v>2800</v>
      </c>
      <c r="AJ229" s="146">
        <v>60</v>
      </c>
      <c r="AK229" s="146">
        <v>60</v>
      </c>
      <c r="AL229" s="146">
        <v>6</v>
      </c>
      <c r="AM229" s="146">
        <v>3</v>
      </c>
      <c r="AQ229" s="146">
        <f t="shared" si="3"/>
        <v>23</v>
      </c>
    </row>
    <row r="230" spans="1:43">
      <c r="A230" s="146" t="s">
        <v>1056</v>
      </c>
      <c r="B230" s="146" t="s">
        <v>1017</v>
      </c>
      <c r="C230" s="146" t="s">
        <v>1052</v>
      </c>
      <c r="D230" s="146" t="s">
        <v>1054</v>
      </c>
      <c r="E230" s="146" t="s">
        <v>842</v>
      </c>
      <c r="J230" s="146" t="s">
        <v>1020</v>
      </c>
      <c r="K230" s="146">
        <v>51.411000000000001</v>
      </c>
      <c r="L230" s="146" t="s">
        <v>1021</v>
      </c>
      <c r="M230" s="146" t="s">
        <v>1022</v>
      </c>
      <c r="N230" s="146">
        <v>38.4</v>
      </c>
      <c r="O230" s="146" t="s">
        <v>1023</v>
      </c>
      <c r="P230" s="477">
        <v>1974</v>
      </c>
      <c r="Q230" s="478">
        <v>0</v>
      </c>
      <c r="R230" s="478">
        <v>1974</v>
      </c>
      <c r="S230" s="479">
        <v>90</v>
      </c>
      <c r="T230" s="146">
        <v>197</v>
      </c>
      <c r="U230" s="479">
        <v>50</v>
      </c>
      <c r="V230" s="146">
        <v>98</v>
      </c>
      <c r="W230" s="146">
        <v>0</v>
      </c>
      <c r="X230" s="146">
        <v>98</v>
      </c>
      <c r="Y230" s="146">
        <v>0.18</v>
      </c>
      <c r="Z230" s="146">
        <v>0.2979</v>
      </c>
      <c r="AA230" s="146">
        <v>350</v>
      </c>
      <c r="AB230" s="146" t="s">
        <v>974</v>
      </c>
      <c r="AC230" s="146" t="s">
        <v>975</v>
      </c>
      <c r="AG230" s="146">
        <v>18</v>
      </c>
      <c r="AH230" s="146">
        <v>29</v>
      </c>
      <c r="AI230" s="146">
        <v>34300</v>
      </c>
      <c r="AJ230" s="146">
        <v>355</v>
      </c>
      <c r="AK230" s="146">
        <v>355</v>
      </c>
      <c r="AL230" s="146">
        <v>35</v>
      </c>
      <c r="AM230" s="146">
        <v>18</v>
      </c>
      <c r="AQ230" s="146">
        <f t="shared" si="3"/>
        <v>337</v>
      </c>
    </row>
    <row r="231" spans="1:43">
      <c r="A231" s="146" t="s">
        <v>1056</v>
      </c>
      <c r="B231" s="146" t="s">
        <v>1017</v>
      </c>
      <c r="C231" s="146" t="s">
        <v>1052</v>
      </c>
      <c r="D231" s="146" t="s">
        <v>1055</v>
      </c>
      <c r="E231" s="146" t="s">
        <v>842</v>
      </c>
      <c r="J231" s="146" t="s">
        <v>1020</v>
      </c>
      <c r="K231" s="146">
        <v>25.978999999999999</v>
      </c>
      <c r="L231" s="146" t="s">
        <v>1021</v>
      </c>
      <c r="M231" s="146" t="s">
        <v>1022</v>
      </c>
      <c r="N231" s="146">
        <v>21.2</v>
      </c>
      <c r="O231" s="146" t="s">
        <v>1023</v>
      </c>
      <c r="P231" s="477">
        <v>551</v>
      </c>
      <c r="Q231" s="478">
        <v>0</v>
      </c>
      <c r="R231" s="478">
        <v>551</v>
      </c>
      <c r="S231" s="479">
        <v>90</v>
      </c>
      <c r="T231" s="146">
        <v>55</v>
      </c>
      <c r="U231" s="479">
        <v>50</v>
      </c>
      <c r="V231" s="146">
        <v>28</v>
      </c>
      <c r="W231" s="146">
        <v>0</v>
      </c>
      <c r="X231" s="146">
        <v>28</v>
      </c>
      <c r="Y231" s="146">
        <v>0.25</v>
      </c>
      <c r="Z231" s="146">
        <v>0.2979</v>
      </c>
      <c r="AA231" s="146">
        <v>350</v>
      </c>
      <c r="AB231" s="146" t="s">
        <v>974</v>
      </c>
      <c r="AC231" s="146" t="s">
        <v>975</v>
      </c>
      <c r="AG231" s="146">
        <v>7</v>
      </c>
      <c r="AH231" s="146">
        <v>8</v>
      </c>
      <c r="AI231" s="146">
        <v>9800</v>
      </c>
      <c r="AJ231" s="146">
        <v>138</v>
      </c>
      <c r="AK231" s="146">
        <v>138</v>
      </c>
      <c r="AL231" s="146">
        <v>14</v>
      </c>
      <c r="AM231" s="146">
        <v>7</v>
      </c>
      <c r="AQ231" s="146">
        <f t="shared" si="3"/>
        <v>93</v>
      </c>
    </row>
    <row r="232" spans="1:43">
      <c r="A232" s="146" t="s">
        <v>1057</v>
      </c>
      <c r="B232" s="146" t="s">
        <v>840</v>
      </c>
      <c r="C232" s="146" t="s">
        <v>841</v>
      </c>
      <c r="D232" s="146" t="s">
        <v>841</v>
      </c>
      <c r="E232" s="146" t="s">
        <v>842</v>
      </c>
      <c r="H232" s="477"/>
      <c r="J232" s="146" t="s">
        <v>843</v>
      </c>
      <c r="K232" s="146">
        <v>486</v>
      </c>
      <c r="L232" s="146" t="s">
        <v>844</v>
      </c>
      <c r="M232" s="146" t="s">
        <v>341</v>
      </c>
      <c r="N232" s="146">
        <v>95</v>
      </c>
      <c r="O232" s="146" t="s">
        <v>845</v>
      </c>
      <c r="P232" s="477">
        <v>46170</v>
      </c>
      <c r="Q232" s="478">
        <v>0</v>
      </c>
      <c r="R232" s="478">
        <v>46170</v>
      </c>
      <c r="S232" s="479">
        <v>92.6</v>
      </c>
      <c r="T232" s="146">
        <v>3417</v>
      </c>
      <c r="U232" s="479">
        <v>100</v>
      </c>
      <c r="V232" s="146">
        <v>3417</v>
      </c>
      <c r="W232" s="146">
        <v>0</v>
      </c>
      <c r="X232" s="146">
        <v>3417</v>
      </c>
      <c r="Y232" s="146">
        <v>0.25</v>
      </c>
      <c r="Z232" s="146">
        <v>0.2079</v>
      </c>
      <c r="AB232" s="146" t="s">
        <v>846</v>
      </c>
      <c r="AC232" s="146" t="s">
        <v>847</v>
      </c>
      <c r="AE232" s="146" t="s">
        <v>848</v>
      </c>
      <c r="AF232" s="146" t="s">
        <v>849</v>
      </c>
      <c r="AG232" s="146">
        <v>854</v>
      </c>
      <c r="AH232" s="146">
        <v>710</v>
      </c>
      <c r="AI232" s="146">
        <v>0</v>
      </c>
      <c r="AJ232" s="146">
        <v>11542</v>
      </c>
      <c r="AK232" s="146">
        <v>11542</v>
      </c>
      <c r="AL232" s="146">
        <v>854</v>
      </c>
      <c r="AM232" s="146">
        <v>854</v>
      </c>
      <c r="AQ232" s="146">
        <f t="shared" si="3"/>
        <v>8257</v>
      </c>
    </row>
    <row r="233" spans="1:43">
      <c r="A233" s="146" t="s">
        <v>1057</v>
      </c>
      <c r="B233" s="146" t="s">
        <v>840</v>
      </c>
      <c r="C233" s="146" t="s">
        <v>850</v>
      </c>
      <c r="D233" s="146" t="s">
        <v>850</v>
      </c>
      <c r="E233" s="146" t="s">
        <v>842</v>
      </c>
      <c r="J233" s="146" t="s">
        <v>843</v>
      </c>
      <c r="K233" s="146">
        <v>11.33</v>
      </c>
      <c r="L233" s="146" t="s">
        <v>844</v>
      </c>
      <c r="M233" s="146" t="s">
        <v>341</v>
      </c>
      <c r="N233" s="146">
        <v>7</v>
      </c>
      <c r="O233" s="146" t="s">
        <v>845</v>
      </c>
      <c r="P233" s="477">
        <v>79</v>
      </c>
      <c r="Q233" s="478">
        <v>0</v>
      </c>
      <c r="R233" s="478">
        <v>79</v>
      </c>
      <c r="S233" s="479">
        <v>0</v>
      </c>
      <c r="T233" s="146">
        <v>79</v>
      </c>
      <c r="U233" s="479">
        <v>16</v>
      </c>
      <c r="V233" s="146">
        <v>13</v>
      </c>
      <c r="W233" s="146">
        <v>0</v>
      </c>
      <c r="X233" s="146">
        <v>13</v>
      </c>
      <c r="Y233" s="146">
        <v>0.8</v>
      </c>
      <c r="Z233" s="146">
        <v>0.32800000000000001</v>
      </c>
      <c r="AB233" s="146" t="s">
        <v>851</v>
      </c>
      <c r="AF233" s="146" t="s">
        <v>852</v>
      </c>
      <c r="AG233" s="146">
        <v>10</v>
      </c>
      <c r="AH233" s="146">
        <v>4</v>
      </c>
      <c r="AI233" s="146">
        <v>0</v>
      </c>
      <c r="AJ233" s="146">
        <v>63</v>
      </c>
      <c r="AK233" s="146">
        <v>63</v>
      </c>
      <c r="AL233" s="146">
        <v>63</v>
      </c>
      <c r="AM233" s="146">
        <v>10</v>
      </c>
      <c r="AQ233" s="146">
        <f t="shared" si="3"/>
        <v>47</v>
      </c>
    </row>
    <row r="234" spans="1:43">
      <c r="A234" s="146" t="s">
        <v>1057</v>
      </c>
      <c r="B234" s="146" t="s">
        <v>840</v>
      </c>
      <c r="C234" s="146" t="s">
        <v>853</v>
      </c>
      <c r="D234" s="146" t="s">
        <v>853</v>
      </c>
      <c r="E234" s="146" t="s">
        <v>854</v>
      </c>
      <c r="J234" s="146" t="s">
        <v>843</v>
      </c>
      <c r="K234" s="146">
        <v>15</v>
      </c>
      <c r="L234" s="146" t="s">
        <v>844</v>
      </c>
      <c r="M234" s="146" t="s">
        <v>341</v>
      </c>
      <c r="N234" s="146">
        <v>30</v>
      </c>
      <c r="O234" s="146" t="s">
        <v>845</v>
      </c>
      <c r="P234" s="477">
        <v>450</v>
      </c>
      <c r="Q234" s="478">
        <v>0</v>
      </c>
      <c r="R234" s="478">
        <v>450</v>
      </c>
      <c r="S234" s="479">
        <v>0</v>
      </c>
      <c r="T234" s="146">
        <v>450</v>
      </c>
      <c r="U234" s="479">
        <v>100</v>
      </c>
      <c r="V234" s="146">
        <v>450</v>
      </c>
      <c r="W234" s="146">
        <v>0</v>
      </c>
      <c r="X234" s="146">
        <v>450</v>
      </c>
      <c r="Y234" s="477">
        <v>0.2</v>
      </c>
      <c r="Z234" s="477">
        <v>9.4000000000000004E-3</v>
      </c>
      <c r="AA234" s="477">
        <v>11</v>
      </c>
      <c r="AB234" s="146" t="s">
        <v>855</v>
      </c>
      <c r="AC234" s="146" t="s">
        <v>856</v>
      </c>
      <c r="AF234" s="146" t="s">
        <v>857</v>
      </c>
      <c r="AG234" s="146">
        <v>90</v>
      </c>
      <c r="AH234" s="146">
        <v>4</v>
      </c>
      <c r="AI234" s="146">
        <v>4950</v>
      </c>
      <c r="AJ234" s="146">
        <v>90</v>
      </c>
      <c r="AK234" s="146">
        <v>90</v>
      </c>
      <c r="AL234" s="146">
        <v>90</v>
      </c>
      <c r="AM234" s="146">
        <v>90</v>
      </c>
      <c r="AQ234" s="146">
        <f t="shared" si="3"/>
        <v>47</v>
      </c>
    </row>
    <row r="235" spans="1:43">
      <c r="A235" s="146" t="s">
        <v>1057</v>
      </c>
      <c r="B235" s="146" t="s">
        <v>840</v>
      </c>
      <c r="C235" s="146" t="s">
        <v>858</v>
      </c>
      <c r="D235" s="146" t="s">
        <v>859</v>
      </c>
      <c r="E235" s="146" t="s">
        <v>854</v>
      </c>
      <c r="J235" s="146" t="s">
        <v>843</v>
      </c>
      <c r="K235" s="146">
        <v>486</v>
      </c>
      <c r="L235" s="146" t="s">
        <v>844</v>
      </c>
      <c r="M235" s="146" t="s">
        <v>341</v>
      </c>
      <c r="N235" s="146">
        <v>30</v>
      </c>
      <c r="O235" s="146" t="s">
        <v>845</v>
      </c>
      <c r="P235" s="477">
        <v>14580</v>
      </c>
      <c r="Q235" s="478">
        <v>0</v>
      </c>
      <c r="R235" s="478">
        <v>14580</v>
      </c>
      <c r="S235" s="479"/>
      <c r="T235" s="146">
        <v>10470</v>
      </c>
      <c r="U235" s="479">
        <v>0</v>
      </c>
      <c r="V235" s="146">
        <v>0</v>
      </c>
      <c r="W235" s="146">
        <v>0</v>
      </c>
      <c r="X235" s="146">
        <v>0</v>
      </c>
      <c r="Y235" s="146">
        <v>0.16</v>
      </c>
      <c r="Z235" s="146">
        <v>3.8300000000000001E-2</v>
      </c>
      <c r="AA235" s="146">
        <v>45</v>
      </c>
      <c r="AB235" s="146" t="s">
        <v>846</v>
      </c>
      <c r="AC235" s="146" t="s">
        <v>856</v>
      </c>
      <c r="AG235" s="146">
        <v>0</v>
      </c>
      <c r="AH235" s="146">
        <v>0</v>
      </c>
      <c r="AI235" s="146">
        <v>0</v>
      </c>
      <c r="AJ235" s="146">
        <v>2333</v>
      </c>
      <c r="AK235" s="146">
        <v>2333</v>
      </c>
      <c r="AL235" s="146">
        <v>1675</v>
      </c>
      <c r="AM235" s="146">
        <v>0</v>
      </c>
      <c r="AQ235" s="146">
        <f t="shared" si="3"/>
        <v>0</v>
      </c>
    </row>
    <row r="236" spans="1:43">
      <c r="A236" s="146" t="s">
        <v>1057</v>
      </c>
      <c r="B236" s="146" t="s">
        <v>840</v>
      </c>
      <c r="C236" s="146" t="s">
        <v>860</v>
      </c>
      <c r="D236" s="146" t="s">
        <v>861</v>
      </c>
      <c r="E236" s="146" t="s">
        <v>862</v>
      </c>
      <c r="J236" s="146" t="s">
        <v>843</v>
      </c>
      <c r="K236" s="146">
        <v>15</v>
      </c>
      <c r="L236" s="146" t="s">
        <v>844</v>
      </c>
      <c r="M236" s="146" t="s">
        <v>341</v>
      </c>
      <c r="N236" s="146">
        <v>30</v>
      </c>
      <c r="O236" s="146" t="s">
        <v>845</v>
      </c>
      <c r="P236" s="477">
        <v>450</v>
      </c>
      <c r="Q236" s="478">
        <v>0</v>
      </c>
      <c r="R236" s="478">
        <v>450</v>
      </c>
      <c r="S236" s="479">
        <v>0</v>
      </c>
      <c r="T236" s="146">
        <v>450</v>
      </c>
      <c r="U236" s="479">
        <v>100</v>
      </c>
      <c r="V236" s="146">
        <v>450</v>
      </c>
      <c r="W236" s="146">
        <v>0</v>
      </c>
      <c r="X236" s="146">
        <v>450</v>
      </c>
      <c r="Y236" s="146">
        <v>0.75</v>
      </c>
      <c r="Z236" s="146">
        <v>9.4000000000000004E-3</v>
      </c>
      <c r="AA236" s="146">
        <v>11</v>
      </c>
      <c r="AB236" s="146" t="s">
        <v>863</v>
      </c>
      <c r="AF236" s="330" t="s">
        <v>864</v>
      </c>
      <c r="AG236" s="146">
        <v>338</v>
      </c>
      <c r="AH236" s="146">
        <v>4</v>
      </c>
      <c r="AI236" s="146">
        <v>4950</v>
      </c>
      <c r="AJ236" s="146">
        <v>338</v>
      </c>
      <c r="AK236" s="146">
        <v>338</v>
      </c>
      <c r="AL236" s="146">
        <v>338</v>
      </c>
      <c r="AM236" s="146">
        <v>338</v>
      </c>
      <c r="AQ236" s="146">
        <f t="shared" si="3"/>
        <v>47</v>
      </c>
    </row>
    <row r="237" spans="1:43">
      <c r="A237" s="146" t="s">
        <v>1057</v>
      </c>
      <c r="B237" s="146" t="s">
        <v>840</v>
      </c>
      <c r="C237" s="146" t="s">
        <v>860</v>
      </c>
      <c r="D237" s="146" t="s">
        <v>865</v>
      </c>
      <c r="E237" s="146" t="s">
        <v>862</v>
      </c>
      <c r="H237" s="477"/>
      <c r="J237" s="146" t="s">
        <v>843</v>
      </c>
      <c r="L237" s="146" t="s">
        <v>844</v>
      </c>
      <c r="M237" s="146" t="s">
        <v>341</v>
      </c>
      <c r="O237" s="146" t="s">
        <v>845</v>
      </c>
      <c r="P237" s="477">
        <v>0</v>
      </c>
      <c r="Q237" s="478">
        <v>0</v>
      </c>
      <c r="R237" s="478">
        <v>0</v>
      </c>
      <c r="S237" s="479"/>
      <c r="T237" s="146">
        <v>0</v>
      </c>
      <c r="U237" s="479"/>
      <c r="V237" s="146">
        <v>0</v>
      </c>
      <c r="W237" s="146">
        <v>0</v>
      </c>
      <c r="X237" s="146">
        <v>0</v>
      </c>
      <c r="AG237" s="146">
        <v>0</v>
      </c>
      <c r="AH237" s="146">
        <v>0</v>
      </c>
      <c r="AI237" s="146">
        <v>0</v>
      </c>
      <c r="AJ237" s="146">
        <v>0</v>
      </c>
      <c r="AK237" s="146">
        <v>0</v>
      </c>
      <c r="AL237" s="146">
        <v>0</v>
      </c>
      <c r="AM237" s="146">
        <v>0</v>
      </c>
      <c r="AQ237" s="146">
        <f t="shared" si="3"/>
        <v>0</v>
      </c>
    </row>
    <row r="238" spans="1:43">
      <c r="A238" s="146" t="s">
        <v>1057</v>
      </c>
      <c r="B238" s="146" t="s">
        <v>840</v>
      </c>
      <c r="C238" s="146" t="s">
        <v>860</v>
      </c>
      <c r="D238" s="146" t="s">
        <v>866</v>
      </c>
      <c r="E238" s="146" t="s">
        <v>862</v>
      </c>
      <c r="J238" s="146" t="s">
        <v>843</v>
      </c>
      <c r="K238" s="146">
        <v>2</v>
      </c>
      <c r="L238" s="146" t="s">
        <v>844</v>
      </c>
      <c r="M238" s="146" t="s">
        <v>341</v>
      </c>
      <c r="N238" s="146">
        <v>20</v>
      </c>
      <c r="O238" s="146" t="s">
        <v>845</v>
      </c>
      <c r="P238" s="477">
        <v>40</v>
      </c>
      <c r="Q238" s="478">
        <v>0</v>
      </c>
      <c r="R238" s="478">
        <v>40</v>
      </c>
      <c r="S238" s="479">
        <v>0</v>
      </c>
      <c r="T238" s="146">
        <v>40</v>
      </c>
      <c r="U238" s="479">
        <v>100</v>
      </c>
      <c r="V238" s="146">
        <v>40</v>
      </c>
      <c r="W238" s="146">
        <v>0</v>
      </c>
      <c r="X238" s="146">
        <v>40</v>
      </c>
      <c r="Y238" s="146">
        <v>0.5</v>
      </c>
      <c r="Z238" s="146">
        <v>0.215</v>
      </c>
      <c r="AA238" s="146">
        <v>253</v>
      </c>
      <c r="AG238" s="146">
        <v>20</v>
      </c>
      <c r="AH238" s="146">
        <v>9</v>
      </c>
      <c r="AI238" s="146">
        <v>10120</v>
      </c>
      <c r="AJ238" s="146">
        <v>20</v>
      </c>
      <c r="AK238" s="146">
        <v>20</v>
      </c>
      <c r="AL238" s="146">
        <v>20</v>
      </c>
      <c r="AM238" s="146">
        <v>20</v>
      </c>
      <c r="AQ238" s="146">
        <f t="shared" si="3"/>
        <v>105</v>
      </c>
    </row>
    <row r="239" spans="1:43">
      <c r="A239" s="146" t="s">
        <v>1057</v>
      </c>
      <c r="B239" s="146" t="s">
        <v>840</v>
      </c>
      <c r="C239" s="146" t="s">
        <v>867</v>
      </c>
      <c r="D239" s="146" t="s">
        <v>868</v>
      </c>
      <c r="E239" s="146" t="s">
        <v>854</v>
      </c>
      <c r="J239" s="146" t="s">
        <v>843</v>
      </c>
      <c r="K239" s="477">
        <v>300</v>
      </c>
      <c r="L239" s="146" t="s">
        <v>844</v>
      </c>
      <c r="M239" s="146" t="s">
        <v>341</v>
      </c>
      <c r="N239" s="477">
        <v>3.3</v>
      </c>
      <c r="O239" s="146" t="s">
        <v>845</v>
      </c>
      <c r="P239" s="477">
        <v>990</v>
      </c>
      <c r="Q239" s="478">
        <v>0</v>
      </c>
      <c r="R239" s="478">
        <v>990</v>
      </c>
      <c r="S239" s="479">
        <v>100</v>
      </c>
      <c r="T239" s="146">
        <v>0</v>
      </c>
      <c r="U239" s="479">
        <v>100</v>
      </c>
      <c r="V239" s="146">
        <v>0</v>
      </c>
      <c r="W239" s="146">
        <v>0</v>
      </c>
      <c r="X239" s="146">
        <v>0</v>
      </c>
      <c r="AB239" s="146" t="s">
        <v>869</v>
      </c>
      <c r="AG239" s="146">
        <v>0</v>
      </c>
      <c r="AH239" s="146">
        <v>0</v>
      </c>
      <c r="AI239" s="146">
        <v>0</v>
      </c>
      <c r="AJ239" s="146">
        <v>0</v>
      </c>
      <c r="AK239" s="146">
        <v>0</v>
      </c>
      <c r="AL239" s="146">
        <v>0</v>
      </c>
      <c r="AM239" s="146">
        <v>0</v>
      </c>
      <c r="AQ239" s="146">
        <f t="shared" si="3"/>
        <v>0</v>
      </c>
    </row>
    <row r="240" spans="1:43">
      <c r="A240" s="146" t="s">
        <v>1057</v>
      </c>
      <c r="B240" s="146" t="s">
        <v>840</v>
      </c>
      <c r="C240" s="146" t="s">
        <v>867</v>
      </c>
      <c r="D240" s="146" t="s">
        <v>870</v>
      </c>
      <c r="E240" s="323" t="s">
        <v>854</v>
      </c>
      <c r="J240" s="146" t="s">
        <v>843</v>
      </c>
      <c r="K240" s="477">
        <v>17</v>
      </c>
      <c r="L240" s="146" t="s">
        <v>844</v>
      </c>
      <c r="M240" s="146" t="s">
        <v>341</v>
      </c>
      <c r="N240" s="477">
        <v>5.3</v>
      </c>
      <c r="O240" s="146" t="s">
        <v>845</v>
      </c>
      <c r="P240" s="477">
        <v>90</v>
      </c>
      <c r="Q240" s="478">
        <v>0</v>
      </c>
      <c r="R240" s="478">
        <v>90</v>
      </c>
      <c r="S240" s="479">
        <v>100</v>
      </c>
      <c r="T240" s="146">
        <v>0</v>
      </c>
      <c r="U240" s="479">
        <v>100</v>
      </c>
      <c r="V240" s="146">
        <v>0</v>
      </c>
      <c r="W240" s="146">
        <v>0</v>
      </c>
      <c r="X240" s="146">
        <v>0</v>
      </c>
      <c r="AB240" s="146" t="s">
        <v>869</v>
      </c>
      <c r="AC240" s="158"/>
      <c r="AG240" s="146">
        <v>0</v>
      </c>
      <c r="AH240" s="146">
        <v>0</v>
      </c>
      <c r="AI240" s="146">
        <v>0</v>
      </c>
      <c r="AJ240" s="146">
        <v>0</v>
      </c>
      <c r="AK240" s="146">
        <v>0</v>
      </c>
      <c r="AL240" s="146">
        <v>0</v>
      </c>
      <c r="AM240" s="146">
        <v>0</v>
      </c>
      <c r="AQ240" s="146">
        <f t="shared" si="3"/>
        <v>0</v>
      </c>
    </row>
    <row r="241" spans="1:43">
      <c r="A241" s="146" t="s">
        <v>1057</v>
      </c>
      <c r="B241" s="146" t="s">
        <v>840</v>
      </c>
      <c r="C241" s="146" t="s">
        <v>871</v>
      </c>
      <c r="D241" s="146" t="s">
        <v>872</v>
      </c>
      <c r="E241" s="323" t="s">
        <v>854</v>
      </c>
      <c r="J241" s="146" t="s">
        <v>843</v>
      </c>
      <c r="K241" s="477">
        <v>513</v>
      </c>
      <c r="L241" s="146" t="s">
        <v>844</v>
      </c>
      <c r="M241" s="146" t="s">
        <v>341</v>
      </c>
      <c r="N241" s="477">
        <v>4.9000000000000004</v>
      </c>
      <c r="O241" s="146" t="s">
        <v>845</v>
      </c>
      <c r="P241" s="477">
        <v>2514</v>
      </c>
      <c r="Q241" s="478">
        <v>0</v>
      </c>
      <c r="R241" s="478">
        <v>2514</v>
      </c>
      <c r="S241" s="479">
        <v>100</v>
      </c>
      <c r="T241" s="146">
        <v>0</v>
      </c>
      <c r="U241" s="479">
        <v>100</v>
      </c>
      <c r="V241" s="146">
        <v>0</v>
      </c>
      <c r="W241" s="146">
        <v>0</v>
      </c>
      <c r="X241" s="146">
        <v>0</v>
      </c>
      <c r="Y241" s="146">
        <v>0.83</v>
      </c>
      <c r="Z241" s="146">
        <v>0.34029999999999994</v>
      </c>
      <c r="AB241" s="146" t="s">
        <v>869</v>
      </c>
      <c r="AC241" s="146" t="s">
        <v>873</v>
      </c>
      <c r="AG241" s="146">
        <v>0</v>
      </c>
      <c r="AH241" s="146">
        <v>0</v>
      </c>
      <c r="AI241" s="146">
        <v>0</v>
      </c>
      <c r="AJ241" s="146">
        <v>2087</v>
      </c>
      <c r="AK241" s="146">
        <v>2087</v>
      </c>
      <c r="AL241" s="146">
        <v>0</v>
      </c>
      <c r="AM241" s="146">
        <v>0</v>
      </c>
      <c r="AQ241" s="146">
        <f t="shared" si="3"/>
        <v>0</v>
      </c>
    </row>
    <row r="242" spans="1:43">
      <c r="A242" s="146" t="s">
        <v>1057</v>
      </c>
      <c r="B242" s="146" t="s">
        <v>840</v>
      </c>
      <c r="C242" s="146" t="s">
        <v>871</v>
      </c>
      <c r="D242" s="146" t="s">
        <v>874</v>
      </c>
      <c r="E242" s="323" t="s">
        <v>854</v>
      </c>
      <c r="J242" s="146" t="s">
        <v>843</v>
      </c>
      <c r="K242" s="477">
        <v>114</v>
      </c>
      <c r="L242" s="146" t="s">
        <v>844</v>
      </c>
      <c r="M242" s="146" t="s">
        <v>341</v>
      </c>
      <c r="N242" s="477">
        <v>4.7699999999999996</v>
      </c>
      <c r="O242" s="146" t="s">
        <v>845</v>
      </c>
      <c r="P242" s="477">
        <v>544</v>
      </c>
      <c r="Q242" s="478">
        <v>0</v>
      </c>
      <c r="R242" s="478">
        <v>544</v>
      </c>
      <c r="S242" s="479">
        <v>100</v>
      </c>
      <c r="T242" s="146">
        <v>0</v>
      </c>
      <c r="U242" s="479">
        <v>100</v>
      </c>
      <c r="V242" s="146">
        <v>0</v>
      </c>
      <c r="W242" s="146">
        <v>0</v>
      </c>
      <c r="X242" s="146">
        <v>0</v>
      </c>
      <c r="Y242" s="146">
        <v>0.83</v>
      </c>
      <c r="Z242" s="146">
        <v>0.34029999999999994</v>
      </c>
      <c r="AB242" s="146" t="s">
        <v>869</v>
      </c>
      <c r="AC242" s="146" t="s">
        <v>873</v>
      </c>
      <c r="AD242" s="146" t="s">
        <v>847</v>
      </c>
      <c r="AG242" s="146">
        <v>0</v>
      </c>
      <c r="AH242" s="146">
        <v>0</v>
      </c>
      <c r="AI242" s="146">
        <v>0</v>
      </c>
      <c r="AJ242" s="146">
        <v>452</v>
      </c>
      <c r="AK242" s="146">
        <v>452</v>
      </c>
      <c r="AL242" s="146">
        <v>0</v>
      </c>
      <c r="AM242" s="146">
        <v>0</v>
      </c>
      <c r="AQ242" s="146">
        <f t="shared" si="3"/>
        <v>0</v>
      </c>
    </row>
    <row r="243" spans="1:43">
      <c r="A243" s="146" t="s">
        <v>1057</v>
      </c>
      <c r="B243" s="146" t="s">
        <v>840</v>
      </c>
      <c r="C243" s="146" t="s">
        <v>871</v>
      </c>
      <c r="D243" s="146" t="s">
        <v>875</v>
      </c>
      <c r="E243" s="323" t="s">
        <v>854</v>
      </c>
      <c r="J243" s="146" t="s">
        <v>843</v>
      </c>
      <c r="K243" s="477">
        <v>5334</v>
      </c>
      <c r="L243" s="146" t="s">
        <v>844</v>
      </c>
      <c r="M243" s="146" t="s">
        <v>341</v>
      </c>
      <c r="N243" s="477">
        <v>7.25</v>
      </c>
      <c r="O243" s="146" t="s">
        <v>845</v>
      </c>
      <c r="P243" s="477">
        <v>38672</v>
      </c>
      <c r="Q243" s="146">
        <v>0</v>
      </c>
      <c r="R243" s="478">
        <v>38672</v>
      </c>
      <c r="S243" s="479">
        <v>94.2</v>
      </c>
      <c r="T243" s="146">
        <v>2243</v>
      </c>
      <c r="U243" s="479">
        <v>100</v>
      </c>
      <c r="V243" s="146">
        <v>2243</v>
      </c>
      <c r="W243" s="146">
        <v>0</v>
      </c>
      <c r="X243" s="146">
        <v>2243</v>
      </c>
      <c r="Y243" s="146">
        <v>0.83</v>
      </c>
      <c r="Z243" s="146">
        <v>0.34029999999999994</v>
      </c>
      <c r="AB243" s="146" t="s">
        <v>869</v>
      </c>
      <c r="AC243" s="146" t="s">
        <v>873</v>
      </c>
      <c r="AD243" s="146" t="s">
        <v>847</v>
      </c>
      <c r="AG243" s="146">
        <v>1862</v>
      </c>
      <c r="AH243" s="146">
        <v>763</v>
      </c>
      <c r="AI243" s="146">
        <v>0</v>
      </c>
      <c r="AJ243" s="146">
        <v>32098</v>
      </c>
      <c r="AK243" s="146">
        <v>32098</v>
      </c>
      <c r="AL243" s="146">
        <v>1862</v>
      </c>
      <c r="AM243" s="146">
        <v>1862</v>
      </c>
      <c r="AQ243" s="146">
        <v>8874</v>
      </c>
    </row>
    <row r="244" spans="1:43">
      <c r="A244" s="146" t="s">
        <v>1057</v>
      </c>
      <c r="B244" s="146" t="s">
        <v>840</v>
      </c>
      <c r="C244" s="146" t="s">
        <v>871</v>
      </c>
      <c r="D244" s="146" t="s">
        <v>876</v>
      </c>
      <c r="E244" s="146" t="s">
        <v>854</v>
      </c>
      <c r="J244" s="146" t="s">
        <v>843</v>
      </c>
      <c r="K244" s="146">
        <v>1908</v>
      </c>
      <c r="L244" s="146" t="s">
        <v>844</v>
      </c>
      <c r="M244" s="146" t="s">
        <v>341</v>
      </c>
      <c r="N244" s="146">
        <v>6.33</v>
      </c>
      <c r="O244" s="146" t="s">
        <v>845</v>
      </c>
      <c r="P244" s="477">
        <v>12078</v>
      </c>
      <c r="Q244" s="146">
        <v>0</v>
      </c>
      <c r="R244" s="478">
        <v>12078</v>
      </c>
      <c r="S244" s="479">
        <v>100</v>
      </c>
      <c r="T244" s="146">
        <v>0</v>
      </c>
      <c r="U244" s="479">
        <v>100</v>
      </c>
      <c r="V244" s="146">
        <v>0</v>
      </c>
      <c r="W244" s="146">
        <v>0</v>
      </c>
      <c r="X244" s="146">
        <v>0</v>
      </c>
      <c r="Y244" s="146">
        <v>0.83</v>
      </c>
      <c r="Z244" s="146">
        <v>0.34029999999999994</v>
      </c>
      <c r="AB244" s="146" t="s">
        <v>869</v>
      </c>
      <c r="AC244" s="146" t="s">
        <v>873</v>
      </c>
      <c r="AD244" s="146" t="s">
        <v>847</v>
      </c>
      <c r="AG244" s="146">
        <v>0</v>
      </c>
      <c r="AH244" s="146">
        <v>0</v>
      </c>
      <c r="AI244" s="146">
        <v>0</v>
      </c>
      <c r="AJ244" s="146">
        <v>10025</v>
      </c>
      <c r="AK244" s="146">
        <v>10025</v>
      </c>
      <c r="AL244" s="146">
        <v>0</v>
      </c>
      <c r="AM244" s="146">
        <v>0</v>
      </c>
      <c r="AQ244" s="146">
        <f t="shared" si="3"/>
        <v>0</v>
      </c>
    </row>
    <row r="245" spans="1:43">
      <c r="A245" s="146" t="s">
        <v>1057</v>
      </c>
      <c r="B245" s="146" t="s">
        <v>840</v>
      </c>
      <c r="C245" s="146" t="s">
        <v>871</v>
      </c>
      <c r="D245" s="146" t="s">
        <v>877</v>
      </c>
      <c r="E245" s="323" t="s">
        <v>854</v>
      </c>
      <c r="J245" s="146" t="s">
        <v>843</v>
      </c>
      <c r="K245" s="477">
        <v>24</v>
      </c>
      <c r="L245" s="146" t="s">
        <v>844</v>
      </c>
      <c r="M245" s="146" t="s">
        <v>341</v>
      </c>
      <c r="N245" s="477">
        <v>4.57</v>
      </c>
      <c r="O245" s="146" t="s">
        <v>845</v>
      </c>
      <c r="P245" s="477">
        <v>110</v>
      </c>
      <c r="Q245" s="478">
        <v>0</v>
      </c>
      <c r="R245" s="478">
        <v>110</v>
      </c>
      <c r="S245" s="479">
        <v>100</v>
      </c>
      <c r="T245" s="146">
        <v>0</v>
      </c>
      <c r="U245" s="479">
        <v>100</v>
      </c>
      <c r="V245" s="146">
        <v>0</v>
      </c>
      <c r="W245" s="146">
        <v>0</v>
      </c>
      <c r="X245" s="146">
        <v>0</v>
      </c>
      <c r="Y245" s="146">
        <v>0.83</v>
      </c>
      <c r="Z245" s="146">
        <v>0.34029999999999994</v>
      </c>
      <c r="AB245" s="146" t="s">
        <v>869</v>
      </c>
      <c r="AC245" s="146" t="s">
        <v>873</v>
      </c>
      <c r="AD245" s="146" t="s">
        <v>847</v>
      </c>
      <c r="AG245" s="146">
        <v>0</v>
      </c>
      <c r="AH245" s="146">
        <v>0</v>
      </c>
      <c r="AI245" s="146">
        <v>0</v>
      </c>
      <c r="AJ245" s="146">
        <v>91</v>
      </c>
      <c r="AK245" s="146">
        <v>91</v>
      </c>
      <c r="AL245" s="146">
        <v>0</v>
      </c>
      <c r="AM245" s="146">
        <v>0</v>
      </c>
      <c r="AQ245" s="146">
        <f t="shared" si="3"/>
        <v>0</v>
      </c>
    </row>
    <row r="246" spans="1:43">
      <c r="A246" s="146" t="s">
        <v>1057</v>
      </c>
      <c r="B246" s="146" t="s">
        <v>840</v>
      </c>
      <c r="C246" s="146" t="s">
        <v>878</v>
      </c>
      <c r="D246" s="146" t="s">
        <v>879</v>
      </c>
      <c r="E246" s="323" t="s">
        <v>854</v>
      </c>
      <c r="J246" s="146" t="s">
        <v>843</v>
      </c>
      <c r="K246" s="477">
        <v>1436</v>
      </c>
      <c r="L246" s="146" t="s">
        <v>844</v>
      </c>
      <c r="M246" s="146" t="s">
        <v>341</v>
      </c>
      <c r="N246" s="477">
        <v>10.1</v>
      </c>
      <c r="O246" s="146" t="s">
        <v>845</v>
      </c>
      <c r="P246" s="477">
        <v>14504</v>
      </c>
      <c r="Q246" s="478">
        <v>0</v>
      </c>
      <c r="R246" s="478">
        <v>14504</v>
      </c>
      <c r="S246" s="479">
        <v>89.54</v>
      </c>
      <c r="T246" s="146">
        <v>1517</v>
      </c>
      <c r="U246" s="479">
        <v>100</v>
      </c>
      <c r="V246" s="146">
        <v>1517</v>
      </c>
      <c r="W246" s="146">
        <v>0</v>
      </c>
      <c r="X246" s="146">
        <v>1517</v>
      </c>
      <c r="Y246" s="146">
        <v>0.85</v>
      </c>
      <c r="Z246" s="146">
        <v>0.28699999999999998</v>
      </c>
      <c r="AB246" s="146" t="s">
        <v>869</v>
      </c>
      <c r="AC246" s="146" t="s">
        <v>873</v>
      </c>
      <c r="AD246" s="146" t="s">
        <v>847</v>
      </c>
      <c r="AG246" s="146">
        <v>1289</v>
      </c>
      <c r="AH246" s="146">
        <v>435</v>
      </c>
      <c r="AI246" s="146">
        <v>0</v>
      </c>
      <c r="AJ246" s="146">
        <v>12328</v>
      </c>
      <c r="AK246" s="146">
        <v>12328</v>
      </c>
      <c r="AL246" s="146">
        <v>1289</v>
      </c>
      <c r="AM246" s="146">
        <v>1289</v>
      </c>
      <c r="AQ246" s="146">
        <f t="shared" si="3"/>
        <v>5059</v>
      </c>
    </row>
    <row r="247" spans="1:43">
      <c r="A247" s="146" t="s">
        <v>1057</v>
      </c>
      <c r="B247" s="146" t="s">
        <v>840</v>
      </c>
      <c r="C247" s="146" t="s">
        <v>880</v>
      </c>
      <c r="D247" s="146" t="s">
        <v>881</v>
      </c>
      <c r="E247" s="323" t="s">
        <v>854</v>
      </c>
      <c r="J247" s="146" t="s">
        <v>843</v>
      </c>
      <c r="K247" s="477">
        <v>39</v>
      </c>
      <c r="L247" s="146" t="s">
        <v>844</v>
      </c>
      <c r="M247" s="146" t="s">
        <v>341</v>
      </c>
      <c r="N247" s="477">
        <v>1.9</v>
      </c>
      <c r="O247" s="146" t="s">
        <v>845</v>
      </c>
      <c r="P247" s="477">
        <v>74</v>
      </c>
      <c r="Q247" s="478">
        <v>0</v>
      </c>
      <c r="R247" s="478">
        <v>74</v>
      </c>
      <c r="S247" s="479">
        <v>100</v>
      </c>
      <c r="T247" s="146">
        <v>0</v>
      </c>
      <c r="U247" s="479">
        <v>100</v>
      </c>
      <c r="V247" s="146">
        <v>0</v>
      </c>
      <c r="W247" s="146">
        <v>0</v>
      </c>
      <c r="X247" s="146">
        <v>0</v>
      </c>
      <c r="Y247" s="146">
        <v>0.9</v>
      </c>
      <c r="Z247" s="146">
        <v>0.56700000000000006</v>
      </c>
      <c r="AB247" s="146" t="s">
        <v>869</v>
      </c>
      <c r="AC247" s="158" t="s">
        <v>882</v>
      </c>
      <c r="AD247" s="146" t="s">
        <v>847</v>
      </c>
      <c r="AG247" s="146">
        <v>0</v>
      </c>
      <c r="AH247" s="146">
        <v>0</v>
      </c>
      <c r="AI247" s="146">
        <v>0</v>
      </c>
      <c r="AJ247" s="146">
        <v>67</v>
      </c>
      <c r="AK247" s="146">
        <v>67</v>
      </c>
      <c r="AL247" s="146">
        <v>0</v>
      </c>
      <c r="AM247" s="146">
        <v>0</v>
      </c>
      <c r="AQ247" s="146">
        <f t="shared" si="3"/>
        <v>0</v>
      </c>
    </row>
    <row r="248" spans="1:43">
      <c r="A248" s="146" t="s">
        <v>1057</v>
      </c>
      <c r="B248" s="146" t="s">
        <v>840</v>
      </c>
      <c r="C248" s="146" t="s">
        <v>880</v>
      </c>
      <c r="D248" s="146" t="s">
        <v>883</v>
      </c>
      <c r="E248" s="323" t="s">
        <v>854</v>
      </c>
      <c r="J248" s="146" t="s">
        <v>843</v>
      </c>
      <c r="K248" s="477">
        <v>1408</v>
      </c>
      <c r="L248" s="146" t="s">
        <v>844</v>
      </c>
      <c r="M248" s="146" t="s">
        <v>341</v>
      </c>
      <c r="N248" s="477">
        <v>3.8</v>
      </c>
      <c r="O248" s="146" t="s">
        <v>845</v>
      </c>
      <c r="P248" s="477">
        <v>5350</v>
      </c>
      <c r="Q248" s="478">
        <v>0</v>
      </c>
      <c r="R248" s="478">
        <v>5350</v>
      </c>
      <c r="S248" s="479">
        <v>47.67</v>
      </c>
      <c r="T248" s="146">
        <v>2800</v>
      </c>
      <c r="U248" s="479">
        <v>100</v>
      </c>
      <c r="V248" s="146">
        <v>2800</v>
      </c>
      <c r="W248" s="146">
        <v>300</v>
      </c>
      <c r="X248" s="146">
        <v>3100</v>
      </c>
      <c r="Y248" s="146">
        <v>0.91</v>
      </c>
      <c r="Z248" s="146">
        <v>0.56700000000000006</v>
      </c>
      <c r="AB248" s="146" t="s">
        <v>869</v>
      </c>
      <c r="AC248" s="146" t="s">
        <v>884</v>
      </c>
      <c r="AD248" s="146" t="s">
        <v>847</v>
      </c>
      <c r="AG248" s="146">
        <v>2821</v>
      </c>
      <c r="AH248" s="146">
        <v>1758</v>
      </c>
      <c r="AI248" s="146">
        <v>0</v>
      </c>
      <c r="AJ248" s="146">
        <v>4868</v>
      </c>
      <c r="AK248" s="146">
        <v>4868</v>
      </c>
      <c r="AL248" s="146">
        <v>2548</v>
      </c>
      <c r="AM248" s="146">
        <v>2548</v>
      </c>
      <c r="AQ248" s="146">
        <v>20446</v>
      </c>
    </row>
    <row r="249" spans="1:43">
      <c r="A249" s="146" t="s">
        <v>1057</v>
      </c>
      <c r="B249" s="146" t="s">
        <v>840</v>
      </c>
      <c r="C249" s="146" t="s">
        <v>880</v>
      </c>
      <c r="D249" s="146" t="s">
        <v>885</v>
      </c>
      <c r="E249" s="323" t="s">
        <v>854</v>
      </c>
      <c r="J249" s="146" t="s">
        <v>843</v>
      </c>
      <c r="K249" s="477">
        <v>141</v>
      </c>
      <c r="L249" s="146" t="s">
        <v>844</v>
      </c>
      <c r="M249" s="146" t="s">
        <v>341</v>
      </c>
      <c r="N249" s="477">
        <v>2.9</v>
      </c>
      <c r="O249" s="146" t="s">
        <v>845</v>
      </c>
      <c r="P249" s="477">
        <v>409</v>
      </c>
      <c r="Q249" s="478">
        <v>0</v>
      </c>
      <c r="R249" s="478">
        <v>409</v>
      </c>
      <c r="S249" s="479">
        <v>100</v>
      </c>
      <c r="T249" s="146">
        <v>0</v>
      </c>
      <c r="U249" s="479">
        <v>100</v>
      </c>
      <c r="V249" s="146">
        <v>0</v>
      </c>
      <c r="W249" s="146">
        <v>0</v>
      </c>
      <c r="X249" s="146">
        <v>0</v>
      </c>
      <c r="Y249" s="146">
        <v>0.85</v>
      </c>
      <c r="Z249" s="146">
        <v>0.53549999999999998</v>
      </c>
      <c r="AB249" s="146" t="s">
        <v>869</v>
      </c>
      <c r="AC249" s="158" t="s">
        <v>886</v>
      </c>
      <c r="AD249" s="146" t="s">
        <v>847</v>
      </c>
      <c r="AG249" s="146">
        <v>0</v>
      </c>
      <c r="AH249" s="146">
        <v>0</v>
      </c>
      <c r="AI249" s="146">
        <v>0</v>
      </c>
      <c r="AJ249" s="146">
        <v>348</v>
      </c>
      <c r="AK249" s="146">
        <v>348</v>
      </c>
      <c r="AL249" s="146">
        <v>0</v>
      </c>
      <c r="AM249" s="146">
        <v>0</v>
      </c>
      <c r="AQ249" s="146">
        <f t="shared" si="3"/>
        <v>0</v>
      </c>
    </row>
    <row r="250" spans="1:43">
      <c r="A250" s="146" t="s">
        <v>1057</v>
      </c>
      <c r="B250" s="146" t="s">
        <v>840</v>
      </c>
      <c r="C250" s="146" t="s">
        <v>880</v>
      </c>
      <c r="D250" s="146" t="s">
        <v>887</v>
      </c>
      <c r="E250" s="323" t="s">
        <v>854</v>
      </c>
      <c r="J250" s="146" t="s">
        <v>843</v>
      </c>
      <c r="K250" s="477">
        <v>587</v>
      </c>
      <c r="L250" s="146" t="s">
        <v>844</v>
      </c>
      <c r="M250" s="146" t="s">
        <v>341</v>
      </c>
      <c r="N250" s="477">
        <v>2.8</v>
      </c>
      <c r="O250" s="146" t="s">
        <v>845</v>
      </c>
      <c r="P250" s="477">
        <v>1644</v>
      </c>
      <c r="Q250" s="478">
        <v>0</v>
      </c>
      <c r="R250" s="478">
        <v>1644</v>
      </c>
      <c r="S250" s="479">
        <v>92.09</v>
      </c>
      <c r="T250" s="146">
        <v>130</v>
      </c>
      <c r="U250" s="479">
        <v>100</v>
      </c>
      <c r="V250" s="146">
        <v>130</v>
      </c>
      <c r="W250" s="146">
        <v>0</v>
      </c>
      <c r="X250" s="146">
        <v>130</v>
      </c>
      <c r="Y250" s="146">
        <v>0.91</v>
      </c>
      <c r="Z250" s="146">
        <v>0.58590000000000009</v>
      </c>
      <c r="AB250" s="146" t="s">
        <v>869</v>
      </c>
      <c r="AC250" s="146" t="s">
        <v>888</v>
      </c>
      <c r="AD250" s="146" t="s">
        <v>847</v>
      </c>
      <c r="AG250" s="146">
        <v>118</v>
      </c>
      <c r="AH250" s="146">
        <v>76</v>
      </c>
      <c r="AI250" s="146">
        <v>0</v>
      </c>
      <c r="AJ250" s="146">
        <v>1496</v>
      </c>
      <c r="AK250" s="146">
        <v>1496</v>
      </c>
      <c r="AL250" s="146">
        <v>118</v>
      </c>
      <c r="AM250" s="146">
        <v>118</v>
      </c>
      <c r="AQ250" s="146">
        <f t="shared" si="3"/>
        <v>884</v>
      </c>
    </row>
    <row r="251" spans="1:43">
      <c r="A251" s="146" t="s">
        <v>1057</v>
      </c>
      <c r="B251" s="146" t="s">
        <v>840</v>
      </c>
      <c r="C251" s="146" t="s">
        <v>889</v>
      </c>
      <c r="D251" s="146" t="s">
        <v>890</v>
      </c>
      <c r="E251" s="323" t="s">
        <v>854</v>
      </c>
      <c r="P251" s="477">
        <v>0</v>
      </c>
      <c r="Q251" s="478">
        <v>0</v>
      </c>
      <c r="R251" s="478">
        <v>0</v>
      </c>
      <c r="S251" s="479">
        <v>0</v>
      </c>
      <c r="T251" s="146">
        <v>0</v>
      </c>
      <c r="U251" s="479"/>
      <c r="V251" s="146">
        <v>0</v>
      </c>
      <c r="W251" s="146">
        <v>0</v>
      </c>
      <c r="X251" s="146">
        <v>0</v>
      </c>
      <c r="AF251" s="146" t="s">
        <v>891</v>
      </c>
      <c r="AG251" s="146">
        <v>0</v>
      </c>
      <c r="AH251" s="146">
        <v>0</v>
      </c>
      <c r="AI251" s="146">
        <v>0</v>
      </c>
      <c r="AJ251" s="146">
        <v>0</v>
      </c>
      <c r="AK251" s="146">
        <v>0</v>
      </c>
      <c r="AL251" s="146">
        <v>0</v>
      </c>
      <c r="AM251" s="146">
        <v>0</v>
      </c>
      <c r="AQ251" s="146">
        <f t="shared" si="3"/>
        <v>0</v>
      </c>
    </row>
    <row r="252" spans="1:43">
      <c r="A252" s="146" t="s">
        <v>1057</v>
      </c>
      <c r="B252" s="146" t="s">
        <v>840</v>
      </c>
      <c r="C252" s="146" t="s">
        <v>892</v>
      </c>
      <c r="D252" s="146" t="s">
        <v>893</v>
      </c>
      <c r="E252" s="146" t="s">
        <v>862</v>
      </c>
      <c r="F252" s="146" t="s">
        <v>872</v>
      </c>
      <c r="G252" s="146">
        <v>2514</v>
      </c>
      <c r="H252" s="477">
        <v>3.5000000000000001E-3</v>
      </c>
      <c r="I252" s="146" t="s">
        <v>894</v>
      </c>
      <c r="P252" s="477">
        <v>9</v>
      </c>
      <c r="Q252" s="478">
        <v>0</v>
      </c>
      <c r="R252" s="478">
        <v>9</v>
      </c>
      <c r="S252" s="479"/>
      <c r="T252" s="146">
        <v>9</v>
      </c>
      <c r="U252" s="479">
        <v>10</v>
      </c>
      <c r="V252" s="146">
        <v>1</v>
      </c>
      <c r="W252" s="146">
        <v>0</v>
      </c>
      <c r="X252" s="146">
        <v>1</v>
      </c>
      <c r="Y252" s="146">
        <v>0.85</v>
      </c>
      <c r="Z252" s="146">
        <v>0.21279999999999999</v>
      </c>
      <c r="AA252" s="146">
        <v>250</v>
      </c>
      <c r="AB252" s="146" t="s">
        <v>895</v>
      </c>
      <c r="AC252" s="146" t="s">
        <v>896</v>
      </c>
      <c r="AG252" s="146">
        <v>1</v>
      </c>
      <c r="AH252" s="146">
        <v>0</v>
      </c>
      <c r="AI252" s="146">
        <v>250</v>
      </c>
      <c r="AJ252" s="146">
        <v>8</v>
      </c>
      <c r="AK252" s="146">
        <v>8</v>
      </c>
      <c r="AL252" s="146">
        <v>8</v>
      </c>
      <c r="AM252" s="146">
        <v>1</v>
      </c>
      <c r="AQ252" s="146">
        <f t="shared" si="3"/>
        <v>0</v>
      </c>
    </row>
    <row r="253" spans="1:43">
      <c r="A253" s="146" t="s">
        <v>1057</v>
      </c>
      <c r="B253" s="146" t="s">
        <v>840</v>
      </c>
      <c r="C253" s="146" t="s">
        <v>892</v>
      </c>
      <c r="D253" s="146" t="s">
        <v>897</v>
      </c>
      <c r="E253" s="146" t="s">
        <v>862</v>
      </c>
      <c r="F253" s="146" t="s">
        <v>874</v>
      </c>
      <c r="G253" s="146">
        <v>544</v>
      </c>
      <c r="H253" s="477">
        <v>3.5000000000000001E-3</v>
      </c>
      <c r="I253" s="146" t="s">
        <v>894</v>
      </c>
      <c r="P253" s="477">
        <v>2</v>
      </c>
      <c r="Q253" s="478">
        <v>0</v>
      </c>
      <c r="R253" s="478">
        <v>2</v>
      </c>
      <c r="S253" s="479"/>
      <c r="T253" s="146">
        <v>2</v>
      </c>
      <c r="U253" s="479">
        <v>10</v>
      </c>
      <c r="V253" s="146">
        <v>0</v>
      </c>
      <c r="W253" s="146">
        <v>0</v>
      </c>
      <c r="X253" s="146">
        <v>0</v>
      </c>
      <c r="Y253" s="477">
        <v>0.85</v>
      </c>
      <c r="Z253" s="477">
        <v>0.21279999999999999</v>
      </c>
      <c r="AA253" s="146">
        <v>250</v>
      </c>
      <c r="AB253" s="146" t="s">
        <v>895</v>
      </c>
      <c r="AC253" s="146" t="s">
        <v>896</v>
      </c>
      <c r="AG253" s="146">
        <v>0</v>
      </c>
      <c r="AH253" s="146">
        <v>0</v>
      </c>
      <c r="AI253" s="146">
        <v>0</v>
      </c>
      <c r="AJ253" s="146">
        <v>2</v>
      </c>
      <c r="AK253" s="146">
        <v>2</v>
      </c>
      <c r="AL253" s="146">
        <v>2</v>
      </c>
      <c r="AM253" s="146">
        <v>0</v>
      </c>
      <c r="AQ253" s="146">
        <f t="shared" si="3"/>
        <v>0</v>
      </c>
    </row>
    <row r="254" spans="1:43">
      <c r="A254" s="146" t="s">
        <v>1057</v>
      </c>
      <c r="B254" s="146" t="s">
        <v>840</v>
      </c>
      <c r="C254" s="146" t="s">
        <v>892</v>
      </c>
      <c r="D254" s="146" t="s">
        <v>898</v>
      </c>
      <c r="E254" s="146" t="s">
        <v>862</v>
      </c>
      <c r="F254" s="146" t="s">
        <v>875</v>
      </c>
      <c r="G254" s="146">
        <v>38672</v>
      </c>
      <c r="H254" s="477">
        <v>3.5000000000000001E-3</v>
      </c>
      <c r="I254" s="146" t="s">
        <v>894</v>
      </c>
      <c r="P254" s="477">
        <v>135</v>
      </c>
      <c r="Q254" s="478">
        <v>0</v>
      </c>
      <c r="R254" s="478">
        <v>135</v>
      </c>
      <c r="S254" s="479"/>
      <c r="T254" s="146">
        <v>135</v>
      </c>
      <c r="U254" s="479">
        <v>10</v>
      </c>
      <c r="V254" s="146">
        <v>14</v>
      </c>
      <c r="W254" s="146">
        <v>0</v>
      </c>
      <c r="X254" s="146">
        <v>14</v>
      </c>
      <c r="Y254" s="477">
        <v>0.85</v>
      </c>
      <c r="Z254" s="146">
        <v>0.21279999999999999</v>
      </c>
      <c r="AA254" s="146">
        <v>250</v>
      </c>
      <c r="AB254" s="146" t="s">
        <v>895</v>
      </c>
      <c r="AC254" s="146" t="s">
        <v>896</v>
      </c>
      <c r="AG254" s="146">
        <v>12</v>
      </c>
      <c r="AH254" s="146">
        <v>3</v>
      </c>
      <c r="AI254" s="146">
        <v>3500</v>
      </c>
      <c r="AJ254" s="146">
        <v>115</v>
      </c>
      <c r="AK254" s="146">
        <v>115</v>
      </c>
      <c r="AL254" s="146">
        <v>115</v>
      </c>
      <c r="AM254" s="146">
        <v>12</v>
      </c>
      <c r="AQ254" s="146">
        <v>35</v>
      </c>
    </row>
    <row r="255" spans="1:43">
      <c r="A255" s="146" t="s">
        <v>1057</v>
      </c>
      <c r="B255" s="146" t="s">
        <v>840</v>
      </c>
      <c r="C255" s="146" t="s">
        <v>899</v>
      </c>
      <c r="D255" s="146" t="s">
        <v>900</v>
      </c>
      <c r="E255" s="146" t="s">
        <v>862</v>
      </c>
      <c r="F255" s="146" t="s">
        <v>883</v>
      </c>
      <c r="G255" s="146">
        <v>5350</v>
      </c>
      <c r="H255" s="477">
        <v>1.7000000000000001E-2</v>
      </c>
      <c r="I255" s="146" t="s">
        <v>894</v>
      </c>
      <c r="P255" s="477">
        <v>91</v>
      </c>
      <c r="Q255" s="478">
        <v>0</v>
      </c>
      <c r="R255" s="478">
        <v>91</v>
      </c>
      <c r="S255" s="479"/>
      <c r="T255" s="146">
        <v>91</v>
      </c>
      <c r="U255" s="479">
        <v>10</v>
      </c>
      <c r="V255" s="146">
        <v>9</v>
      </c>
      <c r="W255" s="146">
        <v>0</v>
      </c>
      <c r="X255" s="146">
        <v>9</v>
      </c>
      <c r="Y255" s="146">
        <v>0.91</v>
      </c>
      <c r="Z255" s="146">
        <v>0.21279999999999999</v>
      </c>
      <c r="AA255" s="146">
        <v>250</v>
      </c>
      <c r="AB255" s="146" t="s">
        <v>895</v>
      </c>
      <c r="AC255" s="146" t="s">
        <v>896</v>
      </c>
      <c r="AG255" s="146">
        <v>8</v>
      </c>
      <c r="AH255" s="146">
        <v>2</v>
      </c>
      <c r="AI255" s="146">
        <v>2250</v>
      </c>
      <c r="AJ255" s="146">
        <v>83</v>
      </c>
      <c r="AK255" s="146">
        <v>83</v>
      </c>
      <c r="AL255" s="146">
        <v>83</v>
      </c>
      <c r="AM255" s="146">
        <v>8</v>
      </c>
      <c r="AQ255" s="146">
        <f t="shared" si="3"/>
        <v>23</v>
      </c>
    </row>
    <row r="256" spans="1:43">
      <c r="A256" s="146" t="s">
        <v>1057</v>
      </c>
      <c r="B256" s="146" t="s">
        <v>840</v>
      </c>
      <c r="C256" s="146" t="s">
        <v>901</v>
      </c>
      <c r="D256" s="146" t="s">
        <v>902</v>
      </c>
      <c r="E256" s="146" t="s">
        <v>862</v>
      </c>
      <c r="F256" s="146" t="s">
        <v>879</v>
      </c>
      <c r="G256" s="146">
        <v>14504</v>
      </c>
      <c r="H256" s="477">
        <v>8.0000000000000002E-3</v>
      </c>
      <c r="I256" s="146" t="s">
        <v>894</v>
      </c>
      <c r="P256" s="477">
        <v>116</v>
      </c>
      <c r="Q256" s="478">
        <v>0</v>
      </c>
      <c r="R256" s="478">
        <v>116</v>
      </c>
      <c r="S256" s="479"/>
      <c r="T256" s="146">
        <v>116</v>
      </c>
      <c r="U256" s="479">
        <v>10</v>
      </c>
      <c r="V256" s="146">
        <v>12</v>
      </c>
      <c r="W256" s="146">
        <v>0</v>
      </c>
      <c r="X256" s="146">
        <v>12</v>
      </c>
      <c r="Y256" s="146">
        <v>0.85</v>
      </c>
      <c r="Z256" s="146">
        <v>0.21279999999999999</v>
      </c>
      <c r="AA256" s="146">
        <v>250</v>
      </c>
      <c r="AB256" s="146" t="s">
        <v>895</v>
      </c>
      <c r="AC256" s="146" t="s">
        <v>896</v>
      </c>
      <c r="AG256" s="146">
        <v>10</v>
      </c>
      <c r="AH256" s="146">
        <v>3</v>
      </c>
      <c r="AI256" s="146">
        <v>3000</v>
      </c>
      <c r="AJ256" s="146">
        <v>99</v>
      </c>
      <c r="AK256" s="146">
        <v>99</v>
      </c>
      <c r="AL256" s="146">
        <v>99</v>
      </c>
      <c r="AM256" s="146">
        <v>10</v>
      </c>
      <c r="AQ256" s="146">
        <f t="shared" si="3"/>
        <v>35</v>
      </c>
    </row>
    <row r="257" spans="1:43">
      <c r="A257" s="146" t="s">
        <v>1057</v>
      </c>
      <c r="B257" s="146" t="s">
        <v>840</v>
      </c>
      <c r="C257" s="146" t="s">
        <v>892</v>
      </c>
      <c r="D257" s="146" t="s">
        <v>903</v>
      </c>
      <c r="E257" s="146" t="s">
        <v>862</v>
      </c>
      <c r="F257" s="146" t="s">
        <v>876</v>
      </c>
      <c r="G257" s="146">
        <v>12078</v>
      </c>
      <c r="H257" s="477">
        <v>1.0999999999999999E-2</v>
      </c>
      <c r="I257" s="146" t="s">
        <v>894</v>
      </c>
      <c r="P257" s="477">
        <v>133</v>
      </c>
      <c r="Q257" s="478">
        <v>0</v>
      </c>
      <c r="R257" s="478">
        <v>133</v>
      </c>
      <c r="S257" s="479"/>
      <c r="T257" s="146">
        <v>133</v>
      </c>
      <c r="U257" s="479">
        <v>10</v>
      </c>
      <c r="V257" s="146">
        <v>13</v>
      </c>
      <c r="W257" s="146">
        <v>0</v>
      </c>
      <c r="X257" s="146">
        <v>13</v>
      </c>
      <c r="Y257" s="477">
        <v>0.85</v>
      </c>
      <c r="Z257" s="146">
        <v>0.21279999999999999</v>
      </c>
      <c r="AA257" s="146">
        <v>250</v>
      </c>
      <c r="AB257" s="146" t="s">
        <v>895</v>
      </c>
      <c r="AC257" s="146" t="s">
        <v>896</v>
      </c>
      <c r="AG257" s="146">
        <v>11</v>
      </c>
      <c r="AH257" s="146">
        <v>3</v>
      </c>
      <c r="AI257" s="146">
        <v>3250</v>
      </c>
      <c r="AJ257" s="146">
        <v>113</v>
      </c>
      <c r="AK257" s="146">
        <v>113</v>
      </c>
      <c r="AL257" s="146">
        <v>113</v>
      </c>
      <c r="AM257" s="146">
        <v>11</v>
      </c>
      <c r="AQ257" s="146">
        <f t="shared" si="3"/>
        <v>35</v>
      </c>
    </row>
    <row r="258" spans="1:43">
      <c r="A258" s="146" t="s">
        <v>1057</v>
      </c>
      <c r="B258" s="146" t="s">
        <v>840</v>
      </c>
      <c r="C258" s="146" t="s">
        <v>892</v>
      </c>
      <c r="D258" s="146" t="s">
        <v>904</v>
      </c>
      <c r="E258" s="146" t="s">
        <v>862</v>
      </c>
      <c r="F258" s="146" t="s">
        <v>877</v>
      </c>
      <c r="G258" s="146">
        <v>110</v>
      </c>
      <c r="H258" s="477">
        <v>3.5000000000000001E-3</v>
      </c>
      <c r="I258" s="146" t="s">
        <v>894</v>
      </c>
      <c r="P258" s="477">
        <v>0</v>
      </c>
      <c r="Q258" s="478">
        <v>0</v>
      </c>
      <c r="R258" s="478">
        <v>0</v>
      </c>
      <c r="S258" s="479"/>
      <c r="T258" s="146">
        <v>0</v>
      </c>
      <c r="U258" s="479">
        <v>10</v>
      </c>
      <c r="V258" s="146">
        <v>0</v>
      </c>
      <c r="W258" s="146">
        <v>0</v>
      </c>
      <c r="X258" s="146">
        <v>0</v>
      </c>
      <c r="Y258" s="146">
        <v>0.85</v>
      </c>
      <c r="Z258" s="146">
        <v>0.21279999999999999</v>
      </c>
      <c r="AA258" s="146">
        <v>250</v>
      </c>
      <c r="AB258" s="146" t="s">
        <v>895</v>
      </c>
      <c r="AC258" s="146" t="s">
        <v>896</v>
      </c>
      <c r="AG258" s="146">
        <v>0</v>
      </c>
      <c r="AH258" s="146">
        <v>0</v>
      </c>
      <c r="AI258" s="146">
        <v>0</v>
      </c>
      <c r="AJ258" s="146">
        <v>0</v>
      </c>
      <c r="AK258" s="146">
        <v>0</v>
      </c>
      <c r="AL258" s="146">
        <v>0</v>
      </c>
      <c r="AM258" s="146">
        <v>0</v>
      </c>
      <c r="AQ258" s="146">
        <f t="shared" si="3"/>
        <v>0</v>
      </c>
    </row>
    <row r="259" spans="1:43">
      <c r="A259" s="146" t="s">
        <v>1057</v>
      </c>
      <c r="B259" s="146" t="s">
        <v>840</v>
      </c>
      <c r="C259" s="146" t="s">
        <v>899</v>
      </c>
      <c r="D259" s="146" t="s">
        <v>905</v>
      </c>
      <c r="E259" s="146" t="s">
        <v>862</v>
      </c>
      <c r="F259" s="146" t="s">
        <v>906</v>
      </c>
      <c r="G259" s="146">
        <v>1644</v>
      </c>
      <c r="H259" s="477">
        <v>1.7000000000000001E-2</v>
      </c>
      <c r="I259" s="146" t="s">
        <v>894</v>
      </c>
      <c r="P259" s="477">
        <v>28</v>
      </c>
      <c r="Q259" s="478">
        <v>0</v>
      </c>
      <c r="R259" s="478">
        <v>28</v>
      </c>
      <c r="S259" s="479"/>
      <c r="T259" s="146">
        <v>28</v>
      </c>
      <c r="U259" s="479">
        <v>10</v>
      </c>
      <c r="V259" s="146">
        <v>3</v>
      </c>
      <c r="W259" s="146">
        <v>0</v>
      </c>
      <c r="X259" s="146">
        <v>3</v>
      </c>
      <c r="Y259" s="146">
        <v>0.91</v>
      </c>
      <c r="Z259" s="146">
        <v>0.21279999999999999</v>
      </c>
      <c r="AA259" s="146">
        <v>250</v>
      </c>
      <c r="AB259" s="146" t="s">
        <v>895</v>
      </c>
      <c r="AC259" s="146" t="s">
        <v>896</v>
      </c>
      <c r="AG259" s="146">
        <v>3</v>
      </c>
      <c r="AH259" s="146">
        <v>1</v>
      </c>
      <c r="AI259" s="146">
        <v>750</v>
      </c>
      <c r="AJ259" s="146">
        <v>25</v>
      </c>
      <c r="AK259" s="146">
        <v>25</v>
      </c>
      <c r="AL259" s="146">
        <v>25</v>
      </c>
      <c r="AM259" s="146">
        <v>3</v>
      </c>
      <c r="AQ259" s="146">
        <f t="shared" ref="AQ259:AQ322" si="4">ROUND(AH259*11.63,0)</f>
        <v>12</v>
      </c>
    </row>
    <row r="260" spans="1:43">
      <c r="A260" s="146" t="s">
        <v>1057</v>
      </c>
      <c r="B260" s="146" t="s">
        <v>840</v>
      </c>
      <c r="C260" s="146" t="s">
        <v>907</v>
      </c>
      <c r="D260" s="146" t="s">
        <v>907</v>
      </c>
      <c r="E260" s="146" t="s">
        <v>842</v>
      </c>
      <c r="J260" s="146" t="s">
        <v>843</v>
      </c>
      <c r="K260" s="146">
        <v>69.13</v>
      </c>
      <c r="L260" s="146" t="s">
        <v>844</v>
      </c>
      <c r="M260" s="146" t="s">
        <v>341</v>
      </c>
      <c r="N260" s="146">
        <v>6.9</v>
      </c>
      <c r="O260" s="146" t="s">
        <v>845</v>
      </c>
      <c r="P260" s="477">
        <v>477</v>
      </c>
      <c r="Q260" s="478">
        <v>0</v>
      </c>
      <c r="R260" s="478">
        <v>477</v>
      </c>
      <c r="S260" s="479">
        <v>0</v>
      </c>
      <c r="T260" s="146">
        <v>477</v>
      </c>
      <c r="U260" s="479">
        <v>100</v>
      </c>
      <c r="V260" s="146">
        <v>477</v>
      </c>
      <c r="W260" s="146">
        <v>0</v>
      </c>
      <c r="X260" s="146">
        <v>477</v>
      </c>
      <c r="Y260" s="146">
        <v>0.8</v>
      </c>
      <c r="Z260" s="146">
        <v>0.32800000000000001</v>
      </c>
      <c r="AB260" s="146" t="s">
        <v>851</v>
      </c>
      <c r="AF260" s="146" t="s">
        <v>852</v>
      </c>
      <c r="AG260" s="146">
        <v>382</v>
      </c>
      <c r="AH260" s="146">
        <v>156</v>
      </c>
      <c r="AI260" s="146">
        <v>0</v>
      </c>
      <c r="AJ260" s="146">
        <v>382</v>
      </c>
      <c r="AK260" s="146">
        <v>382</v>
      </c>
      <c r="AL260" s="146">
        <v>382</v>
      </c>
      <c r="AM260" s="146">
        <v>382</v>
      </c>
      <c r="AQ260" s="146">
        <f t="shared" si="4"/>
        <v>1814</v>
      </c>
    </row>
    <row r="261" spans="1:43">
      <c r="A261" s="146" t="s">
        <v>1057</v>
      </c>
      <c r="B261" s="146" t="s">
        <v>908</v>
      </c>
      <c r="C261" s="146" t="s">
        <v>909</v>
      </c>
      <c r="D261" s="146" t="s">
        <v>910</v>
      </c>
      <c r="E261" s="146" t="s">
        <v>842</v>
      </c>
      <c r="J261" s="146" t="s">
        <v>911</v>
      </c>
      <c r="K261" s="477">
        <v>60036</v>
      </c>
      <c r="L261" s="146" t="s">
        <v>912</v>
      </c>
      <c r="M261" s="146" t="s">
        <v>913</v>
      </c>
      <c r="N261" s="477">
        <v>1.18E-2</v>
      </c>
      <c r="O261" s="146" t="s">
        <v>914</v>
      </c>
      <c r="P261" s="477">
        <v>708</v>
      </c>
      <c r="Q261" s="478">
        <v>23.6</v>
      </c>
      <c r="R261" s="478">
        <v>541</v>
      </c>
      <c r="S261" s="479">
        <v>0</v>
      </c>
      <c r="T261" s="146">
        <v>541</v>
      </c>
      <c r="U261" s="479">
        <v>5</v>
      </c>
      <c r="V261" s="146">
        <v>27</v>
      </c>
      <c r="W261" s="146">
        <v>0</v>
      </c>
      <c r="X261" s="146">
        <v>27</v>
      </c>
      <c r="Y261" s="477">
        <v>0.78</v>
      </c>
      <c r="Z261" s="477">
        <v>0.13089999999999999</v>
      </c>
      <c r="AA261" s="477">
        <v>154</v>
      </c>
      <c r="AB261" s="146" t="s">
        <v>915</v>
      </c>
      <c r="AC261" s="146" t="s">
        <v>916</v>
      </c>
      <c r="AD261" s="146" t="s">
        <v>856</v>
      </c>
      <c r="AG261" s="146">
        <v>21</v>
      </c>
      <c r="AH261" s="146">
        <v>4</v>
      </c>
      <c r="AI261" s="146">
        <v>4158</v>
      </c>
      <c r="AJ261" s="146">
        <v>552</v>
      </c>
      <c r="AK261" s="146">
        <v>422</v>
      </c>
      <c r="AL261" s="146">
        <v>422</v>
      </c>
      <c r="AM261" s="146">
        <v>21</v>
      </c>
      <c r="AQ261" s="146">
        <v>47</v>
      </c>
    </row>
    <row r="262" spans="1:43">
      <c r="A262" s="146" t="s">
        <v>1057</v>
      </c>
      <c r="B262" s="146" t="s">
        <v>908</v>
      </c>
      <c r="C262" s="146" t="s">
        <v>909</v>
      </c>
      <c r="D262" s="146" t="s">
        <v>917</v>
      </c>
      <c r="E262" s="146" t="s">
        <v>842</v>
      </c>
      <c r="J262" s="146" t="s">
        <v>911</v>
      </c>
      <c r="K262" s="477">
        <v>43926</v>
      </c>
      <c r="L262" s="146" t="s">
        <v>912</v>
      </c>
      <c r="M262" s="146" t="s">
        <v>913</v>
      </c>
      <c r="N262" s="477">
        <v>0.01</v>
      </c>
      <c r="O262" s="146" t="s">
        <v>914</v>
      </c>
      <c r="P262" s="477">
        <v>439</v>
      </c>
      <c r="Q262" s="478">
        <v>0</v>
      </c>
      <c r="R262" s="478">
        <v>439</v>
      </c>
      <c r="S262" s="479">
        <v>0</v>
      </c>
      <c r="T262" s="146">
        <v>439</v>
      </c>
      <c r="U262" s="479">
        <v>5</v>
      </c>
      <c r="V262" s="146">
        <v>22</v>
      </c>
      <c r="W262" s="146">
        <v>0</v>
      </c>
      <c r="X262" s="146">
        <v>22</v>
      </c>
      <c r="Y262" s="477">
        <v>0.6</v>
      </c>
      <c r="Z262" s="477">
        <v>0.1226</v>
      </c>
      <c r="AA262" s="477">
        <v>144</v>
      </c>
      <c r="AB262" s="146" t="s">
        <v>915</v>
      </c>
      <c r="AC262" s="146" t="s">
        <v>918</v>
      </c>
      <c r="AD262" s="146" t="s">
        <v>856</v>
      </c>
      <c r="AG262" s="146">
        <v>13</v>
      </c>
      <c r="AH262" s="146">
        <v>3</v>
      </c>
      <c r="AI262" s="146">
        <v>3168</v>
      </c>
      <c r="AJ262" s="146">
        <v>263</v>
      </c>
      <c r="AK262" s="146">
        <v>263</v>
      </c>
      <c r="AL262" s="146">
        <v>263</v>
      </c>
      <c r="AM262" s="146">
        <v>13</v>
      </c>
      <c r="AQ262" s="146">
        <f t="shared" si="4"/>
        <v>35</v>
      </c>
    </row>
    <row r="263" spans="1:43">
      <c r="A263" s="146" t="s">
        <v>1057</v>
      </c>
      <c r="B263" s="146" t="s">
        <v>908</v>
      </c>
      <c r="C263" s="146" t="s">
        <v>909</v>
      </c>
      <c r="D263" s="146" t="s">
        <v>919</v>
      </c>
      <c r="E263" s="146" t="s">
        <v>842</v>
      </c>
      <c r="J263" s="146" t="s">
        <v>911</v>
      </c>
      <c r="K263" s="477">
        <v>60036</v>
      </c>
      <c r="L263" s="146" t="s">
        <v>912</v>
      </c>
      <c r="M263" s="146" t="s">
        <v>913</v>
      </c>
      <c r="N263" s="477">
        <v>1.55E-2</v>
      </c>
      <c r="O263" s="146" t="s">
        <v>914</v>
      </c>
      <c r="P263" s="477">
        <v>931</v>
      </c>
      <c r="Q263" s="478">
        <v>0</v>
      </c>
      <c r="R263" s="478">
        <v>931</v>
      </c>
      <c r="S263" s="479">
        <v>0</v>
      </c>
      <c r="T263" s="146">
        <v>931</v>
      </c>
      <c r="U263" s="479">
        <v>5</v>
      </c>
      <c r="V263" s="146">
        <v>47</v>
      </c>
      <c r="W263" s="146">
        <v>0</v>
      </c>
      <c r="X263" s="146">
        <v>47</v>
      </c>
      <c r="Y263" s="477">
        <v>0.6</v>
      </c>
      <c r="Z263" s="477">
        <v>0.1226</v>
      </c>
      <c r="AA263" s="477">
        <v>144</v>
      </c>
      <c r="AB263" s="146" t="s">
        <v>915</v>
      </c>
      <c r="AC263" s="146" t="s">
        <v>918</v>
      </c>
      <c r="AD263" s="146" t="s">
        <v>856</v>
      </c>
      <c r="AG263" s="146">
        <v>28</v>
      </c>
      <c r="AH263" s="146">
        <v>6</v>
      </c>
      <c r="AI263" s="146">
        <v>6768</v>
      </c>
      <c r="AJ263" s="146">
        <v>559</v>
      </c>
      <c r="AK263" s="146">
        <v>559</v>
      </c>
      <c r="AL263" s="146">
        <v>559</v>
      </c>
      <c r="AM263" s="146">
        <v>28</v>
      </c>
      <c r="AQ263" s="146">
        <f t="shared" si="4"/>
        <v>70</v>
      </c>
    </row>
    <row r="264" spans="1:43">
      <c r="A264" s="146" t="s">
        <v>1057</v>
      </c>
      <c r="B264" s="146" t="s">
        <v>908</v>
      </c>
      <c r="C264" s="146" t="s">
        <v>909</v>
      </c>
      <c r="D264" s="146" t="s">
        <v>920</v>
      </c>
      <c r="E264" s="146" t="s">
        <v>842</v>
      </c>
      <c r="J264" s="146" t="s">
        <v>911</v>
      </c>
      <c r="K264" s="477">
        <v>193777</v>
      </c>
      <c r="L264" s="146" t="s">
        <v>912</v>
      </c>
      <c r="M264" s="146" t="s">
        <v>913</v>
      </c>
      <c r="N264" s="477">
        <v>2.2000000000000001E-3</v>
      </c>
      <c r="O264" s="146" t="s">
        <v>914</v>
      </c>
      <c r="P264" s="477">
        <v>426</v>
      </c>
      <c r="Q264" s="478">
        <v>0</v>
      </c>
      <c r="R264" s="478">
        <v>426</v>
      </c>
      <c r="S264" s="479">
        <v>0</v>
      </c>
      <c r="T264" s="146">
        <v>426</v>
      </c>
      <c r="U264" s="479">
        <v>5</v>
      </c>
      <c r="V264" s="146">
        <v>21</v>
      </c>
      <c r="W264" s="146">
        <v>0</v>
      </c>
      <c r="X264" s="146">
        <v>21</v>
      </c>
      <c r="Y264" s="477">
        <v>0.6</v>
      </c>
      <c r="Z264" s="477">
        <v>0.1226</v>
      </c>
      <c r="AA264" s="477">
        <v>144</v>
      </c>
      <c r="AB264" s="146" t="s">
        <v>915</v>
      </c>
      <c r="AC264" s="146" t="s">
        <v>918</v>
      </c>
      <c r="AD264" s="146" t="s">
        <v>856</v>
      </c>
      <c r="AG264" s="146">
        <v>13</v>
      </c>
      <c r="AH264" s="146">
        <v>3</v>
      </c>
      <c r="AI264" s="146">
        <v>3024</v>
      </c>
      <c r="AJ264" s="146">
        <v>256</v>
      </c>
      <c r="AK264" s="146">
        <v>256</v>
      </c>
      <c r="AL264" s="146">
        <v>256</v>
      </c>
      <c r="AM264" s="146">
        <v>13</v>
      </c>
      <c r="AQ264" s="146">
        <f t="shared" si="4"/>
        <v>35</v>
      </c>
    </row>
    <row r="265" spans="1:43">
      <c r="A265" s="146" t="s">
        <v>1057</v>
      </c>
      <c r="B265" s="146" t="s">
        <v>908</v>
      </c>
      <c r="C265" s="146" t="s">
        <v>909</v>
      </c>
      <c r="D265" s="146" t="s">
        <v>921</v>
      </c>
      <c r="E265" s="146" t="s">
        <v>842</v>
      </c>
      <c r="J265" s="146" t="s">
        <v>911</v>
      </c>
      <c r="K265" s="477">
        <v>5940</v>
      </c>
      <c r="L265" s="146" t="s">
        <v>912</v>
      </c>
      <c r="M265" s="146" t="s">
        <v>913</v>
      </c>
      <c r="N265" s="477">
        <v>5.4</v>
      </c>
      <c r="O265" s="146" t="s">
        <v>914</v>
      </c>
      <c r="P265" s="477">
        <v>32076</v>
      </c>
      <c r="Q265" s="478">
        <v>36.6</v>
      </c>
      <c r="R265" s="478">
        <v>20336</v>
      </c>
      <c r="S265" s="479">
        <v>0</v>
      </c>
      <c r="T265" s="146">
        <v>20336</v>
      </c>
      <c r="U265" s="479">
        <v>5</v>
      </c>
      <c r="V265" s="146">
        <v>1017</v>
      </c>
      <c r="W265" s="146">
        <v>0</v>
      </c>
      <c r="X265" s="146">
        <v>1017</v>
      </c>
      <c r="Y265" s="477">
        <v>0.24</v>
      </c>
      <c r="Z265" s="477">
        <v>2.47E-2</v>
      </c>
      <c r="AA265" s="477">
        <v>29</v>
      </c>
      <c r="AB265" s="146" t="s">
        <v>915</v>
      </c>
      <c r="AC265" s="146" t="s">
        <v>916</v>
      </c>
      <c r="AD265" s="146" t="s">
        <v>856</v>
      </c>
      <c r="AG265" s="146">
        <v>244</v>
      </c>
      <c r="AH265" s="146">
        <v>25</v>
      </c>
      <c r="AI265" s="146">
        <v>29493</v>
      </c>
      <c r="AJ265" s="146">
        <v>7698</v>
      </c>
      <c r="AK265" s="146">
        <v>4881</v>
      </c>
      <c r="AL265" s="146">
        <v>4881</v>
      </c>
      <c r="AM265" s="146">
        <v>244</v>
      </c>
      <c r="AQ265" s="146">
        <f t="shared" si="4"/>
        <v>291</v>
      </c>
    </row>
    <row r="266" spans="1:43">
      <c r="A266" s="146" t="s">
        <v>1057</v>
      </c>
      <c r="B266" s="146" t="s">
        <v>908</v>
      </c>
      <c r="C266" s="146" t="s">
        <v>909</v>
      </c>
      <c r="D266" s="146" t="s">
        <v>922</v>
      </c>
      <c r="E266" s="146" t="s">
        <v>842</v>
      </c>
      <c r="J266" s="146" t="s">
        <v>911</v>
      </c>
      <c r="K266" s="477">
        <v>5251</v>
      </c>
      <c r="L266" s="146" t="s">
        <v>912</v>
      </c>
      <c r="M266" s="146" t="s">
        <v>913</v>
      </c>
      <c r="N266" s="477">
        <v>3.18</v>
      </c>
      <c r="O266" s="146" t="s">
        <v>914</v>
      </c>
      <c r="P266" s="477">
        <v>16698</v>
      </c>
      <c r="Q266" s="478">
        <v>36.6</v>
      </c>
      <c r="R266" s="478">
        <v>10587</v>
      </c>
      <c r="S266" s="479">
        <v>0</v>
      </c>
      <c r="T266" s="146">
        <v>10587</v>
      </c>
      <c r="U266" s="479">
        <v>5</v>
      </c>
      <c r="V266" s="146">
        <v>529</v>
      </c>
      <c r="W266" s="146">
        <v>0</v>
      </c>
      <c r="X266" s="146">
        <v>529</v>
      </c>
      <c r="Y266" s="477">
        <v>0.24</v>
      </c>
      <c r="Z266" s="477">
        <v>2.47E-2</v>
      </c>
      <c r="AA266" s="477">
        <v>29</v>
      </c>
      <c r="AB266" s="146" t="s">
        <v>915</v>
      </c>
      <c r="AC266" s="146" t="s">
        <v>916</v>
      </c>
      <c r="AD266" s="146" t="s">
        <v>856</v>
      </c>
      <c r="AG266" s="146">
        <v>127</v>
      </c>
      <c r="AH266" s="146">
        <v>13</v>
      </c>
      <c r="AI266" s="146">
        <v>15341</v>
      </c>
      <c r="AJ266" s="146">
        <v>4008</v>
      </c>
      <c r="AK266" s="146">
        <v>2541</v>
      </c>
      <c r="AL266" s="146">
        <v>2541</v>
      </c>
      <c r="AM266" s="146">
        <v>127</v>
      </c>
      <c r="AQ266" s="146">
        <v>151</v>
      </c>
    </row>
    <row r="267" spans="1:43">
      <c r="A267" s="146" t="s">
        <v>1057</v>
      </c>
      <c r="B267" s="146" t="s">
        <v>908</v>
      </c>
      <c r="C267" s="146" t="s">
        <v>909</v>
      </c>
      <c r="D267" s="146" t="s">
        <v>923</v>
      </c>
      <c r="E267" s="146" t="s">
        <v>842</v>
      </c>
      <c r="J267" s="146" t="s">
        <v>911</v>
      </c>
      <c r="K267" s="146">
        <v>3594</v>
      </c>
      <c r="L267" s="146" t="s">
        <v>912</v>
      </c>
      <c r="M267" s="146" t="s">
        <v>913</v>
      </c>
      <c r="N267" s="146">
        <v>16.5</v>
      </c>
      <c r="O267" s="146" t="s">
        <v>914</v>
      </c>
      <c r="P267" s="477">
        <v>59301</v>
      </c>
      <c r="Q267" s="478">
        <v>36.6</v>
      </c>
      <c r="R267" s="478">
        <v>37597</v>
      </c>
      <c r="S267" s="479">
        <v>0</v>
      </c>
      <c r="T267" s="146">
        <v>37597</v>
      </c>
      <c r="U267" s="479">
        <v>5</v>
      </c>
      <c r="V267" s="146">
        <v>1880</v>
      </c>
      <c r="W267" s="146">
        <v>0</v>
      </c>
      <c r="X267" s="146">
        <v>1880</v>
      </c>
      <c r="Y267" s="477">
        <v>0.24</v>
      </c>
      <c r="Z267" s="477">
        <v>2.47E-2</v>
      </c>
      <c r="AA267" s="477">
        <v>29</v>
      </c>
      <c r="AB267" s="146" t="s">
        <v>915</v>
      </c>
      <c r="AC267" s="146" t="s">
        <v>916</v>
      </c>
      <c r="AD267" s="146" t="s">
        <v>856</v>
      </c>
      <c r="AG267" s="146">
        <v>451</v>
      </c>
      <c r="AH267" s="146">
        <v>46</v>
      </c>
      <c r="AI267" s="146">
        <v>54520</v>
      </c>
      <c r="AJ267" s="146">
        <v>14232</v>
      </c>
      <c r="AK267" s="146">
        <v>9023</v>
      </c>
      <c r="AL267" s="146">
        <v>9023</v>
      </c>
      <c r="AM267" s="146">
        <v>451</v>
      </c>
      <c r="AQ267" s="146">
        <f t="shared" si="4"/>
        <v>535</v>
      </c>
    </row>
    <row r="268" spans="1:43">
      <c r="A268" s="146" t="s">
        <v>1057</v>
      </c>
      <c r="B268" s="146" t="s">
        <v>908</v>
      </c>
      <c r="C268" s="146" t="s">
        <v>909</v>
      </c>
      <c r="D268" s="146" t="s">
        <v>924</v>
      </c>
      <c r="E268" s="146" t="s">
        <v>842</v>
      </c>
      <c r="J268" s="146" t="s">
        <v>911</v>
      </c>
      <c r="K268" s="146">
        <v>4148</v>
      </c>
      <c r="L268" s="146" t="s">
        <v>912</v>
      </c>
      <c r="M268" s="146" t="s">
        <v>913</v>
      </c>
      <c r="N268" s="146">
        <v>0</v>
      </c>
      <c r="O268" s="146" t="s">
        <v>914</v>
      </c>
      <c r="P268" s="477">
        <v>0</v>
      </c>
      <c r="Q268" s="478">
        <v>36.6</v>
      </c>
      <c r="R268" s="478">
        <v>0</v>
      </c>
      <c r="S268" s="479">
        <v>0</v>
      </c>
      <c r="T268" s="146">
        <v>0</v>
      </c>
      <c r="U268" s="479">
        <v>5</v>
      </c>
      <c r="V268" s="146">
        <v>0</v>
      </c>
      <c r="W268" s="146">
        <v>0</v>
      </c>
      <c r="X268" s="146">
        <v>0</v>
      </c>
      <c r="Y268" s="477">
        <v>0.17</v>
      </c>
      <c r="Z268" s="477">
        <v>2.47E-2</v>
      </c>
      <c r="AA268" s="477">
        <v>29</v>
      </c>
      <c r="AB268" s="146" t="s">
        <v>915</v>
      </c>
      <c r="AC268" s="146" t="s">
        <v>916</v>
      </c>
      <c r="AD268" s="146" t="s">
        <v>856</v>
      </c>
      <c r="AG268" s="146">
        <v>0</v>
      </c>
      <c r="AH268" s="146">
        <v>0</v>
      </c>
      <c r="AI268" s="146">
        <v>0</v>
      </c>
      <c r="AJ268" s="146">
        <v>0</v>
      </c>
      <c r="AK268" s="146">
        <v>0</v>
      </c>
      <c r="AL268" s="146">
        <v>0</v>
      </c>
      <c r="AM268" s="146">
        <v>0</v>
      </c>
      <c r="AQ268" s="146">
        <f t="shared" si="4"/>
        <v>0</v>
      </c>
    </row>
    <row r="269" spans="1:43">
      <c r="A269" s="146" t="s">
        <v>1057</v>
      </c>
      <c r="B269" s="146" t="s">
        <v>908</v>
      </c>
      <c r="C269" s="146" t="s">
        <v>909</v>
      </c>
      <c r="D269" s="146" t="s">
        <v>925</v>
      </c>
      <c r="E269" s="146" t="s">
        <v>842</v>
      </c>
      <c r="J269" s="146" t="s">
        <v>911</v>
      </c>
      <c r="K269" s="477">
        <v>1264</v>
      </c>
      <c r="L269" s="146" t="s">
        <v>912</v>
      </c>
      <c r="M269" s="146" t="s">
        <v>913</v>
      </c>
      <c r="N269" s="477">
        <v>5</v>
      </c>
      <c r="O269" s="146" t="s">
        <v>914</v>
      </c>
      <c r="P269" s="477">
        <v>6320</v>
      </c>
      <c r="Q269" s="478">
        <v>81.099999999999994</v>
      </c>
      <c r="R269" s="478">
        <v>1194</v>
      </c>
      <c r="S269" s="479">
        <v>0</v>
      </c>
      <c r="T269" s="146">
        <v>1194</v>
      </c>
      <c r="U269" s="479">
        <v>5</v>
      </c>
      <c r="V269" s="146">
        <v>60</v>
      </c>
      <c r="W269" s="146">
        <v>0</v>
      </c>
      <c r="X269" s="146">
        <v>60</v>
      </c>
      <c r="Y269" s="477">
        <v>0.45</v>
      </c>
      <c r="Z269" s="477">
        <v>7.0699999999999999E-2</v>
      </c>
      <c r="AA269" s="477">
        <v>83</v>
      </c>
      <c r="AB269" s="146" t="s">
        <v>915</v>
      </c>
      <c r="AC269" s="146" t="s">
        <v>916</v>
      </c>
      <c r="AD269" s="146" t="s">
        <v>856</v>
      </c>
      <c r="AG269" s="146">
        <v>27</v>
      </c>
      <c r="AH269" s="146">
        <v>4</v>
      </c>
      <c r="AI269" s="146">
        <v>4980</v>
      </c>
      <c r="AJ269" s="146">
        <v>2844</v>
      </c>
      <c r="AK269" s="146">
        <v>537</v>
      </c>
      <c r="AL269" s="146">
        <v>537</v>
      </c>
      <c r="AM269" s="146">
        <v>27</v>
      </c>
      <c r="AQ269" s="146">
        <f t="shared" si="4"/>
        <v>47</v>
      </c>
    </row>
    <row r="270" spans="1:43">
      <c r="A270" s="146" t="s">
        <v>1057</v>
      </c>
      <c r="B270" s="146" t="s">
        <v>908</v>
      </c>
      <c r="C270" s="146" t="s">
        <v>909</v>
      </c>
      <c r="D270" s="146" t="s">
        <v>926</v>
      </c>
      <c r="E270" s="146" t="s">
        <v>842</v>
      </c>
      <c r="J270" s="146" t="s">
        <v>911</v>
      </c>
      <c r="K270" s="477">
        <v>562</v>
      </c>
      <c r="L270" s="146" t="s">
        <v>912</v>
      </c>
      <c r="M270" s="146" t="s">
        <v>913</v>
      </c>
      <c r="N270" s="477">
        <v>10</v>
      </c>
      <c r="O270" s="146" t="s">
        <v>914</v>
      </c>
      <c r="P270" s="477">
        <v>5620</v>
      </c>
      <c r="Q270" s="478">
        <v>32.1</v>
      </c>
      <c r="R270" s="478">
        <v>3816</v>
      </c>
      <c r="S270" s="479">
        <v>0</v>
      </c>
      <c r="T270" s="146">
        <v>3816</v>
      </c>
      <c r="U270" s="479">
        <v>5</v>
      </c>
      <c r="V270" s="146">
        <v>191</v>
      </c>
      <c r="W270" s="146">
        <v>0</v>
      </c>
      <c r="X270" s="146">
        <v>191</v>
      </c>
      <c r="Y270" s="477">
        <v>0.45</v>
      </c>
      <c r="Z270" s="477">
        <v>0.1013</v>
      </c>
      <c r="AA270" s="477">
        <v>119</v>
      </c>
      <c r="AB270" s="146" t="s">
        <v>915</v>
      </c>
      <c r="AC270" s="146" t="s">
        <v>916</v>
      </c>
      <c r="AD270" s="146" t="s">
        <v>856</v>
      </c>
      <c r="AG270" s="146">
        <v>86</v>
      </c>
      <c r="AH270" s="146">
        <v>19</v>
      </c>
      <c r="AI270" s="146">
        <v>22729</v>
      </c>
      <c r="AJ270" s="146">
        <v>2529</v>
      </c>
      <c r="AK270" s="146">
        <v>1717</v>
      </c>
      <c r="AL270" s="146">
        <v>1717</v>
      </c>
      <c r="AM270" s="146">
        <v>86</v>
      </c>
      <c r="AQ270" s="146">
        <f t="shared" si="4"/>
        <v>221</v>
      </c>
    </row>
    <row r="271" spans="1:43">
      <c r="A271" s="146" t="s">
        <v>1057</v>
      </c>
      <c r="B271" s="146" t="s">
        <v>908</v>
      </c>
      <c r="C271" s="146" t="s">
        <v>909</v>
      </c>
      <c r="D271" s="146" t="s">
        <v>927</v>
      </c>
      <c r="E271" s="146" t="s">
        <v>842</v>
      </c>
      <c r="J271" s="146" t="s">
        <v>911</v>
      </c>
      <c r="K271" s="477">
        <v>6904</v>
      </c>
      <c r="L271" s="146" t="s">
        <v>912</v>
      </c>
      <c r="M271" s="146" t="s">
        <v>913</v>
      </c>
      <c r="N271" s="477">
        <v>5</v>
      </c>
      <c r="O271" s="146" t="s">
        <v>914</v>
      </c>
      <c r="P271" s="477">
        <v>34520</v>
      </c>
      <c r="Q271" s="478">
        <v>95.3</v>
      </c>
      <c r="R271" s="478">
        <v>1622</v>
      </c>
      <c r="S271" s="479">
        <v>0</v>
      </c>
      <c r="T271" s="146">
        <v>1622</v>
      </c>
      <c r="U271" s="479">
        <v>5</v>
      </c>
      <c r="V271" s="146">
        <v>81</v>
      </c>
      <c r="W271" s="146">
        <v>0</v>
      </c>
      <c r="X271" s="146">
        <v>81</v>
      </c>
      <c r="Y271" s="477">
        <v>0.45</v>
      </c>
      <c r="Z271" s="477">
        <v>4.9399999999999999E-2</v>
      </c>
      <c r="AA271" s="477">
        <v>58</v>
      </c>
      <c r="AB271" s="146" t="s">
        <v>915</v>
      </c>
      <c r="AC271" s="146" t="s">
        <v>916</v>
      </c>
      <c r="AD271" s="146" t="s">
        <v>856</v>
      </c>
      <c r="AG271" s="146">
        <v>36</v>
      </c>
      <c r="AH271" s="146">
        <v>4</v>
      </c>
      <c r="AI271" s="146">
        <v>4698</v>
      </c>
      <c r="AJ271" s="146">
        <v>15534</v>
      </c>
      <c r="AK271" s="146">
        <v>730</v>
      </c>
      <c r="AL271" s="146">
        <v>730</v>
      </c>
      <c r="AM271" s="146">
        <v>36</v>
      </c>
      <c r="AQ271" s="146">
        <f t="shared" si="4"/>
        <v>47</v>
      </c>
    </row>
    <row r="272" spans="1:43">
      <c r="A272" s="146" t="s">
        <v>1057</v>
      </c>
      <c r="B272" s="146" t="s">
        <v>908</v>
      </c>
      <c r="C272" s="146" t="s">
        <v>909</v>
      </c>
      <c r="D272" s="146" t="s">
        <v>928</v>
      </c>
      <c r="E272" s="146" t="s">
        <v>842</v>
      </c>
      <c r="J272" s="146" t="s">
        <v>911</v>
      </c>
      <c r="K272" s="477">
        <v>7293</v>
      </c>
      <c r="L272" s="146" t="s">
        <v>912</v>
      </c>
      <c r="M272" s="146" t="s">
        <v>913</v>
      </c>
      <c r="N272" s="477">
        <v>0.24199999999999999</v>
      </c>
      <c r="O272" s="146" t="s">
        <v>914</v>
      </c>
      <c r="P272" s="477">
        <v>1765</v>
      </c>
      <c r="Q272" s="478">
        <v>82.6</v>
      </c>
      <c r="R272" s="478">
        <v>307</v>
      </c>
      <c r="S272" s="479">
        <v>0</v>
      </c>
      <c r="T272" s="146">
        <v>307</v>
      </c>
      <c r="U272" s="479">
        <v>5</v>
      </c>
      <c r="V272" s="146">
        <v>15</v>
      </c>
      <c r="W272" s="146">
        <v>0</v>
      </c>
      <c r="X272" s="146">
        <v>15</v>
      </c>
      <c r="Y272" s="477">
        <v>0.28999999999999998</v>
      </c>
      <c r="Z272" s="477">
        <v>4.9399999999999999E-2</v>
      </c>
      <c r="AA272" s="477">
        <v>58</v>
      </c>
      <c r="AB272" s="146" t="s">
        <v>929</v>
      </c>
      <c r="AC272" s="146" t="s">
        <v>916</v>
      </c>
      <c r="AD272" s="146" t="s">
        <v>856</v>
      </c>
      <c r="AG272" s="146">
        <v>4</v>
      </c>
      <c r="AH272" s="146">
        <v>1</v>
      </c>
      <c r="AI272" s="146">
        <v>870</v>
      </c>
      <c r="AJ272" s="146">
        <v>512</v>
      </c>
      <c r="AK272" s="146">
        <v>89</v>
      </c>
      <c r="AL272" s="146">
        <v>89</v>
      </c>
      <c r="AM272" s="146">
        <v>4</v>
      </c>
      <c r="AQ272" s="146">
        <f t="shared" si="4"/>
        <v>12</v>
      </c>
    </row>
    <row r="273" spans="1:43">
      <c r="A273" s="146" t="s">
        <v>1057</v>
      </c>
      <c r="B273" s="146" t="s">
        <v>908</v>
      </c>
      <c r="C273" s="146" t="s">
        <v>909</v>
      </c>
      <c r="D273" s="146" t="s">
        <v>930</v>
      </c>
      <c r="E273" s="146" t="s">
        <v>842</v>
      </c>
      <c r="J273" s="146" t="s">
        <v>911</v>
      </c>
      <c r="K273" s="477">
        <v>4810</v>
      </c>
      <c r="L273" s="146" t="s">
        <v>912</v>
      </c>
      <c r="M273" s="146" t="s">
        <v>913</v>
      </c>
      <c r="N273" s="477">
        <v>3.5999999999999997E-2</v>
      </c>
      <c r="O273" s="146" t="s">
        <v>914</v>
      </c>
      <c r="P273" s="477">
        <v>173</v>
      </c>
      <c r="Q273" s="478">
        <v>82.6</v>
      </c>
      <c r="R273" s="478">
        <v>30</v>
      </c>
      <c r="S273" s="479">
        <v>0</v>
      </c>
      <c r="T273" s="146">
        <v>30</v>
      </c>
      <c r="U273" s="479">
        <v>5</v>
      </c>
      <c r="V273" s="146">
        <v>2</v>
      </c>
      <c r="W273" s="146">
        <v>0</v>
      </c>
      <c r="X273" s="146">
        <v>2</v>
      </c>
      <c r="Y273" s="477">
        <v>0.28999999999999998</v>
      </c>
      <c r="Z273" s="477">
        <v>4.9399999999999999E-2</v>
      </c>
      <c r="AA273" s="477">
        <v>58</v>
      </c>
      <c r="AB273" s="146" t="s">
        <v>929</v>
      </c>
      <c r="AC273" s="146" t="s">
        <v>916</v>
      </c>
      <c r="AD273" s="146" t="s">
        <v>856</v>
      </c>
      <c r="AG273" s="146">
        <v>1</v>
      </c>
      <c r="AH273" s="146">
        <v>0</v>
      </c>
      <c r="AI273" s="146">
        <v>116</v>
      </c>
      <c r="AJ273" s="146">
        <v>50</v>
      </c>
      <c r="AK273" s="146">
        <v>9</v>
      </c>
      <c r="AL273" s="146">
        <v>9</v>
      </c>
      <c r="AM273" s="146">
        <v>1</v>
      </c>
      <c r="AQ273" s="146">
        <f t="shared" si="4"/>
        <v>0</v>
      </c>
    </row>
    <row r="274" spans="1:43">
      <c r="A274" s="146" t="s">
        <v>1057</v>
      </c>
      <c r="B274" s="146" t="s">
        <v>908</v>
      </c>
      <c r="C274" s="146" t="s">
        <v>909</v>
      </c>
      <c r="D274" s="146" t="s">
        <v>931</v>
      </c>
      <c r="E274" s="146" t="s">
        <v>842</v>
      </c>
      <c r="J274" s="146" t="s">
        <v>911</v>
      </c>
      <c r="K274" s="477">
        <v>985</v>
      </c>
      <c r="L274" s="146" t="s">
        <v>912</v>
      </c>
      <c r="M274" s="146" t="s">
        <v>913</v>
      </c>
      <c r="N274" s="477">
        <v>1.7629999999999999</v>
      </c>
      <c r="O274" s="146" t="s">
        <v>914</v>
      </c>
      <c r="P274" s="477">
        <v>1737</v>
      </c>
      <c r="Q274" s="478">
        <v>82.6</v>
      </c>
      <c r="R274" s="478">
        <v>302</v>
      </c>
      <c r="S274" s="479">
        <v>0</v>
      </c>
      <c r="T274" s="146">
        <v>302</v>
      </c>
      <c r="U274" s="479">
        <v>5</v>
      </c>
      <c r="V274" s="146">
        <v>15</v>
      </c>
      <c r="W274" s="146">
        <v>0</v>
      </c>
      <c r="X274" s="146">
        <v>15</v>
      </c>
      <c r="Y274" s="477">
        <v>0.28999999999999998</v>
      </c>
      <c r="Z274" s="477">
        <v>4.9399999999999999E-2</v>
      </c>
      <c r="AA274" s="477">
        <v>58</v>
      </c>
      <c r="AB274" s="146" t="s">
        <v>929</v>
      </c>
      <c r="AC274" s="146" t="s">
        <v>1058</v>
      </c>
      <c r="AD274" s="146" t="s">
        <v>856</v>
      </c>
      <c r="AG274" s="146">
        <v>4</v>
      </c>
      <c r="AH274" s="146">
        <v>1</v>
      </c>
      <c r="AI274" s="146">
        <v>870</v>
      </c>
      <c r="AJ274" s="146">
        <v>504</v>
      </c>
      <c r="AK274" s="146">
        <v>88</v>
      </c>
      <c r="AL274" s="146">
        <v>88</v>
      </c>
      <c r="AM274" s="146">
        <v>4</v>
      </c>
      <c r="AQ274" s="146">
        <v>12</v>
      </c>
    </row>
    <row r="275" spans="1:43">
      <c r="A275" s="146" t="s">
        <v>1057</v>
      </c>
      <c r="B275" s="146" t="s">
        <v>908</v>
      </c>
      <c r="C275" s="146" t="s">
        <v>909</v>
      </c>
      <c r="D275" s="146" t="s">
        <v>932</v>
      </c>
      <c r="E275" s="146" t="s">
        <v>842</v>
      </c>
      <c r="J275" s="146" t="s">
        <v>911</v>
      </c>
      <c r="K275" s="477">
        <v>5940</v>
      </c>
      <c r="L275" s="146" t="s">
        <v>912</v>
      </c>
      <c r="M275" s="146" t="s">
        <v>913</v>
      </c>
      <c r="N275" s="477">
        <v>6.67</v>
      </c>
      <c r="O275" s="146" t="s">
        <v>914</v>
      </c>
      <c r="P275" s="477">
        <v>39620</v>
      </c>
      <c r="Q275" s="478">
        <v>82.2</v>
      </c>
      <c r="R275" s="478">
        <v>7052</v>
      </c>
      <c r="S275" s="479">
        <v>0</v>
      </c>
      <c r="T275" s="146">
        <v>7052</v>
      </c>
      <c r="U275" s="479">
        <v>5</v>
      </c>
      <c r="V275" s="146">
        <v>353</v>
      </c>
      <c r="W275" s="146">
        <v>0</v>
      </c>
      <c r="X275" s="146">
        <v>353</v>
      </c>
      <c r="Y275" s="477">
        <v>0.06</v>
      </c>
      <c r="Z275" s="477">
        <v>1.3599999999999999E-2</v>
      </c>
      <c r="AA275" s="477">
        <v>16</v>
      </c>
      <c r="AB275" s="146" t="s">
        <v>915</v>
      </c>
      <c r="AC275" s="146" t="s">
        <v>916</v>
      </c>
      <c r="AD275" s="146" t="s">
        <v>856</v>
      </c>
      <c r="AG275" s="146">
        <v>21</v>
      </c>
      <c r="AH275" s="146">
        <v>5</v>
      </c>
      <c r="AI275" s="146">
        <v>5648</v>
      </c>
      <c r="AJ275" s="146">
        <v>2377</v>
      </c>
      <c r="AK275" s="146">
        <v>423</v>
      </c>
      <c r="AL275" s="146">
        <v>423</v>
      </c>
      <c r="AM275" s="146">
        <v>21</v>
      </c>
      <c r="AQ275" s="146">
        <f t="shared" si="4"/>
        <v>58</v>
      </c>
    </row>
    <row r="276" spans="1:43">
      <c r="A276" s="146" t="s">
        <v>1057</v>
      </c>
      <c r="B276" s="146" t="s">
        <v>908</v>
      </c>
      <c r="C276" s="146" t="s">
        <v>909</v>
      </c>
      <c r="D276" s="146" t="s">
        <v>933</v>
      </c>
      <c r="E276" s="146" t="s">
        <v>842</v>
      </c>
      <c r="J276" s="146" t="s">
        <v>911</v>
      </c>
      <c r="K276" s="477">
        <v>5251</v>
      </c>
      <c r="L276" s="146" t="s">
        <v>912</v>
      </c>
      <c r="M276" s="146" t="s">
        <v>913</v>
      </c>
      <c r="N276" s="477">
        <v>0</v>
      </c>
      <c r="O276" s="146" t="s">
        <v>914</v>
      </c>
      <c r="P276" s="477">
        <v>0</v>
      </c>
      <c r="Q276" s="478">
        <v>0</v>
      </c>
      <c r="R276" s="478">
        <v>0</v>
      </c>
      <c r="S276" s="479">
        <v>0</v>
      </c>
      <c r="T276" s="146">
        <v>0</v>
      </c>
      <c r="U276" s="479">
        <v>5</v>
      </c>
      <c r="V276" s="146">
        <v>0</v>
      </c>
      <c r="W276" s="146">
        <v>0</v>
      </c>
      <c r="X276" s="146">
        <v>0</v>
      </c>
      <c r="Y276" s="477">
        <v>0.06</v>
      </c>
      <c r="Z276" s="477">
        <v>1.3599999999999999E-2</v>
      </c>
      <c r="AA276" s="477">
        <v>16</v>
      </c>
      <c r="AB276" s="146" t="s">
        <v>915</v>
      </c>
      <c r="AC276" s="146" t="s">
        <v>916</v>
      </c>
      <c r="AD276" s="146" t="s">
        <v>856</v>
      </c>
      <c r="AG276" s="146">
        <v>0</v>
      </c>
      <c r="AH276" s="146">
        <v>0</v>
      </c>
      <c r="AI276" s="146">
        <v>0</v>
      </c>
      <c r="AJ276" s="146">
        <v>0</v>
      </c>
      <c r="AK276" s="146">
        <v>0</v>
      </c>
      <c r="AL276" s="146">
        <v>0</v>
      </c>
      <c r="AM276" s="146">
        <v>0</v>
      </c>
      <c r="AQ276" s="146">
        <f t="shared" si="4"/>
        <v>0</v>
      </c>
    </row>
    <row r="277" spans="1:43">
      <c r="A277" s="146" t="s">
        <v>1057</v>
      </c>
      <c r="B277" s="146" t="s">
        <v>908</v>
      </c>
      <c r="C277" s="146" t="s">
        <v>909</v>
      </c>
      <c r="D277" s="146" t="s">
        <v>934</v>
      </c>
      <c r="E277" s="146" t="s">
        <v>842</v>
      </c>
      <c r="J277" s="146" t="s">
        <v>911</v>
      </c>
      <c r="K277" s="477">
        <v>3594</v>
      </c>
      <c r="L277" s="146" t="s">
        <v>912</v>
      </c>
      <c r="M277" s="146" t="s">
        <v>913</v>
      </c>
      <c r="N277" s="477">
        <v>2.2250000000000001</v>
      </c>
      <c r="O277" s="146" t="s">
        <v>914</v>
      </c>
      <c r="P277" s="477">
        <v>7997</v>
      </c>
      <c r="Q277" s="478">
        <v>82.2</v>
      </c>
      <c r="R277" s="478">
        <v>1423</v>
      </c>
      <c r="S277" s="479">
        <v>0</v>
      </c>
      <c r="T277" s="146">
        <v>1423</v>
      </c>
      <c r="U277" s="479">
        <v>5</v>
      </c>
      <c r="V277" s="146">
        <v>71</v>
      </c>
      <c r="W277" s="146">
        <v>0</v>
      </c>
      <c r="X277" s="146">
        <v>71</v>
      </c>
      <c r="Y277" s="477">
        <v>0.06</v>
      </c>
      <c r="Z277" s="477">
        <v>1.3599999999999999E-2</v>
      </c>
      <c r="AA277" s="477">
        <v>16</v>
      </c>
      <c r="AB277" s="146" t="s">
        <v>915</v>
      </c>
      <c r="AC277" s="146" t="s">
        <v>916</v>
      </c>
      <c r="AD277" s="146" t="s">
        <v>856</v>
      </c>
      <c r="AG277" s="146">
        <v>4</v>
      </c>
      <c r="AH277" s="146">
        <v>1</v>
      </c>
      <c r="AI277" s="146">
        <v>1136</v>
      </c>
      <c r="AJ277" s="146">
        <v>480</v>
      </c>
      <c r="AK277" s="146">
        <v>85</v>
      </c>
      <c r="AL277" s="146">
        <v>85</v>
      </c>
      <c r="AM277" s="146">
        <v>4</v>
      </c>
      <c r="AQ277" s="146">
        <f t="shared" si="4"/>
        <v>12</v>
      </c>
    </row>
    <row r="278" spans="1:43">
      <c r="A278" s="146" t="s">
        <v>1057</v>
      </c>
      <c r="B278" s="146" t="s">
        <v>908</v>
      </c>
      <c r="C278" s="146" t="s">
        <v>909</v>
      </c>
      <c r="D278" s="146" t="s">
        <v>935</v>
      </c>
      <c r="E278" s="146" t="s">
        <v>842</v>
      </c>
      <c r="J278" s="146" t="s">
        <v>911</v>
      </c>
      <c r="K278" s="477">
        <v>4148</v>
      </c>
      <c r="L278" s="146" t="s">
        <v>912</v>
      </c>
      <c r="M278" s="146" t="s">
        <v>913</v>
      </c>
      <c r="N278" s="477">
        <v>12.85</v>
      </c>
      <c r="O278" s="146" t="s">
        <v>914</v>
      </c>
      <c r="P278" s="477">
        <v>53302</v>
      </c>
      <c r="Q278" s="478">
        <v>82.2</v>
      </c>
      <c r="R278" s="478">
        <v>9488</v>
      </c>
      <c r="S278" s="479">
        <v>0</v>
      </c>
      <c r="T278" s="146">
        <v>9488</v>
      </c>
      <c r="U278" s="479">
        <v>5</v>
      </c>
      <c r="V278" s="146">
        <v>474</v>
      </c>
      <c r="W278" s="146">
        <v>0</v>
      </c>
      <c r="X278" s="146">
        <v>474</v>
      </c>
      <c r="Y278" s="477">
        <v>0.06</v>
      </c>
      <c r="Z278" s="477">
        <v>1.3599999999999999E-2</v>
      </c>
      <c r="AA278" s="477">
        <v>16</v>
      </c>
      <c r="AB278" s="146" t="s">
        <v>915</v>
      </c>
      <c r="AC278" s="146" t="s">
        <v>916</v>
      </c>
      <c r="AD278" s="146" t="s">
        <v>856</v>
      </c>
      <c r="AG278" s="146">
        <v>28</v>
      </c>
      <c r="AH278" s="146">
        <v>6</v>
      </c>
      <c r="AI278" s="146">
        <v>7584</v>
      </c>
      <c r="AJ278" s="146">
        <v>3198</v>
      </c>
      <c r="AK278" s="146">
        <v>569</v>
      </c>
      <c r="AL278" s="146">
        <v>569</v>
      </c>
      <c r="AM278" s="146">
        <v>28</v>
      </c>
      <c r="AQ278" s="146">
        <f t="shared" si="4"/>
        <v>70</v>
      </c>
    </row>
    <row r="279" spans="1:43">
      <c r="A279" s="146" t="s">
        <v>1057</v>
      </c>
      <c r="B279" s="146" t="s">
        <v>908</v>
      </c>
      <c r="C279" s="146" t="s">
        <v>909</v>
      </c>
      <c r="D279" s="146" t="s">
        <v>936</v>
      </c>
      <c r="E279" s="146" t="s">
        <v>842</v>
      </c>
      <c r="J279" s="146" t="s">
        <v>911</v>
      </c>
      <c r="K279" s="477">
        <v>7293</v>
      </c>
      <c r="L279" s="146" t="s">
        <v>912</v>
      </c>
      <c r="M279" s="146" t="s">
        <v>913</v>
      </c>
      <c r="N279" s="477">
        <v>0.49</v>
      </c>
      <c r="O279" s="146" t="s">
        <v>914</v>
      </c>
      <c r="P279" s="477">
        <v>3574</v>
      </c>
      <c r="Q279" s="478">
        <v>0</v>
      </c>
      <c r="R279" s="478">
        <v>3574</v>
      </c>
      <c r="S279" s="479">
        <v>0</v>
      </c>
      <c r="T279" s="146">
        <v>3574</v>
      </c>
      <c r="U279" s="479">
        <v>5</v>
      </c>
      <c r="V279" s="146">
        <v>179</v>
      </c>
      <c r="W279" s="146">
        <v>0</v>
      </c>
      <c r="X279" s="146">
        <v>179</v>
      </c>
      <c r="Y279" s="477">
        <v>0.05</v>
      </c>
      <c r="Z279" s="477">
        <v>1.0200000000000001E-2</v>
      </c>
      <c r="AA279" s="477">
        <v>12</v>
      </c>
      <c r="AB279" s="146" t="s">
        <v>929</v>
      </c>
      <c r="AC279" s="146" t="s">
        <v>918</v>
      </c>
      <c r="AD279" s="146" t="s">
        <v>856</v>
      </c>
      <c r="AG279" s="146">
        <v>9</v>
      </c>
      <c r="AH279" s="146">
        <v>2</v>
      </c>
      <c r="AI279" s="146">
        <v>2148</v>
      </c>
      <c r="AJ279" s="146">
        <v>179</v>
      </c>
      <c r="AK279" s="146">
        <v>179</v>
      </c>
      <c r="AL279" s="146">
        <v>179</v>
      </c>
      <c r="AM279" s="146">
        <v>9</v>
      </c>
      <c r="AQ279" s="146">
        <f t="shared" si="4"/>
        <v>23</v>
      </c>
    </row>
    <row r="280" spans="1:43">
      <c r="A280" s="146" t="s">
        <v>1057</v>
      </c>
      <c r="B280" s="146" t="s">
        <v>908</v>
      </c>
      <c r="C280" s="146" t="s">
        <v>909</v>
      </c>
      <c r="D280" s="146" t="s">
        <v>937</v>
      </c>
      <c r="E280" s="146" t="s">
        <v>842</v>
      </c>
      <c r="J280" s="146" t="s">
        <v>911</v>
      </c>
      <c r="K280" s="477">
        <v>4810</v>
      </c>
      <c r="L280" s="146" t="s">
        <v>912</v>
      </c>
      <c r="M280" s="146" t="s">
        <v>913</v>
      </c>
      <c r="N280" s="477">
        <v>9.1999999999999998E-2</v>
      </c>
      <c r="O280" s="146" t="s">
        <v>914</v>
      </c>
      <c r="P280" s="477">
        <v>443</v>
      </c>
      <c r="Q280" s="478">
        <v>0</v>
      </c>
      <c r="R280" s="478">
        <v>443</v>
      </c>
      <c r="S280" s="479">
        <v>0</v>
      </c>
      <c r="T280" s="146">
        <v>443</v>
      </c>
      <c r="U280" s="479">
        <v>5</v>
      </c>
      <c r="V280" s="146">
        <v>22</v>
      </c>
      <c r="W280" s="146">
        <v>0</v>
      </c>
      <c r="X280" s="146">
        <v>22</v>
      </c>
      <c r="Y280" s="477">
        <v>0.05</v>
      </c>
      <c r="Z280" s="477">
        <v>1.0200000000000001E-2</v>
      </c>
      <c r="AA280" s="477">
        <v>12</v>
      </c>
      <c r="AB280" s="146" t="s">
        <v>929</v>
      </c>
      <c r="AC280" s="146" t="s">
        <v>918</v>
      </c>
      <c r="AD280" s="146" t="s">
        <v>856</v>
      </c>
      <c r="AG280" s="146">
        <v>1</v>
      </c>
      <c r="AH280" s="146">
        <v>0</v>
      </c>
      <c r="AI280" s="146">
        <v>264</v>
      </c>
      <c r="AJ280" s="146">
        <v>22</v>
      </c>
      <c r="AK280" s="146">
        <v>22</v>
      </c>
      <c r="AL280" s="146">
        <v>22</v>
      </c>
      <c r="AM280" s="146">
        <v>1</v>
      </c>
      <c r="AQ280" s="146">
        <f t="shared" si="4"/>
        <v>0</v>
      </c>
    </row>
    <row r="281" spans="1:43">
      <c r="A281" s="146" t="s">
        <v>1057</v>
      </c>
      <c r="B281" s="146" t="s">
        <v>908</v>
      </c>
      <c r="C281" s="146" t="s">
        <v>909</v>
      </c>
      <c r="D281" s="146" t="s">
        <v>938</v>
      </c>
      <c r="E281" s="146" t="s">
        <v>842</v>
      </c>
      <c r="J281" s="146" t="s">
        <v>911</v>
      </c>
      <c r="K281" s="477">
        <v>985</v>
      </c>
      <c r="L281" s="146" t="s">
        <v>912</v>
      </c>
      <c r="M281" s="146" t="s">
        <v>913</v>
      </c>
      <c r="N281" s="477">
        <v>6.3339999999999996</v>
      </c>
      <c r="O281" s="146" t="s">
        <v>914</v>
      </c>
      <c r="P281" s="477">
        <v>6239</v>
      </c>
      <c r="Q281" s="478">
        <v>0</v>
      </c>
      <c r="R281" s="478">
        <v>6239</v>
      </c>
      <c r="S281" s="479">
        <v>0</v>
      </c>
      <c r="T281" s="146">
        <v>6239</v>
      </c>
      <c r="U281" s="479">
        <v>5</v>
      </c>
      <c r="V281" s="146">
        <v>312</v>
      </c>
      <c r="W281" s="146">
        <v>0</v>
      </c>
      <c r="X281" s="146">
        <v>312</v>
      </c>
      <c r="Y281" s="477">
        <v>0.05</v>
      </c>
      <c r="Z281" s="477">
        <v>1.0200000000000001E-2</v>
      </c>
      <c r="AA281" s="477">
        <v>12</v>
      </c>
      <c r="AB281" s="146" t="s">
        <v>929</v>
      </c>
      <c r="AC281" s="146" t="s">
        <v>918</v>
      </c>
      <c r="AD281" s="146" t="s">
        <v>856</v>
      </c>
      <c r="AG281" s="146">
        <v>16</v>
      </c>
      <c r="AH281" s="146">
        <v>3</v>
      </c>
      <c r="AI281" s="146">
        <v>3744</v>
      </c>
      <c r="AJ281" s="146">
        <v>312</v>
      </c>
      <c r="AK281" s="146">
        <v>312</v>
      </c>
      <c r="AL281" s="146">
        <v>312</v>
      </c>
      <c r="AM281" s="146">
        <v>16</v>
      </c>
      <c r="AQ281" s="146">
        <f t="shared" si="4"/>
        <v>35</v>
      </c>
    </row>
    <row r="282" spans="1:43">
      <c r="A282" s="146" t="s">
        <v>1057</v>
      </c>
      <c r="B282" s="146" t="s">
        <v>908</v>
      </c>
      <c r="C282" s="146" t="s">
        <v>909</v>
      </c>
      <c r="D282" s="146" t="s">
        <v>939</v>
      </c>
      <c r="E282" s="146" t="s">
        <v>842</v>
      </c>
      <c r="J282" s="146" t="s">
        <v>911</v>
      </c>
      <c r="K282" s="477">
        <v>43926</v>
      </c>
      <c r="L282" s="146" t="s">
        <v>912</v>
      </c>
      <c r="M282" s="146" t="s">
        <v>913</v>
      </c>
      <c r="N282" s="477">
        <v>2.75E-2</v>
      </c>
      <c r="O282" s="146" t="s">
        <v>914</v>
      </c>
      <c r="P282" s="477">
        <v>1208</v>
      </c>
      <c r="Q282" s="478">
        <v>0</v>
      </c>
      <c r="R282" s="478">
        <v>1208</v>
      </c>
      <c r="S282" s="479">
        <v>0</v>
      </c>
      <c r="T282" s="146">
        <v>1208</v>
      </c>
      <c r="U282" s="479">
        <v>5</v>
      </c>
      <c r="V282" s="146">
        <v>60</v>
      </c>
      <c r="W282" s="146">
        <v>0</v>
      </c>
      <c r="X282" s="146">
        <v>60</v>
      </c>
      <c r="Y282" s="477">
        <v>0.15</v>
      </c>
      <c r="Z282" s="477">
        <v>3.0599999999999999E-2</v>
      </c>
      <c r="AA282" s="477">
        <v>36</v>
      </c>
      <c r="AB282" s="146" t="s">
        <v>915</v>
      </c>
      <c r="AC282" s="146" t="s">
        <v>918</v>
      </c>
      <c r="AD282" s="146" t="s">
        <v>856</v>
      </c>
      <c r="AG282" s="146">
        <v>9</v>
      </c>
      <c r="AH282" s="146">
        <v>2</v>
      </c>
      <c r="AI282" s="146">
        <v>2160</v>
      </c>
      <c r="AJ282" s="146">
        <v>181</v>
      </c>
      <c r="AK282" s="146">
        <v>181</v>
      </c>
      <c r="AL282" s="146">
        <v>181</v>
      </c>
      <c r="AM282" s="146">
        <v>9</v>
      </c>
      <c r="AQ282" s="146">
        <f t="shared" si="4"/>
        <v>23</v>
      </c>
    </row>
    <row r="283" spans="1:43">
      <c r="A283" s="146" t="s">
        <v>1057</v>
      </c>
      <c r="B283" s="146" t="s">
        <v>940</v>
      </c>
      <c r="C283" s="146" t="s">
        <v>941</v>
      </c>
      <c r="D283" s="146" t="s">
        <v>942</v>
      </c>
      <c r="E283" s="146" t="s">
        <v>862</v>
      </c>
      <c r="F283" s="146" t="s">
        <v>872</v>
      </c>
      <c r="G283" s="146">
        <v>2514</v>
      </c>
      <c r="H283" s="477">
        <v>0.23</v>
      </c>
      <c r="I283" s="146" t="s">
        <v>894</v>
      </c>
      <c r="P283" s="477">
        <v>578</v>
      </c>
      <c r="Q283" s="478">
        <v>100</v>
      </c>
      <c r="R283" s="478">
        <v>0</v>
      </c>
      <c r="S283" s="479">
        <v>93.300000000000011</v>
      </c>
      <c r="T283" s="146">
        <v>0</v>
      </c>
      <c r="U283" s="479">
        <v>0.5</v>
      </c>
      <c r="V283" s="146">
        <v>0</v>
      </c>
      <c r="W283" s="146">
        <v>0</v>
      </c>
      <c r="X283" s="146">
        <v>0</v>
      </c>
      <c r="Y283" s="477">
        <v>0.88</v>
      </c>
      <c r="Z283" s="146">
        <v>0.37840000000000001</v>
      </c>
      <c r="AA283" s="477">
        <v>185</v>
      </c>
      <c r="AB283" s="146" t="s">
        <v>943</v>
      </c>
      <c r="AC283" s="146" t="s">
        <v>856</v>
      </c>
      <c r="AG283" s="146">
        <v>0</v>
      </c>
      <c r="AH283" s="146">
        <v>0</v>
      </c>
      <c r="AI283" s="146">
        <v>0</v>
      </c>
      <c r="AJ283" s="146">
        <v>509</v>
      </c>
      <c r="AK283" s="146">
        <v>0</v>
      </c>
      <c r="AL283" s="146">
        <v>0</v>
      </c>
      <c r="AM283" s="146">
        <v>0</v>
      </c>
      <c r="AQ283" s="146">
        <f t="shared" si="4"/>
        <v>0</v>
      </c>
    </row>
    <row r="284" spans="1:43">
      <c r="A284" s="146" t="s">
        <v>1057</v>
      </c>
      <c r="B284" s="146" t="s">
        <v>940</v>
      </c>
      <c r="C284" s="146" t="s">
        <v>941</v>
      </c>
      <c r="D284" s="146" t="s">
        <v>944</v>
      </c>
      <c r="E284" s="146" t="s">
        <v>862</v>
      </c>
      <c r="F284" s="146" t="s">
        <v>874</v>
      </c>
      <c r="G284" s="146">
        <v>544</v>
      </c>
      <c r="H284" s="477">
        <v>0.23</v>
      </c>
      <c r="I284" s="146" t="s">
        <v>894</v>
      </c>
      <c r="P284" s="477">
        <v>125</v>
      </c>
      <c r="Q284" s="478">
        <v>100</v>
      </c>
      <c r="R284" s="478">
        <v>0</v>
      </c>
      <c r="S284" s="479">
        <v>93.300000000000011</v>
      </c>
      <c r="T284" s="146">
        <v>0</v>
      </c>
      <c r="U284" s="479">
        <v>0.5</v>
      </c>
      <c r="V284" s="146">
        <v>0</v>
      </c>
      <c r="W284" s="146">
        <v>0</v>
      </c>
      <c r="X284" s="146">
        <v>0</v>
      </c>
      <c r="Y284" s="477">
        <v>0.88</v>
      </c>
      <c r="Z284" s="146">
        <v>0.37840000000000001</v>
      </c>
      <c r="AA284" s="477">
        <v>185</v>
      </c>
      <c r="AB284" s="146" t="s">
        <v>943</v>
      </c>
      <c r="AC284" s="146" t="s">
        <v>856</v>
      </c>
      <c r="AG284" s="146">
        <v>0</v>
      </c>
      <c r="AH284" s="146">
        <v>0</v>
      </c>
      <c r="AI284" s="146">
        <v>0</v>
      </c>
      <c r="AJ284" s="146">
        <v>110</v>
      </c>
      <c r="AK284" s="146">
        <v>0</v>
      </c>
      <c r="AL284" s="146">
        <v>0</v>
      </c>
      <c r="AM284" s="146">
        <v>0</v>
      </c>
      <c r="AQ284" s="146">
        <f t="shared" si="4"/>
        <v>0</v>
      </c>
    </row>
    <row r="285" spans="1:43">
      <c r="A285" s="146" t="s">
        <v>1057</v>
      </c>
      <c r="B285" s="146" t="s">
        <v>940</v>
      </c>
      <c r="C285" s="146" t="s">
        <v>941</v>
      </c>
      <c r="D285" s="146" t="s">
        <v>945</v>
      </c>
      <c r="E285" s="146" t="s">
        <v>862</v>
      </c>
      <c r="F285" s="146" t="s">
        <v>875</v>
      </c>
      <c r="G285" s="146">
        <v>38672</v>
      </c>
      <c r="H285" s="477">
        <v>0.23</v>
      </c>
      <c r="I285" s="146" t="s">
        <v>894</v>
      </c>
      <c r="P285" s="477">
        <v>8895</v>
      </c>
      <c r="Q285" s="478">
        <v>100</v>
      </c>
      <c r="R285" s="478">
        <v>0</v>
      </c>
      <c r="S285" s="479">
        <v>93.300000000000011</v>
      </c>
      <c r="T285" s="146">
        <v>0</v>
      </c>
      <c r="U285" s="479">
        <v>0.5</v>
      </c>
      <c r="V285" s="146">
        <v>0</v>
      </c>
      <c r="W285" s="146">
        <v>0</v>
      </c>
      <c r="X285" s="146">
        <v>0</v>
      </c>
      <c r="Y285" s="477">
        <v>0.88</v>
      </c>
      <c r="Z285" s="146">
        <v>0.37840000000000001</v>
      </c>
      <c r="AA285" s="477">
        <v>185</v>
      </c>
      <c r="AB285" s="146" t="s">
        <v>943</v>
      </c>
      <c r="AC285" s="146" t="s">
        <v>856</v>
      </c>
      <c r="AG285" s="146">
        <v>0</v>
      </c>
      <c r="AH285" s="146">
        <v>0</v>
      </c>
      <c r="AI285" s="146">
        <v>0</v>
      </c>
      <c r="AJ285" s="146">
        <v>7828</v>
      </c>
      <c r="AK285" s="146">
        <v>0</v>
      </c>
      <c r="AL285" s="146">
        <v>0</v>
      </c>
      <c r="AM285" s="146">
        <v>0</v>
      </c>
      <c r="AQ285" s="146">
        <v>0</v>
      </c>
    </row>
    <row r="286" spans="1:43">
      <c r="A286" s="146" t="s">
        <v>1057</v>
      </c>
      <c r="B286" s="146" t="s">
        <v>940</v>
      </c>
      <c r="C286" s="146" t="s">
        <v>946</v>
      </c>
      <c r="D286" s="146" t="s">
        <v>947</v>
      </c>
      <c r="E286" s="146" t="s">
        <v>862</v>
      </c>
      <c r="F286" s="146" t="s">
        <v>883</v>
      </c>
      <c r="G286" s="146">
        <v>5350</v>
      </c>
      <c r="H286" s="477">
        <v>0.55000000000000004</v>
      </c>
      <c r="I286" s="146" t="s">
        <v>894</v>
      </c>
      <c r="P286" s="477">
        <v>2943</v>
      </c>
      <c r="Q286" s="478">
        <v>100</v>
      </c>
      <c r="R286" s="478">
        <v>0</v>
      </c>
      <c r="S286" s="479">
        <v>96.649999999999991</v>
      </c>
      <c r="T286" s="146">
        <v>0</v>
      </c>
      <c r="U286" s="479">
        <v>0.5</v>
      </c>
      <c r="V286" s="146">
        <v>0</v>
      </c>
      <c r="W286" s="146">
        <v>0</v>
      </c>
      <c r="X286" s="146">
        <v>0</v>
      </c>
      <c r="Y286" s="477">
        <v>0.88</v>
      </c>
      <c r="Z286" s="146">
        <v>0.37840000000000001</v>
      </c>
      <c r="AA286" s="477">
        <v>185</v>
      </c>
      <c r="AB286" s="146" t="s">
        <v>943</v>
      </c>
      <c r="AC286" s="146" t="s">
        <v>856</v>
      </c>
      <c r="AG286" s="146">
        <v>0</v>
      </c>
      <c r="AH286" s="146">
        <v>0</v>
      </c>
      <c r="AI286" s="146">
        <v>0</v>
      </c>
      <c r="AJ286" s="146">
        <v>2590</v>
      </c>
      <c r="AK286" s="146">
        <v>0</v>
      </c>
      <c r="AL286" s="146">
        <v>0</v>
      </c>
      <c r="AM286" s="146">
        <v>0</v>
      </c>
      <c r="AQ286" s="146">
        <f t="shared" si="4"/>
        <v>0</v>
      </c>
    </row>
    <row r="287" spans="1:43">
      <c r="A287" s="146" t="s">
        <v>1057</v>
      </c>
      <c r="B287" s="146" t="s">
        <v>940</v>
      </c>
      <c r="C287" s="146" t="s">
        <v>941</v>
      </c>
      <c r="D287" s="146" t="s">
        <v>948</v>
      </c>
      <c r="E287" s="146" t="s">
        <v>862</v>
      </c>
      <c r="F287" s="146" t="s">
        <v>876</v>
      </c>
      <c r="G287" s="146">
        <v>12078</v>
      </c>
      <c r="H287" s="477">
        <v>0.23</v>
      </c>
      <c r="I287" s="146" t="s">
        <v>894</v>
      </c>
      <c r="P287" s="477">
        <v>2778</v>
      </c>
      <c r="Q287" s="478">
        <v>100</v>
      </c>
      <c r="R287" s="478">
        <v>0</v>
      </c>
      <c r="S287" s="479">
        <v>93.300000000000011</v>
      </c>
      <c r="T287" s="146">
        <v>0</v>
      </c>
      <c r="U287" s="479">
        <v>0.5</v>
      </c>
      <c r="V287" s="146">
        <v>0</v>
      </c>
      <c r="W287" s="146">
        <v>0</v>
      </c>
      <c r="X287" s="146">
        <v>0</v>
      </c>
      <c r="Y287" s="477">
        <v>0.88</v>
      </c>
      <c r="Z287" s="146">
        <v>0.37840000000000001</v>
      </c>
      <c r="AA287" s="477">
        <v>185</v>
      </c>
      <c r="AB287" s="146" t="s">
        <v>943</v>
      </c>
      <c r="AC287" s="146" t="s">
        <v>856</v>
      </c>
      <c r="AG287" s="146">
        <v>0</v>
      </c>
      <c r="AH287" s="146">
        <v>0</v>
      </c>
      <c r="AI287" s="146">
        <v>0</v>
      </c>
      <c r="AJ287" s="146">
        <v>2445</v>
      </c>
      <c r="AK287" s="146">
        <v>0</v>
      </c>
      <c r="AL287" s="146">
        <v>0</v>
      </c>
      <c r="AM287" s="146">
        <v>0</v>
      </c>
      <c r="AQ287" s="146">
        <f t="shared" si="4"/>
        <v>0</v>
      </c>
    </row>
    <row r="288" spans="1:43">
      <c r="A288" s="146" t="s">
        <v>1057</v>
      </c>
      <c r="B288" s="146" t="s">
        <v>940</v>
      </c>
      <c r="C288" s="146" t="s">
        <v>941</v>
      </c>
      <c r="D288" s="146" t="s">
        <v>949</v>
      </c>
      <c r="E288" s="146" t="s">
        <v>862</v>
      </c>
      <c r="F288" s="146" t="s">
        <v>877</v>
      </c>
      <c r="G288" s="146">
        <v>110</v>
      </c>
      <c r="H288" s="477">
        <v>0.23</v>
      </c>
      <c r="I288" s="146" t="s">
        <v>894</v>
      </c>
      <c r="P288" s="477">
        <v>25</v>
      </c>
      <c r="Q288" s="478">
        <v>100</v>
      </c>
      <c r="R288" s="478">
        <v>0</v>
      </c>
      <c r="S288" s="479">
        <v>93.300000000000011</v>
      </c>
      <c r="T288" s="146">
        <v>0</v>
      </c>
      <c r="U288" s="479">
        <v>0.5</v>
      </c>
      <c r="V288" s="146">
        <v>0</v>
      </c>
      <c r="W288" s="146">
        <v>0</v>
      </c>
      <c r="X288" s="146">
        <v>0</v>
      </c>
      <c r="Y288" s="477">
        <v>0.88</v>
      </c>
      <c r="Z288" s="146">
        <v>0.37840000000000001</v>
      </c>
      <c r="AA288" s="477">
        <v>185</v>
      </c>
      <c r="AB288" s="146" t="s">
        <v>943</v>
      </c>
      <c r="AC288" s="146" t="s">
        <v>856</v>
      </c>
      <c r="AG288" s="146">
        <v>0</v>
      </c>
      <c r="AH288" s="146">
        <v>0</v>
      </c>
      <c r="AI288" s="146">
        <v>0</v>
      </c>
      <c r="AJ288" s="146">
        <v>22</v>
      </c>
      <c r="AK288" s="146">
        <v>0</v>
      </c>
      <c r="AL288" s="146">
        <v>0</v>
      </c>
      <c r="AM288" s="146">
        <v>0</v>
      </c>
      <c r="AQ288" s="146">
        <f t="shared" si="4"/>
        <v>0</v>
      </c>
    </row>
    <row r="289" spans="1:43">
      <c r="A289" s="146" t="s">
        <v>1057</v>
      </c>
      <c r="B289" s="146" t="s">
        <v>940</v>
      </c>
      <c r="C289" s="146" t="s">
        <v>950</v>
      </c>
      <c r="D289" s="146" t="s">
        <v>951</v>
      </c>
      <c r="E289" s="146" t="s">
        <v>862</v>
      </c>
      <c r="F289" s="146" t="s">
        <v>868</v>
      </c>
      <c r="G289" s="146">
        <v>990</v>
      </c>
      <c r="H289" s="477"/>
      <c r="P289" s="477">
        <v>0</v>
      </c>
      <c r="Q289" s="478">
        <v>0</v>
      </c>
      <c r="R289" s="478">
        <v>0</v>
      </c>
      <c r="S289" s="479">
        <v>69.180000000000007</v>
      </c>
      <c r="T289" s="146">
        <v>0</v>
      </c>
      <c r="U289" s="479">
        <v>0.5</v>
      </c>
      <c r="V289" s="146">
        <v>0</v>
      </c>
      <c r="W289" s="146">
        <v>0</v>
      </c>
      <c r="X289" s="146">
        <v>0</v>
      </c>
      <c r="Y289" s="477">
        <v>0.88</v>
      </c>
      <c r="Z289" s="146">
        <v>0.37840000000000001</v>
      </c>
      <c r="AA289" s="477"/>
      <c r="AF289" s="330"/>
      <c r="AG289" s="146">
        <v>0</v>
      </c>
      <c r="AH289" s="146">
        <v>0</v>
      </c>
      <c r="AI289" s="146">
        <v>0</v>
      </c>
      <c r="AJ289" s="146">
        <v>0</v>
      </c>
      <c r="AK289" s="146">
        <v>0</v>
      </c>
      <c r="AL289" s="146">
        <v>0</v>
      </c>
      <c r="AM289" s="146">
        <v>0</v>
      </c>
      <c r="AQ289" s="146">
        <f t="shared" si="4"/>
        <v>0</v>
      </c>
    </row>
    <row r="290" spans="1:43">
      <c r="A290" s="146" t="s">
        <v>1057</v>
      </c>
      <c r="B290" s="146" t="s">
        <v>940</v>
      </c>
      <c r="C290" s="146" t="s">
        <v>950</v>
      </c>
      <c r="D290" s="146" t="s">
        <v>952</v>
      </c>
      <c r="E290" s="146" t="s">
        <v>862</v>
      </c>
      <c r="F290" s="146" t="s">
        <v>870</v>
      </c>
      <c r="G290" s="146">
        <v>90</v>
      </c>
      <c r="H290" s="477"/>
      <c r="P290" s="477">
        <v>0</v>
      </c>
      <c r="Q290" s="478">
        <v>0</v>
      </c>
      <c r="R290" s="478">
        <v>0</v>
      </c>
      <c r="S290" s="479">
        <v>69.180000000000007</v>
      </c>
      <c r="T290" s="146">
        <v>0</v>
      </c>
      <c r="U290" s="479">
        <v>0.5</v>
      </c>
      <c r="V290" s="146">
        <v>0</v>
      </c>
      <c r="W290" s="146">
        <v>0</v>
      </c>
      <c r="X290" s="146">
        <v>0</v>
      </c>
      <c r="Y290" s="477">
        <v>0.88</v>
      </c>
      <c r="Z290" s="146">
        <v>0.37840000000000001</v>
      </c>
      <c r="AA290" s="477"/>
      <c r="AF290" s="330"/>
      <c r="AG290" s="146">
        <v>0</v>
      </c>
      <c r="AH290" s="146">
        <v>0</v>
      </c>
      <c r="AI290" s="146">
        <v>0</v>
      </c>
      <c r="AJ290" s="146">
        <v>0</v>
      </c>
      <c r="AK290" s="146">
        <v>0</v>
      </c>
      <c r="AL290" s="146">
        <v>0</v>
      </c>
      <c r="AM290" s="146">
        <v>0</v>
      </c>
      <c r="AQ290" s="146">
        <f t="shared" si="4"/>
        <v>0</v>
      </c>
    </row>
    <row r="291" spans="1:43">
      <c r="A291" s="146" t="s">
        <v>1057</v>
      </c>
      <c r="B291" s="146" t="s">
        <v>940</v>
      </c>
      <c r="C291" s="146" t="s">
        <v>953</v>
      </c>
      <c r="D291" s="146" t="s">
        <v>954</v>
      </c>
      <c r="E291" s="146" t="s">
        <v>862</v>
      </c>
      <c r="F291" s="146" t="s">
        <v>872</v>
      </c>
      <c r="G291" s="146">
        <v>2514</v>
      </c>
      <c r="H291" s="477">
        <v>0.56000000000000005</v>
      </c>
      <c r="I291" s="146" t="s">
        <v>894</v>
      </c>
      <c r="P291" s="477">
        <v>1408</v>
      </c>
      <c r="Q291" s="478">
        <v>50</v>
      </c>
      <c r="R291" s="478">
        <v>704</v>
      </c>
      <c r="S291" s="479">
        <v>69.180000000000007</v>
      </c>
      <c r="T291" s="146">
        <v>217</v>
      </c>
      <c r="U291" s="479">
        <v>0.5</v>
      </c>
      <c r="V291" s="146">
        <v>1</v>
      </c>
      <c r="W291" s="146">
        <v>0</v>
      </c>
      <c r="X291" s="146">
        <v>1</v>
      </c>
      <c r="Y291" s="477">
        <v>0.88</v>
      </c>
      <c r="Z291" s="146">
        <v>0.37840000000000001</v>
      </c>
      <c r="AA291" s="477">
        <v>194</v>
      </c>
      <c r="AB291" s="146" t="s">
        <v>955</v>
      </c>
      <c r="AC291" s="146" t="s">
        <v>856</v>
      </c>
      <c r="AG291" s="146">
        <v>1</v>
      </c>
      <c r="AH291" s="146">
        <v>0</v>
      </c>
      <c r="AI291" s="146">
        <v>194</v>
      </c>
      <c r="AJ291" s="146">
        <v>1239</v>
      </c>
      <c r="AK291" s="146">
        <v>620</v>
      </c>
      <c r="AL291" s="146">
        <v>191</v>
      </c>
      <c r="AM291" s="146">
        <v>1</v>
      </c>
      <c r="AQ291" s="146">
        <f t="shared" si="4"/>
        <v>0</v>
      </c>
    </row>
    <row r="292" spans="1:43">
      <c r="A292" s="146" t="s">
        <v>1057</v>
      </c>
      <c r="B292" s="146" t="s">
        <v>940</v>
      </c>
      <c r="C292" s="146" t="s">
        <v>953</v>
      </c>
      <c r="D292" s="146" t="s">
        <v>956</v>
      </c>
      <c r="E292" s="146" t="s">
        <v>862</v>
      </c>
      <c r="F292" s="146" t="s">
        <v>874</v>
      </c>
      <c r="G292" s="146">
        <v>544</v>
      </c>
      <c r="H292" s="477">
        <v>0.56000000000000005</v>
      </c>
      <c r="I292" s="146" t="s">
        <v>894</v>
      </c>
      <c r="P292" s="477">
        <v>305</v>
      </c>
      <c r="Q292" s="478">
        <v>50</v>
      </c>
      <c r="R292" s="478">
        <v>152</v>
      </c>
      <c r="S292" s="479">
        <v>69.180000000000007</v>
      </c>
      <c r="T292" s="146">
        <v>47</v>
      </c>
      <c r="U292" s="479">
        <v>0.5</v>
      </c>
      <c r="V292" s="146">
        <v>0</v>
      </c>
      <c r="W292" s="146">
        <v>0</v>
      </c>
      <c r="X292" s="146">
        <v>0</v>
      </c>
      <c r="Y292" s="477">
        <v>0.88</v>
      </c>
      <c r="Z292" s="146">
        <v>0.37840000000000001</v>
      </c>
      <c r="AA292" s="477">
        <v>194</v>
      </c>
      <c r="AB292" s="146" t="s">
        <v>943</v>
      </c>
      <c r="AC292" s="146" t="s">
        <v>856</v>
      </c>
      <c r="AG292" s="146">
        <v>0</v>
      </c>
      <c r="AH292" s="146">
        <v>0</v>
      </c>
      <c r="AI292" s="146">
        <v>0</v>
      </c>
      <c r="AJ292" s="146">
        <v>268</v>
      </c>
      <c r="AK292" s="146">
        <v>134</v>
      </c>
      <c r="AL292" s="146">
        <v>41</v>
      </c>
      <c r="AM292" s="146">
        <v>0</v>
      </c>
      <c r="AQ292" s="146">
        <f t="shared" si="4"/>
        <v>0</v>
      </c>
    </row>
    <row r="293" spans="1:43">
      <c r="A293" s="146" t="s">
        <v>1057</v>
      </c>
      <c r="B293" s="146" t="s">
        <v>940</v>
      </c>
      <c r="C293" s="146" t="s">
        <v>953</v>
      </c>
      <c r="D293" s="146" t="s">
        <v>957</v>
      </c>
      <c r="E293" s="146" t="s">
        <v>862</v>
      </c>
      <c r="F293" s="146" t="s">
        <v>875</v>
      </c>
      <c r="G293" s="146">
        <v>38672</v>
      </c>
      <c r="H293" s="146">
        <v>0.5</v>
      </c>
      <c r="I293" s="146" t="s">
        <v>894</v>
      </c>
      <c r="K293" s="477"/>
      <c r="N293" s="477"/>
      <c r="P293" s="477">
        <v>19336</v>
      </c>
      <c r="Q293" s="478">
        <v>40</v>
      </c>
      <c r="R293" s="478">
        <v>11602</v>
      </c>
      <c r="S293" s="479">
        <v>69.180000000000007</v>
      </c>
      <c r="T293" s="146">
        <v>3576</v>
      </c>
      <c r="U293" s="479">
        <v>0.5</v>
      </c>
      <c r="V293" s="146">
        <v>18</v>
      </c>
      <c r="W293" s="146">
        <v>0</v>
      </c>
      <c r="X293" s="146">
        <v>18</v>
      </c>
      <c r="Y293" s="146">
        <v>0.88</v>
      </c>
      <c r="Z293" s="146">
        <v>0.37840000000000001</v>
      </c>
      <c r="AA293" s="146">
        <v>194</v>
      </c>
      <c r="AB293" s="146" t="s">
        <v>943</v>
      </c>
      <c r="AC293" s="146" t="s">
        <v>856</v>
      </c>
      <c r="AG293" s="146">
        <v>16</v>
      </c>
      <c r="AH293" s="146">
        <v>7</v>
      </c>
      <c r="AI293" s="146">
        <v>3492</v>
      </c>
      <c r="AJ293" s="146">
        <v>17016</v>
      </c>
      <c r="AK293" s="146">
        <v>10210</v>
      </c>
      <c r="AL293" s="146">
        <v>3147</v>
      </c>
      <c r="AM293" s="146">
        <v>16</v>
      </c>
      <c r="AQ293" s="146">
        <v>81</v>
      </c>
    </row>
    <row r="294" spans="1:43">
      <c r="A294" s="146" t="s">
        <v>1057</v>
      </c>
      <c r="B294" s="146" t="s">
        <v>940</v>
      </c>
      <c r="C294" s="146" t="s">
        <v>953</v>
      </c>
      <c r="D294" s="146" t="s">
        <v>958</v>
      </c>
      <c r="E294" s="146" t="s">
        <v>862</v>
      </c>
      <c r="F294" s="146" t="s">
        <v>876</v>
      </c>
      <c r="G294" s="146">
        <v>12078</v>
      </c>
      <c r="H294" s="146">
        <v>0.56000000000000005</v>
      </c>
      <c r="I294" s="146" t="s">
        <v>894</v>
      </c>
      <c r="K294" s="477"/>
      <c r="N294" s="477"/>
      <c r="P294" s="477">
        <v>6764</v>
      </c>
      <c r="Q294" s="478">
        <v>50</v>
      </c>
      <c r="R294" s="478">
        <v>3382</v>
      </c>
      <c r="S294" s="479">
        <v>69.180000000000007</v>
      </c>
      <c r="T294" s="146">
        <v>1042</v>
      </c>
      <c r="U294" s="479">
        <v>0.5</v>
      </c>
      <c r="V294" s="146">
        <v>5</v>
      </c>
      <c r="W294" s="146">
        <v>0</v>
      </c>
      <c r="X294" s="146">
        <v>5</v>
      </c>
      <c r="Y294" s="146">
        <v>0.88</v>
      </c>
      <c r="Z294" s="146">
        <v>0.37840000000000001</v>
      </c>
      <c r="AA294" s="146">
        <v>194</v>
      </c>
      <c r="AB294" s="146" t="s">
        <v>943</v>
      </c>
      <c r="AC294" s="146" t="s">
        <v>856</v>
      </c>
      <c r="AG294" s="146">
        <v>4</v>
      </c>
      <c r="AH294" s="146">
        <v>2</v>
      </c>
      <c r="AI294" s="146">
        <v>970</v>
      </c>
      <c r="AJ294" s="146">
        <v>5952</v>
      </c>
      <c r="AK294" s="146">
        <v>2976</v>
      </c>
      <c r="AL294" s="146">
        <v>917</v>
      </c>
      <c r="AM294" s="146">
        <v>4</v>
      </c>
      <c r="AQ294" s="146">
        <f t="shared" si="4"/>
        <v>23</v>
      </c>
    </row>
    <row r="295" spans="1:43">
      <c r="A295" s="146" t="s">
        <v>1057</v>
      </c>
      <c r="B295" s="146" t="s">
        <v>940</v>
      </c>
      <c r="C295" s="146" t="s">
        <v>953</v>
      </c>
      <c r="D295" s="146" t="s">
        <v>959</v>
      </c>
      <c r="E295" s="146" t="s">
        <v>862</v>
      </c>
      <c r="F295" s="146" t="s">
        <v>877</v>
      </c>
      <c r="G295" s="146">
        <v>110</v>
      </c>
      <c r="H295" s="477">
        <v>0.56000000000000005</v>
      </c>
      <c r="I295" s="146" t="s">
        <v>894</v>
      </c>
      <c r="K295" s="480"/>
      <c r="P295" s="477">
        <v>62</v>
      </c>
      <c r="Q295" s="478">
        <v>50</v>
      </c>
      <c r="R295" s="478">
        <v>31</v>
      </c>
      <c r="S295" s="479">
        <v>69.180000000000007</v>
      </c>
      <c r="T295" s="146">
        <v>10</v>
      </c>
      <c r="U295" s="479">
        <v>0.5</v>
      </c>
      <c r="V295" s="146">
        <v>0</v>
      </c>
      <c r="W295" s="146">
        <v>0</v>
      </c>
      <c r="X295" s="146">
        <v>0</v>
      </c>
      <c r="Y295" s="477">
        <v>0.88</v>
      </c>
      <c r="Z295" s="146">
        <v>0.37840000000000001</v>
      </c>
      <c r="AA295" s="477">
        <v>194</v>
      </c>
      <c r="AB295" s="146" t="s">
        <v>943</v>
      </c>
      <c r="AC295" s="146" t="s">
        <v>856</v>
      </c>
      <c r="AG295" s="146">
        <v>0</v>
      </c>
      <c r="AH295" s="146">
        <v>0</v>
      </c>
      <c r="AI295" s="146">
        <v>0</v>
      </c>
      <c r="AJ295" s="146">
        <v>55</v>
      </c>
      <c r="AK295" s="146">
        <v>27</v>
      </c>
      <c r="AL295" s="146">
        <v>9</v>
      </c>
      <c r="AM295" s="146">
        <v>0</v>
      </c>
      <c r="AQ295" s="146">
        <f t="shared" si="4"/>
        <v>0</v>
      </c>
    </row>
    <row r="296" spans="1:43">
      <c r="A296" s="146" t="s">
        <v>1057</v>
      </c>
      <c r="B296" s="146" t="s">
        <v>940</v>
      </c>
      <c r="C296" s="146" t="s">
        <v>960</v>
      </c>
      <c r="D296" s="146" t="s">
        <v>961</v>
      </c>
      <c r="E296" s="146" t="s">
        <v>862</v>
      </c>
      <c r="F296" s="146" t="s">
        <v>879</v>
      </c>
      <c r="G296" s="146">
        <v>14504</v>
      </c>
      <c r="H296" s="477">
        <v>0.33</v>
      </c>
      <c r="I296" s="146" t="s">
        <v>894</v>
      </c>
      <c r="P296" s="477">
        <v>4786</v>
      </c>
      <c r="Q296" s="478">
        <v>40</v>
      </c>
      <c r="R296" s="478">
        <v>2872</v>
      </c>
      <c r="S296" s="479">
        <v>90</v>
      </c>
      <c r="T296" s="146">
        <v>287</v>
      </c>
      <c r="U296" s="479">
        <v>0.5</v>
      </c>
      <c r="V296" s="146">
        <v>1</v>
      </c>
      <c r="W296" s="146">
        <v>0</v>
      </c>
      <c r="X296" s="146">
        <v>1</v>
      </c>
      <c r="Y296" s="477">
        <v>0.88</v>
      </c>
      <c r="Z296" s="146">
        <v>0.37840000000000001</v>
      </c>
      <c r="AA296" s="477">
        <v>214</v>
      </c>
      <c r="AB296" s="146" t="s">
        <v>943</v>
      </c>
      <c r="AC296" s="146" t="s">
        <v>856</v>
      </c>
      <c r="AG296" s="146">
        <v>1</v>
      </c>
      <c r="AH296" s="146">
        <v>0</v>
      </c>
      <c r="AI296" s="146">
        <v>214</v>
      </c>
      <c r="AJ296" s="146">
        <v>4212</v>
      </c>
      <c r="AK296" s="146">
        <v>2527</v>
      </c>
      <c r="AL296" s="146">
        <v>253</v>
      </c>
      <c r="AM296" s="146">
        <v>1</v>
      </c>
      <c r="AQ296" s="146">
        <f t="shared" si="4"/>
        <v>0</v>
      </c>
    </row>
    <row r="297" spans="1:43">
      <c r="A297" s="146" t="s">
        <v>1057</v>
      </c>
      <c r="B297" s="146" t="s">
        <v>940</v>
      </c>
      <c r="C297" s="146" t="s">
        <v>962</v>
      </c>
      <c r="D297" s="146" t="s">
        <v>963</v>
      </c>
      <c r="E297" s="146" t="s">
        <v>862</v>
      </c>
      <c r="F297" s="146" t="s">
        <v>881</v>
      </c>
      <c r="G297" s="146">
        <v>74</v>
      </c>
      <c r="H297" s="477">
        <v>0.55000000000000004</v>
      </c>
      <c r="I297" s="146" t="s">
        <v>894</v>
      </c>
      <c r="P297" s="477">
        <v>41</v>
      </c>
      <c r="Q297" s="478">
        <v>40</v>
      </c>
      <c r="R297" s="478">
        <v>25</v>
      </c>
      <c r="S297" s="479">
        <v>69.180000000000007</v>
      </c>
      <c r="T297" s="146">
        <v>8</v>
      </c>
      <c r="U297" s="479">
        <v>0.5</v>
      </c>
      <c r="V297" s="146">
        <v>0</v>
      </c>
      <c r="W297" s="146">
        <v>0</v>
      </c>
      <c r="X297" s="146">
        <v>0</v>
      </c>
      <c r="Y297" s="477">
        <v>0.88</v>
      </c>
      <c r="Z297" s="146">
        <v>0.37840000000000001</v>
      </c>
      <c r="AA297" s="477"/>
      <c r="AB297" s="146" t="s">
        <v>964</v>
      </c>
      <c r="AG297" s="146">
        <v>0</v>
      </c>
      <c r="AH297" s="146">
        <v>0</v>
      </c>
      <c r="AI297" s="146">
        <v>0</v>
      </c>
      <c r="AJ297" s="146">
        <v>36</v>
      </c>
      <c r="AK297" s="146">
        <v>22</v>
      </c>
      <c r="AL297" s="146">
        <v>7</v>
      </c>
      <c r="AM297" s="146">
        <v>0</v>
      </c>
      <c r="AQ297" s="146">
        <f t="shared" si="4"/>
        <v>0</v>
      </c>
    </row>
    <row r="298" spans="1:43">
      <c r="A298" s="146" t="s">
        <v>1057</v>
      </c>
      <c r="B298" s="146" t="s">
        <v>940</v>
      </c>
      <c r="C298" s="146" t="s">
        <v>962</v>
      </c>
      <c r="D298" s="146" t="s">
        <v>965</v>
      </c>
      <c r="E298" s="146" t="s">
        <v>862</v>
      </c>
      <c r="F298" s="146" t="s">
        <v>883</v>
      </c>
      <c r="G298" s="146">
        <v>5350</v>
      </c>
      <c r="H298" s="477">
        <v>0.55000000000000004</v>
      </c>
      <c r="I298" s="146" t="s">
        <v>894</v>
      </c>
      <c r="P298" s="477">
        <v>2943</v>
      </c>
      <c r="Q298" s="478">
        <v>50</v>
      </c>
      <c r="R298" s="478">
        <v>1472</v>
      </c>
      <c r="S298" s="479">
        <v>89.95</v>
      </c>
      <c r="T298" s="146">
        <v>148</v>
      </c>
      <c r="U298" s="479">
        <v>0.5</v>
      </c>
      <c r="V298" s="146">
        <v>1</v>
      </c>
      <c r="W298" s="146">
        <v>0</v>
      </c>
      <c r="X298" s="146">
        <v>1</v>
      </c>
      <c r="Y298" s="477">
        <v>0.88</v>
      </c>
      <c r="Z298" s="146">
        <v>0.37840000000000001</v>
      </c>
      <c r="AA298" s="477">
        <v>103</v>
      </c>
      <c r="AB298" s="146" t="s">
        <v>943</v>
      </c>
      <c r="AC298" s="146" t="s">
        <v>856</v>
      </c>
      <c r="AG298" s="146">
        <v>1</v>
      </c>
      <c r="AH298" s="146">
        <v>0</v>
      </c>
      <c r="AI298" s="146">
        <v>103</v>
      </c>
      <c r="AJ298" s="146">
        <v>2590</v>
      </c>
      <c r="AK298" s="146">
        <v>1295</v>
      </c>
      <c r="AL298" s="146">
        <v>130</v>
      </c>
      <c r="AM298" s="146">
        <v>1</v>
      </c>
      <c r="AQ298" s="146">
        <f t="shared" si="4"/>
        <v>0</v>
      </c>
    </row>
    <row r="299" spans="1:43">
      <c r="A299" s="146" t="s">
        <v>1057</v>
      </c>
      <c r="B299" s="146" t="s">
        <v>940</v>
      </c>
      <c r="C299" s="146" t="s">
        <v>962</v>
      </c>
      <c r="D299" s="146" t="s">
        <v>966</v>
      </c>
      <c r="E299" s="146" t="s">
        <v>862</v>
      </c>
      <c r="F299" s="146" t="s">
        <v>885</v>
      </c>
      <c r="G299" s="146">
        <v>409</v>
      </c>
      <c r="H299" s="477">
        <v>0.55000000000000004</v>
      </c>
      <c r="I299" s="146" t="s">
        <v>894</v>
      </c>
      <c r="P299" s="477">
        <v>225</v>
      </c>
      <c r="Q299" s="478">
        <v>40</v>
      </c>
      <c r="R299" s="478">
        <v>135</v>
      </c>
      <c r="S299" s="479">
        <v>69.180000000000007</v>
      </c>
      <c r="T299" s="146">
        <v>42</v>
      </c>
      <c r="U299" s="479">
        <v>0.5</v>
      </c>
      <c r="V299" s="146">
        <v>0</v>
      </c>
      <c r="W299" s="146">
        <v>0</v>
      </c>
      <c r="X299" s="146">
        <v>0</v>
      </c>
      <c r="Y299" s="477">
        <v>0.88</v>
      </c>
      <c r="Z299" s="146">
        <v>0.37840000000000001</v>
      </c>
      <c r="AA299" s="477"/>
      <c r="AB299" s="146" t="s">
        <v>964</v>
      </c>
      <c r="AG299" s="146">
        <v>0</v>
      </c>
      <c r="AH299" s="146">
        <v>0</v>
      </c>
      <c r="AI299" s="146">
        <v>0</v>
      </c>
      <c r="AJ299" s="146">
        <v>198</v>
      </c>
      <c r="AK299" s="146">
        <v>119</v>
      </c>
      <c r="AL299" s="146">
        <v>37</v>
      </c>
      <c r="AM299" s="146">
        <v>0</v>
      </c>
      <c r="AQ299" s="146">
        <f t="shared" si="4"/>
        <v>0</v>
      </c>
    </row>
    <row r="300" spans="1:43">
      <c r="A300" s="146" t="s">
        <v>1057</v>
      </c>
      <c r="B300" s="146" t="s">
        <v>940</v>
      </c>
      <c r="C300" s="146" t="s">
        <v>962</v>
      </c>
      <c r="D300" s="146" t="s">
        <v>967</v>
      </c>
      <c r="E300" s="146" t="s">
        <v>862</v>
      </c>
      <c r="F300" s="146" t="s">
        <v>906</v>
      </c>
      <c r="G300" s="146">
        <v>1644</v>
      </c>
      <c r="H300" s="477">
        <v>1.04</v>
      </c>
      <c r="I300" s="146" t="s">
        <v>894</v>
      </c>
      <c r="P300" s="477">
        <v>1710</v>
      </c>
      <c r="Q300" s="478">
        <v>40</v>
      </c>
      <c r="R300" s="478">
        <v>1026</v>
      </c>
      <c r="S300" s="479">
        <v>96.649999999999991</v>
      </c>
      <c r="T300" s="146">
        <v>34</v>
      </c>
      <c r="U300" s="479">
        <v>0.5</v>
      </c>
      <c r="V300" s="146">
        <v>0</v>
      </c>
      <c r="W300" s="146">
        <v>0</v>
      </c>
      <c r="X300" s="146">
        <v>0</v>
      </c>
      <c r="Y300" s="477">
        <v>0.88</v>
      </c>
      <c r="Z300" s="146">
        <v>0.37840000000000001</v>
      </c>
      <c r="AA300" s="477">
        <v>223</v>
      </c>
      <c r="AB300" s="146" t="s">
        <v>943</v>
      </c>
      <c r="AC300" s="146" t="s">
        <v>856</v>
      </c>
      <c r="AG300" s="146">
        <v>0</v>
      </c>
      <c r="AH300" s="146">
        <v>0</v>
      </c>
      <c r="AI300" s="146">
        <v>0</v>
      </c>
      <c r="AJ300" s="146">
        <v>1505</v>
      </c>
      <c r="AK300" s="146">
        <v>903</v>
      </c>
      <c r="AL300" s="146">
        <v>30</v>
      </c>
      <c r="AM300" s="146">
        <v>0</v>
      </c>
      <c r="AQ300" s="146">
        <f t="shared" si="4"/>
        <v>0</v>
      </c>
    </row>
    <row r="301" spans="1:43">
      <c r="A301" s="146" t="s">
        <v>1057</v>
      </c>
      <c r="B301" s="146" t="s">
        <v>49</v>
      </c>
      <c r="C301" s="146" t="s">
        <v>968</v>
      </c>
      <c r="D301" s="146" t="s">
        <v>969</v>
      </c>
      <c r="K301" s="477"/>
      <c r="N301" s="477"/>
      <c r="P301" s="477">
        <v>0</v>
      </c>
      <c r="Q301" s="478">
        <v>0</v>
      </c>
      <c r="R301" s="478">
        <v>0</v>
      </c>
      <c r="S301" s="479">
        <v>0</v>
      </c>
      <c r="T301" s="146">
        <v>0</v>
      </c>
      <c r="U301" s="479"/>
      <c r="V301" s="146">
        <v>0</v>
      </c>
      <c r="W301" s="146">
        <v>0</v>
      </c>
      <c r="X301" s="146">
        <v>0</v>
      </c>
      <c r="AF301" s="146" t="s">
        <v>970</v>
      </c>
      <c r="AG301" s="146">
        <v>0</v>
      </c>
      <c r="AH301" s="146">
        <v>0</v>
      </c>
      <c r="AI301" s="146">
        <v>0</v>
      </c>
      <c r="AJ301" s="146">
        <v>0</v>
      </c>
      <c r="AK301" s="146">
        <v>0</v>
      </c>
      <c r="AL301" s="146">
        <v>0</v>
      </c>
      <c r="AM301" s="146">
        <v>0</v>
      </c>
      <c r="AQ301" s="146">
        <f t="shared" si="4"/>
        <v>0</v>
      </c>
    </row>
    <row r="302" spans="1:43">
      <c r="A302" s="146" t="s">
        <v>1057</v>
      </c>
      <c r="B302" s="146" t="s">
        <v>49</v>
      </c>
      <c r="C302" s="146" t="s">
        <v>968</v>
      </c>
      <c r="D302" s="146" t="s">
        <v>971</v>
      </c>
      <c r="K302" s="477"/>
      <c r="N302" s="477"/>
      <c r="P302" s="477">
        <v>0</v>
      </c>
      <c r="Q302" s="478">
        <v>0</v>
      </c>
      <c r="R302" s="478">
        <v>0</v>
      </c>
      <c r="S302" s="479">
        <v>0</v>
      </c>
      <c r="T302" s="146">
        <v>0</v>
      </c>
      <c r="U302" s="479"/>
      <c r="V302" s="146">
        <v>0</v>
      </c>
      <c r="W302" s="146">
        <v>0</v>
      </c>
      <c r="X302" s="146">
        <v>0</v>
      </c>
      <c r="AF302" s="146" t="s">
        <v>972</v>
      </c>
      <c r="AG302" s="146">
        <v>0</v>
      </c>
      <c r="AH302" s="146">
        <v>0</v>
      </c>
      <c r="AI302" s="146">
        <v>0</v>
      </c>
      <c r="AJ302" s="146">
        <v>0</v>
      </c>
      <c r="AK302" s="146">
        <v>0</v>
      </c>
      <c r="AL302" s="146">
        <v>0</v>
      </c>
      <c r="AM302" s="146">
        <v>0</v>
      </c>
      <c r="AQ302" s="146">
        <f t="shared" si="4"/>
        <v>0</v>
      </c>
    </row>
    <row r="303" spans="1:43">
      <c r="A303" s="146" t="s">
        <v>1057</v>
      </c>
      <c r="B303" s="146" t="s">
        <v>49</v>
      </c>
      <c r="C303" s="146" t="s">
        <v>973</v>
      </c>
      <c r="D303" s="146" t="s">
        <v>973</v>
      </c>
      <c r="E303" s="146" t="s">
        <v>842</v>
      </c>
      <c r="P303" s="477">
        <v>0</v>
      </c>
      <c r="Q303" s="478">
        <v>0</v>
      </c>
      <c r="R303" s="478">
        <v>0</v>
      </c>
      <c r="S303" s="479">
        <v>43.437499999999993</v>
      </c>
      <c r="T303" s="146">
        <v>0</v>
      </c>
      <c r="U303" s="479">
        <v>32.200000000000003</v>
      </c>
      <c r="V303" s="146">
        <v>0</v>
      </c>
      <c r="W303" s="146">
        <v>0</v>
      </c>
      <c r="X303" s="146">
        <v>0</v>
      </c>
      <c r="AB303" s="146" t="s">
        <v>974</v>
      </c>
      <c r="AC303" s="146" t="s">
        <v>975</v>
      </c>
      <c r="AG303" s="146">
        <v>0</v>
      </c>
      <c r="AH303" s="146">
        <v>0</v>
      </c>
      <c r="AI303" s="146">
        <v>0</v>
      </c>
      <c r="AJ303" s="146">
        <v>0</v>
      </c>
      <c r="AK303" s="146">
        <v>0</v>
      </c>
      <c r="AL303" s="146">
        <v>0</v>
      </c>
      <c r="AM303" s="146">
        <v>0</v>
      </c>
      <c r="AQ303" s="146">
        <f t="shared" si="4"/>
        <v>0</v>
      </c>
    </row>
    <row r="304" spans="1:43">
      <c r="A304" s="146" t="s">
        <v>1057</v>
      </c>
      <c r="B304" s="146" t="s">
        <v>49</v>
      </c>
      <c r="C304" s="146" t="s">
        <v>976</v>
      </c>
      <c r="D304" s="146" t="s">
        <v>977</v>
      </c>
      <c r="E304" s="146" t="s">
        <v>978</v>
      </c>
      <c r="P304" s="477">
        <v>0</v>
      </c>
      <c r="Q304" s="478">
        <v>0</v>
      </c>
      <c r="R304" s="478">
        <v>0</v>
      </c>
      <c r="S304" s="479">
        <v>0</v>
      </c>
      <c r="T304" s="146">
        <v>0</v>
      </c>
      <c r="U304" s="479">
        <v>100</v>
      </c>
      <c r="V304" s="146">
        <v>0</v>
      </c>
      <c r="W304" s="146">
        <v>0</v>
      </c>
      <c r="X304" s="146">
        <v>0</v>
      </c>
      <c r="Y304" s="146">
        <v>1</v>
      </c>
      <c r="Z304" s="146">
        <v>0.88</v>
      </c>
      <c r="AF304" s="146" t="s">
        <v>979</v>
      </c>
      <c r="AG304" s="146">
        <v>0</v>
      </c>
      <c r="AH304" s="146">
        <v>0</v>
      </c>
      <c r="AI304" s="146">
        <v>0</v>
      </c>
      <c r="AJ304" s="146">
        <v>0</v>
      </c>
      <c r="AK304" s="146">
        <v>0</v>
      </c>
      <c r="AL304" s="146">
        <v>0</v>
      </c>
      <c r="AM304" s="146">
        <v>0</v>
      </c>
      <c r="AQ304" s="146">
        <f t="shared" si="4"/>
        <v>0</v>
      </c>
    </row>
    <row r="305" spans="1:43">
      <c r="A305" s="146" t="s">
        <v>1057</v>
      </c>
      <c r="B305" s="146" t="s">
        <v>49</v>
      </c>
      <c r="C305" s="146" t="s">
        <v>980</v>
      </c>
      <c r="D305" s="146" t="s">
        <v>981</v>
      </c>
      <c r="E305" s="146" t="s">
        <v>842</v>
      </c>
      <c r="J305" s="146" t="s">
        <v>843</v>
      </c>
      <c r="K305" s="146">
        <v>500</v>
      </c>
      <c r="L305" s="146" t="s">
        <v>844</v>
      </c>
      <c r="M305" s="146" t="s">
        <v>341</v>
      </c>
      <c r="N305" s="146">
        <v>10</v>
      </c>
      <c r="O305" s="146" t="s">
        <v>845</v>
      </c>
      <c r="P305" s="477">
        <v>5000</v>
      </c>
      <c r="Q305" s="478">
        <v>0</v>
      </c>
      <c r="R305" s="478">
        <v>5000</v>
      </c>
      <c r="S305" s="479">
        <v>0</v>
      </c>
      <c r="T305" s="146">
        <v>5000</v>
      </c>
      <c r="U305" s="479">
        <v>0</v>
      </c>
      <c r="V305" s="146">
        <v>0</v>
      </c>
      <c r="W305" s="146">
        <v>0</v>
      </c>
      <c r="X305" s="146">
        <v>0</v>
      </c>
      <c r="Y305" s="146">
        <v>0.4</v>
      </c>
      <c r="Z305" s="146">
        <v>6.59E-2</v>
      </c>
      <c r="AA305" s="146">
        <v>77.400000000000006</v>
      </c>
      <c r="AB305" s="146" t="s">
        <v>982</v>
      </c>
      <c r="AC305" s="146" t="s">
        <v>983</v>
      </c>
      <c r="AG305" s="146">
        <v>0</v>
      </c>
      <c r="AH305" s="146">
        <v>0</v>
      </c>
      <c r="AI305" s="146">
        <v>0</v>
      </c>
      <c r="AJ305" s="146">
        <v>2000</v>
      </c>
      <c r="AK305" s="146">
        <v>2000</v>
      </c>
      <c r="AL305" s="146">
        <v>2000</v>
      </c>
      <c r="AM305" s="146">
        <v>0</v>
      </c>
      <c r="AQ305" s="146">
        <f t="shared" si="4"/>
        <v>0</v>
      </c>
    </row>
    <row r="306" spans="1:43">
      <c r="A306" s="146" t="s">
        <v>1057</v>
      </c>
      <c r="B306" s="146" t="s">
        <v>49</v>
      </c>
      <c r="C306" s="146" t="s">
        <v>984</v>
      </c>
      <c r="D306" s="146" t="s">
        <v>985</v>
      </c>
      <c r="E306" s="146" t="s">
        <v>842</v>
      </c>
      <c r="P306" s="477">
        <v>0</v>
      </c>
      <c r="Q306" s="478">
        <v>0</v>
      </c>
      <c r="R306" s="478">
        <v>0</v>
      </c>
      <c r="S306" s="479">
        <v>85</v>
      </c>
      <c r="T306" s="146">
        <v>0</v>
      </c>
      <c r="U306" s="479">
        <v>95</v>
      </c>
      <c r="V306" s="146">
        <v>0</v>
      </c>
      <c r="W306" s="146">
        <v>0</v>
      </c>
      <c r="X306" s="146">
        <v>0</v>
      </c>
      <c r="Y306" s="146">
        <v>1</v>
      </c>
      <c r="Z306" s="146">
        <v>5.5300000000000002E-2</v>
      </c>
      <c r="AA306" s="146">
        <v>65</v>
      </c>
      <c r="AF306" s="146" t="s">
        <v>979</v>
      </c>
      <c r="AG306" s="146">
        <v>0</v>
      </c>
      <c r="AH306" s="146">
        <v>0</v>
      </c>
      <c r="AI306" s="146">
        <v>0</v>
      </c>
      <c r="AJ306" s="146">
        <v>0</v>
      </c>
      <c r="AK306" s="146">
        <v>0</v>
      </c>
      <c r="AL306" s="146">
        <v>0</v>
      </c>
      <c r="AM306" s="146">
        <v>0</v>
      </c>
      <c r="AQ306" s="146">
        <f t="shared" si="4"/>
        <v>0</v>
      </c>
    </row>
    <row r="307" spans="1:43">
      <c r="A307" s="146" t="s">
        <v>1057</v>
      </c>
      <c r="B307" s="146" t="s">
        <v>49</v>
      </c>
      <c r="C307" s="146" t="s">
        <v>986</v>
      </c>
      <c r="D307" s="146" t="s">
        <v>987</v>
      </c>
      <c r="E307" s="146" t="s">
        <v>842</v>
      </c>
      <c r="J307" s="146" t="s">
        <v>843</v>
      </c>
      <c r="K307" s="146">
        <v>6000</v>
      </c>
      <c r="L307" s="146" t="s">
        <v>844</v>
      </c>
      <c r="M307" s="146" t="s">
        <v>341</v>
      </c>
      <c r="N307" s="146">
        <v>29</v>
      </c>
      <c r="O307" s="146" t="s">
        <v>845</v>
      </c>
      <c r="P307" s="477">
        <v>174000</v>
      </c>
      <c r="Q307" s="478">
        <v>0</v>
      </c>
      <c r="R307" s="478">
        <v>174000</v>
      </c>
      <c r="S307" s="479">
        <v>95</v>
      </c>
      <c r="T307" s="146">
        <v>8700</v>
      </c>
      <c r="U307" s="479">
        <v>0</v>
      </c>
      <c r="V307" s="146">
        <v>0</v>
      </c>
      <c r="W307" s="146">
        <v>0</v>
      </c>
      <c r="X307" s="146">
        <v>0</v>
      </c>
      <c r="Y307" s="146">
        <v>0.24</v>
      </c>
      <c r="Z307" s="146">
        <v>7.5999999999999998E-2</v>
      </c>
      <c r="AA307" s="146">
        <v>89.325599999999994</v>
      </c>
      <c r="AB307" s="146" t="s">
        <v>988</v>
      </c>
      <c r="AC307" s="146" t="s">
        <v>983</v>
      </c>
      <c r="AG307" s="146">
        <v>0</v>
      </c>
      <c r="AH307" s="146">
        <v>0</v>
      </c>
      <c r="AI307" s="146">
        <v>0</v>
      </c>
      <c r="AJ307" s="146">
        <v>41760</v>
      </c>
      <c r="AK307" s="146">
        <v>41760</v>
      </c>
      <c r="AL307" s="146">
        <v>2088</v>
      </c>
      <c r="AM307" s="146">
        <v>0</v>
      </c>
      <c r="AQ307" s="146">
        <f t="shared" si="4"/>
        <v>0</v>
      </c>
    </row>
    <row r="308" spans="1:43">
      <c r="A308" s="146" t="s">
        <v>1057</v>
      </c>
      <c r="B308" s="146" t="s">
        <v>49</v>
      </c>
      <c r="C308" s="146" t="s">
        <v>989</v>
      </c>
      <c r="D308" s="146" t="s">
        <v>990</v>
      </c>
      <c r="E308" s="146" t="s">
        <v>842</v>
      </c>
      <c r="J308" s="146" t="s">
        <v>843</v>
      </c>
      <c r="K308" s="146">
        <v>3000</v>
      </c>
      <c r="L308" s="146" t="s">
        <v>844</v>
      </c>
      <c r="M308" s="146" t="s">
        <v>341</v>
      </c>
      <c r="N308" s="146">
        <v>36</v>
      </c>
      <c r="O308" s="146" t="s">
        <v>845</v>
      </c>
      <c r="P308" s="477">
        <v>108000</v>
      </c>
      <c r="Q308" s="478">
        <v>0</v>
      </c>
      <c r="R308" s="478">
        <v>108000</v>
      </c>
      <c r="S308" s="479">
        <v>95</v>
      </c>
      <c r="T308" s="146">
        <v>5400</v>
      </c>
      <c r="U308" s="479">
        <v>0</v>
      </c>
      <c r="V308" s="146">
        <v>0</v>
      </c>
      <c r="W308" s="146">
        <v>0</v>
      </c>
      <c r="X308" s="146">
        <v>0</v>
      </c>
      <c r="Y308" s="146">
        <v>0.24</v>
      </c>
      <c r="Z308" s="146">
        <v>7.5999999999999998E-2</v>
      </c>
      <c r="AA308" s="146">
        <v>89.325599999999994</v>
      </c>
      <c r="AC308" s="146" t="s">
        <v>983</v>
      </c>
      <c r="AG308" s="146">
        <v>0</v>
      </c>
      <c r="AH308" s="146">
        <v>0</v>
      </c>
      <c r="AI308" s="146">
        <v>0</v>
      </c>
      <c r="AJ308" s="146">
        <v>25920</v>
      </c>
      <c r="AK308" s="146">
        <v>25920</v>
      </c>
      <c r="AL308" s="146">
        <v>1296</v>
      </c>
      <c r="AM308" s="146">
        <v>0</v>
      </c>
      <c r="AQ308" s="146">
        <f t="shared" si="4"/>
        <v>0</v>
      </c>
    </row>
    <row r="309" spans="1:43">
      <c r="A309" s="146" t="s">
        <v>1057</v>
      </c>
      <c r="B309" s="146" t="s">
        <v>991</v>
      </c>
      <c r="C309" s="146" t="s">
        <v>992</v>
      </c>
      <c r="D309" s="146" t="s">
        <v>992</v>
      </c>
      <c r="E309" s="146" t="s">
        <v>993</v>
      </c>
      <c r="Q309" s="481"/>
      <c r="R309" s="478"/>
      <c r="S309" s="479"/>
      <c r="T309" s="146">
        <v>36072</v>
      </c>
      <c r="U309" s="479">
        <v>55</v>
      </c>
      <c r="V309" s="146">
        <v>19840</v>
      </c>
      <c r="W309" s="146">
        <v>1000</v>
      </c>
      <c r="X309" s="146">
        <v>20840</v>
      </c>
      <c r="Y309" s="146">
        <v>0.56999999999999995</v>
      </c>
      <c r="Z309" s="146">
        <v>0.24509999999999998</v>
      </c>
      <c r="AB309" s="146" t="s">
        <v>994</v>
      </c>
      <c r="AC309" s="146" t="s">
        <v>995</v>
      </c>
      <c r="AG309" s="146">
        <v>11879</v>
      </c>
      <c r="AH309" s="146">
        <v>5108</v>
      </c>
      <c r="AI309" s="146">
        <v>0</v>
      </c>
      <c r="AJ309" s="146">
        <v>0</v>
      </c>
      <c r="AK309" s="146">
        <v>0</v>
      </c>
      <c r="AL309" s="146">
        <v>20561</v>
      </c>
      <c r="AM309" s="146">
        <v>11309</v>
      </c>
      <c r="AQ309" s="146">
        <v>59406</v>
      </c>
    </row>
    <row r="310" spans="1:43">
      <c r="A310" s="146" t="s">
        <v>1057</v>
      </c>
      <c r="B310" s="146" t="s">
        <v>991</v>
      </c>
      <c r="C310" s="146" t="s">
        <v>996</v>
      </c>
      <c r="D310" s="146" t="s">
        <v>996</v>
      </c>
      <c r="E310" s="146" t="s">
        <v>993</v>
      </c>
      <c r="Q310" s="481"/>
      <c r="R310" s="478"/>
      <c r="S310" s="479"/>
      <c r="T310" s="146">
        <v>6069</v>
      </c>
      <c r="U310" s="479">
        <v>85</v>
      </c>
      <c r="V310" s="146">
        <v>5159</v>
      </c>
      <c r="W310" s="146">
        <v>1030</v>
      </c>
      <c r="X310" s="146">
        <v>6189</v>
      </c>
      <c r="Y310" s="146">
        <v>0.41</v>
      </c>
      <c r="Z310" s="146">
        <v>0.17629999999999998</v>
      </c>
      <c r="AB310" s="146" t="s">
        <v>994</v>
      </c>
      <c r="AC310" s="146" t="s">
        <v>995</v>
      </c>
      <c r="AG310" s="146">
        <v>2537</v>
      </c>
      <c r="AH310" s="146">
        <v>1091</v>
      </c>
      <c r="AI310" s="146">
        <v>0</v>
      </c>
      <c r="AJ310" s="146">
        <v>0</v>
      </c>
      <c r="AK310" s="146">
        <v>0</v>
      </c>
      <c r="AL310" s="146">
        <v>2488</v>
      </c>
      <c r="AM310" s="146">
        <v>2115</v>
      </c>
      <c r="AQ310" s="146">
        <f t="shared" si="4"/>
        <v>12688</v>
      </c>
    </row>
    <row r="311" spans="1:43">
      <c r="A311" s="146" t="s">
        <v>1057</v>
      </c>
      <c r="B311" s="146" t="s">
        <v>991</v>
      </c>
      <c r="C311" s="146" t="s">
        <v>997</v>
      </c>
      <c r="D311" s="146" t="s">
        <v>997</v>
      </c>
      <c r="E311" s="146" t="s">
        <v>993</v>
      </c>
      <c r="Q311" s="481"/>
      <c r="R311" s="478"/>
      <c r="S311" s="479"/>
      <c r="T311" s="146">
        <v>7850</v>
      </c>
      <c r="U311" s="479">
        <v>70</v>
      </c>
      <c r="V311" s="146">
        <v>5495</v>
      </c>
      <c r="W311" s="146">
        <v>0</v>
      </c>
      <c r="X311" s="146">
        <v>5495</v>
      </c>
      <c r="Y311" s="146">
        <v>0.56999999999999995</v>
      </c>
      <c r="Z311" s="146">
        <v>0.24509999999999998</v>
      </c>
      <c r="AB311" s="146" t="s">
        <v>998</v>
      </c>
      <c r="AC311" s="146" t="s">
        <v>999</v>
      </c>
      <c r="AG311" s="146">
        <v>3132</v>
      </c>
      <c r="AH311" s="146">
        <v>1347</v>
      </c>
      <c r="AI311" s="146">
        <v>0</v>
      </c>
      <c r="AJ311" s="146">
        <v>0</v>
      </c>
      <c r="AK311" s="146">
        <v>0</v>
      </c>
      <c r="AL311" s="146">
        <v>4474</v>
      </c>
      <c r="AM311" s="146">
        <v>3132</v>
      </c>
      <c r="AQ311" s="146">
        <v>15666</v>
      </c>
    </row>
    <row r="312" spans="1:43">
      <c r="A312" s="146" t="s">
        <v>1057</v>
      </c>
      <c r="B312" s="146" t="s">
        <v>991</v>
      </c>
      <c r="C312" s="146" t="s">
        <v>997</v>
      </c>
      <c r="D312" s="146" t="s">
        <v>1000</v>
      </c>
      <c r="E312" s="146" t="s">
        <v>842</v>
      </c>
      <c r="J312" s="146" t="s">
        <v>843</v>
      </c>
      <c r="K312" s="146">
        <v>500</v>
      </c>
      <c r="L312" s="146" t="s">
        <v>844</v>
      </c>
      <c r="M312" s="146" t="s">
        <v>341</v>
      </c>
      <c r="N312" s="146">
        <v>1.66</v>
      </c>
      <c r="O312" s="146" t="s">
        <v>1001</v>
      </c>
      <c r="P312" s="146">
        <v>830</v>
      </c>
      <c r="Q312" s="478">
        <v>50</v>
      </c>
      <c r="R312" s="478">
        <v>415</v>
      </c>
      <c r="S312" s="479">
        <v>0</v>
      </c>
      <c r="T312" s="146">
        <v>415</v>
      </c>
      <c r="U312" s="479">
        <v>10</v>
      </c>
      <c r="V312" s="146">
        <v>42</v>
      </c>
      <c r="W312" s="146">
        <v>0</v>
      </c>
      <c r="X312" s="146">
        <v>42</v>
      </c>
      <c r="Y312" s="146">
        <v>0.56999999999999995</v>
      </c>
      <c r="Z312" s="146">
        <v>0.24509999999999998</v>
      </c>
      <c r="AG312" s="146">
        <v>24</v>
      </c>
      <c r="AH312" s="146">
        <v>10</v>
      </c>
      <c r="AI312" s="146">
        <v>0</v>
      </c>
      <c r="AJ312" s="146">
        <v>473</v>
      </c>
      <c r="AK312" s="146">
        <v>237</v>
      </c>
      <c r="AL312" s="146">
        <v>237</v>
      </c>
      <c r="AM312" s="146">
        <v>24</v>
      </c>
      <c r="AQ312" s="146">
        <f t="shared" si="4"/>
        <v>116</v>
      </c>
    </row>
    <row r="313" spans="1:43">
      <c r="A313" s="146" t="s">
        <v>1057</v>
      </c>
      <c r="B313" s="146" t="s">
        <v>991</v>
      </c>
      <c r="C313" s="146" t="s">
        <v>1003</v>
      </c>
      <c r="D313" s="146" t="s">
        <v>1003</v>
      </c>
      <c r="E313" s="146" t="s">
        <v>993</v>
      </c>
      <c r="K313" s="477"/>
      <c r="N313" s="477"/>
      <c r="Q313" s="481"/>
      <c r="R313" s="478"/>
      <c r="S313" s="479"/>
      <c r="T313" s="146">
        <v>9921</v>
      </c>
      <c r="U313" s="479">
        <v>70</v>
      </c>
      <c r="V313" s="146">
        <v>6945</v>
      </c>
      <c r="W313" s="146">
        <v>100</v>
      </c>
      <c r="X313" s="146">
        <v>7045</v>
      </c>
      <c r="Y313" s="477">
        <v>0.56999999999999995</v>
      </c>
      <c r="Z313" s="477">
        <v>0.24509999999999998</v>
      </c>
      <c r="AA313" s="477"/>
      <c r="AB313" s="146" t="s">
        <v>994</v>
      </c>
      <c r="AC313" s="146" t="s">
        <v>995</v>
      </c>
      <c r="AG313" s="146">
        <v>4016</v>
      </c>
      <c r="AH313" s="146">
        <v>1727</v>
      </c>
      <c r="AI313" s="146">
        <v>0</v>
      </c>
      <c r="AJ313" s="146">
        <v>0</v>
      </c>
      <c r="AK313" s="146">
        <v>0</v>
      </c>
      <c r="AL313" s="146">
        <v>5655</v>
      </c>
      <c r="AM313" s="146">
        <v>3959</v>
      </c>
      <c r="AQ313" s="146">
        <f t="shared" si="4"/>
        <v>20085</v>
      </c>
    </row>
    <row r="314" spans="1:43">
      <c r="A314" s="146" t="s">
        <v>1057</v>
      </c>
      <c r="B314" s="146" t="s">
        <v>991</v>
      </c>
      <c r="C314" s="146" t="s">
        <v>1004</v>
      </c>
      <c r="D314" s="146" t="s">
        <v>1004</v>
      </c>
      <c r="E314" s="146" t="s">
        <v>993</v>
      </c>
      <c r="K314" s="477"/>
      <c r="N314" s="477"/>
      <c r="Q314" s="481"/>
      <c r="R314" s="478"/>
      <c r="S314" s="479"/>
      <c r="T314" s="146">
        <v>17981</v>
      </c>
      <c r="U314" s="479">
        <v>100</v>
      </c>
      <c r="V314" s="146">
        <v>17981</v>
      </c>
      <c r="W314" s="146">
        <v>200</v>
      </c>
      <c r="X314" s="146">
        <v>18181</v>
      </c>
      <c r="Y314" s="477">
        <v>0.41</v>
      </c>
      <c r="Z314" s="477">
        <v>0.17629999999999998</v>
      </c>
      <c r="AA314" s="477"/>
      <c r="AB314" s="146" t="s">
        <v>994</v>
      </c>
      <c r="AC314" s="146" t="s">
        <v>995</v>
      </c>
      <c r="AG314" s="146">
        <v>7454</v>
      </c>
      <c r="AH314" s="146">
        <v>3205</v>
      </c>
      <c r="AI314" s="146">
        <v>0</v>
      </c>
      <c r="AJ314" s="146">
        <v>0</v>
      </c>
      <c r="AK314" s="146">
        <v>0</v>
      </c>
      <c r="AL314" s="146">
        <v>7372</v>
      </c>
      <c r="AM314" s="146">
        <v>7372</v>
      </c>
      <c r="AQ314" s="146">
        <f t="shared" si="4"/>
        <v>37274</v>
      </c>
    </row>
    <row r="315" spans="1:43">
      <c r="A315" s="146" t="s">
        <v>1057</v>
      </c>
      <c r="B315" s="146" t="s">
        <v>991</v>
      </c>
      <c r="C315" s="146" t="s">
        <v>1005</v>
      </c>
      <c r="D315" s="146" t="s">
        <v>1005</v>
      </c>
      <c r="E315" s="146" t="s">
        <v>854</v>
      </c>
      <c r="Q315" s="481"/>
      <c r="R315" s="478"/>
      <c r="S315" s="479"/>
      <c r="T315" s="146">
        <v>7264</v>
      </c>
      <c r="U315" s="479">
        <v>51</v>
      </c>
      <c r="V315" s="146">
        <v>3705</v>
      </c>
      <c r="W315" s="146">
        <v>0</v>
      </c>
      <c r="X315" s="146">
        <v>3705</v>
      </c>
      <c r="Y315" s="146">
        <v>0.8</v>
      </c>
      <c r="Z315" s="146">
        <v>0.34400000000000003</v>
      </c>
      <c r="AB315" s="146" t="s">
        <v>1006</v>
      </c>
      <c r="AG315" s="146">
        <v>2964</v>
      </c>
      <c r="AH315" s="146">
        <v>1275</v>
      </c>
      <c r="AI315" s="146">
        <v>0</v>
      </c>
      <c r="AJ315" s="146">
        <v>0</v>
      </c>
      <c r="AK315" s="146">
        <v>0</v>
      </c>
      <c r="AL315" s="146">
        <v>5811</v>
      </c>
      <c r="AM315" s="146">
        <v>2964</v>
      </c>
      <c r="AQ315" s="146">
        <v>14828</v>
      </c>
    </row>
    <row r="316" spans="1:43">
      <c r="A316" s="146" t="s">
        <v>1057</v>
      </c>
      <c r="B316" s="146" t="s">
        <v>991</v>
      </c>
      <c r="C316" s="146" t="s">
        <v>1007</v>
      </c>
      <c r="D316" s="146" t="s">
        <v>1007</v>
      </c>
      <c r="E316" s="146" t="s">
        <v>842</v>
      </c>
      <c r="Q316" s="481"/>
      <c r="R316" s="478"/>
      <c r="S316" s="479"/>
      <c r="T316" s="477"/>
      <c r="U316" s="479"/>
      <c r="V316" s="146">
        <v>1289</v>
      </c>
      <c r="W316" s="146">
        <v>5</v>
      </c>
      <c r="X316" s="146">
        <v>1294</v>
      </c>
      <c r="Y316" s="146">
        <v>0.9</v>
      </c>
      <c r="Z316" s="146">
        <v>0.38700000000000001</v>
      </c>
      <c r="AG316" s="146">
        <v>1165</v>
      </c>
      <c r="AH316" s="146">
        <v>501</v>
      </c>
      <c r="AI316" s="146">
        <v>0</v>
      </c>
      <c r="AJ316" s="146">
        <v>0</v>
      </c>
      <c r="AK316" s="146">
        <v>0</v>
      </c>
      <c r="AL316" s="146">
        <v>0</v>
      </c>
      <c r="AM316" s="146">
        <v>1160</v>
      </c>
      <c r="AN316" s="146" t="s">
        <v>1007</v>
      </c>
      <c r="AO316" s="146">
        <v>1.1100000000000001</v>
      </c>
      <c r="AP316" s="146">
        <v>1161</v>
      </c>
      <c r="AQ316" s="146">
        <v>5827</v>
      </c>
    </row>
    <row r="317" spans="1:43">
      <c r="A317" s="146" t="s">
        <v>1057</v>
      </c>
      <c r="B317" s="146" t="s">
        <v>991</v>
      </c>
      <c r="C317" s="146" t="s">
        <v>1007</v>
      </c>
      <c r="D317" s="146" t="s">
        <v>1008</v>
      </c>
      <c r="E317" s="146" t="s">
        <v>842</v>
      </c>
      <c r="Q317" s="481"/>
      <c r="R317" s="478"/>
      <c r="S317" s="479"/>
      <c r="T317" s="477"/>
      <c r="U317" s="479"/>
      <c r="V317" s="146">
        <v>507</v>
      </c>
      <c r="W317" s="146">
        <v>150</v>
      </c>
      <c r="X317" s="146">
        <v>657</v>
      </c>
      <c r="Y317" s="146">
        <v>0.9</v>
      </c>
      <c r="Z317" s="146">
        <v>0.38700000000000001</v>
      </c>
      <c r="AG317" s="146">
        <v>591</v>
      </c>
      <c r="AH317" s="146">
        <v>254</v>
      </c>
      <c r="AI317" s="146">
        <v>0</v>
      </c>
      <c r="AJ317" s="146">
        <v>0</v>
      </c>
      <c r="AK317" s="146">
        <v>0</v>
      </c>
      <c r="AL317" s="146">
        <v>0</v>
      </c>
      <c r="AM317" s="146">
        <v>456</v>
      </c>
      <c r="AN317" s="146" t="s">
        <v>1008</v>
      </c>
      <c r="AO317" s="146">
        <v>1.1100000000000001</v>
      </c>
      <c r="AP317" s="146">
        <v>457</v>
      </c>
      <c r="AQ317" s="146">
        <v>2954</v>
      </c>
    </row>
    <row r="318" spans="1:43">
      <c r="A318" s="146" t="s">
        <v>1057</v>
      </c>
      <c r="B318" s="146" t="s">
        <v>991</v>
      </c>
      <c r="C318" s="146" t="s">
        <v>1009</v>
      </c>
      <c r="D318" s="146" t="s">
        <v>1009</v>
      </c>
      <c r="E318" s="146" t="s">
        <v>854</v>
      </c>
      <c r="Q318" s="481"/>
      <c r="R318" s="478"/>
      <c r="S318" s="479"/>
      <c r="U318" s="479"/>
      <c r="V318" s="146">
        <v>1551</v>
      </c>
      <c r="W318" s="146">
        <v>0</v>
      </c>
      <c r="X318" s="146">
        <v>1551</v>
      </c>
      <c r="Y318" s="146">
        <v>1</v>
      </c>
      <c r="Z318" s="146">
        <v>0.33200000000000002</v>
      </c>
      <c r="AB318" s="146" t="s">
        <v>1010</v>
      </c>
      <c r="AG318" s="146">
        <v>1551</v>
      </c>
      <c r="AH318" s="146">
        <v>515</v>
      </c>
      <c r="AI318" s="146">
        <v>0</v>
      </c>
      <c r="AJ318" s="146">
        <v>0</v>
      </c>
      <c r="AK318" s="146">
        <v>0</v>
      </c>
      <c r="AL318" s="146">
        <v>0</v>
      </c>
      <c r="AM318" s="146">
        <v>0</v>
      </c>
      <c r="AN318" s="146" t="s">
        <v>1009</v>
      </c>
      <c r="AO318" s="146">
        <v>1</v>
      </c>
      <c r="AP318" s="146">
        <v>1551</v>
      </c>
      <c r="AQ318" s="146">
        <f t="shared" si="4"/>
        <v>5989</v>
      </c>
    </row>
    <row r="319" spans="1:43">
      <c r="A319" s="146" t="s">
        <v>1057</v>
      </c>
      <c r="B319" s="146" t="s">
        <v>991</v>
      </c>
      <c r="C319" s="146" t="s">
        <v>1011</v>
      </c>
      <c r="D319" s="146" t="s">
        <v>1012</v>
      </c>
      <c r="E319" s="146" t="s">
        <v>993</v>
      </c>
      <c r="Q319" s="481"/>
      <c r="R319" s="478"/>
      <c r="S319" s="479"/>
      <c r="T319" s="146">
        <v>6654</v>
      </c>
      <c r="U319" s="479">
        <v>3</v>
      </c>
      <c r="V319" s="146">
        <v>200</v>
      </c>
      <c r="W319" s="146">
        <v>0</v>
      </c>
      <c r="X319" s="146">
        <v>200</v>
      </c>
      <c r="Y319" s="146">
        <v>0.56999999999999995</v>
      </c>
      <c r="Z319" s="146">
        <v>0.24509999999999998</v>
      </c>
      <c r="AB319" s="146" t="s">
        <v>994</v>
      </c>
      <c r="AC319" s="146" t="s">
        <v>995</v>
      </c>
      <c r="AG319" s="146">
        <v>114</v>
      </c>
      <c r="AH319" s="146">
        <v>49</v>
      </c>
      <c r="AI319" s="146">
        <v>0</v>
      </c>
      <c r="AJ319" s="146">
        <v>0</v>
      </c>
      <c r="AK319" s="146">
        <v>0</v>
      </c>
      <c r="AL319" s="146">
        <v>3793</v>
      </c>
      <c r="AM319" s="146">
        <v>114</v>
      </c>
      <c r="AQ319" s="146">
        <f t="shared" si="4"/>
        <v>570</v>
      </c>
    </row>
    <row r="320" spans="1:43">
      <c r="A320" s="146" t="s">
        <v>1057</v>
      </c>
      <c r="B320" s="146" t="s">
        <v>991</v>
      </c>
      <c r="C320" s="146" t="s">
        <v>1011</v>
      </c>
      <c r="D320" s="146" t="s">
        <v>1013</v>
      </c>
      <c r="E320" s="146" t="s">
        <v>993</v>
      </c>
      <c r="Q320" s="481"/>
      <c r="R320" s="478"/>
      <c r="S320" s="479"/>
      <c r="T320" s="146">
        <v>3863</v>
      </c>
      <c r="U320" s="479">
        <v>5</v>
      </c>
      <c r="V320" s="146">
        <v>193</v>
      </c>
      <c r="W320" s="146">
        <v>0</v>
      </c>
      <c r="X320" s="146">
        <v>193</v>
      </c>
      <c r="Y320" s="146">
        <v>0.41</v>
      </c>
      <c r="Z320" s="146">
        <v>0.17629999999999998</v>
      </c>
      <c r="AB320" s="146" t="s">
        <v>994</v>
      </c>
      <c r="AG320" s="146">
        <v>79</v>
      </c>
      <c r="AH320" s="146">
        <v>34</v>
      </c>
      <c r="AI320" s="146">
        <v>0</v>
      </c>
      <c r="AJ320" s="146">
        <v>0</v>
      </c>
      <c r="AK320" s="146">
        <v>0</v>
      </c>
      <c r="AL320" s="146">
        <v>1584</v>
      </c>
      <c r="AM320" s="146">
        <v>79</v>
      </c>
      <c r="AQ320" s="146">
        <f t="shared" si="4"/>
        <v>395</v>
      </c>
    </row>
    <row r="321" spans="1:43">
      <c r="A321" s="146" t="s">
        <v>1057</v>
      </c>
      <c r="B321" s="146" t="s">
        <v>991</v>
      </c>
      <c r="C321" s="146" t="s">
        <v>1014</v>
      </c>
      <c r="D321" s="146" t="s">
        <v>1014</v>
      </c>
      <c r="E321" s="146" t="s">
        <v>842</v>
      </c>
      <c r="Q321" s="481"/>
      <c r="R321" s="478"/>
      <c r="S321" s="479"/>
      <c r="T321" s="477"/>
      <c r="U321" s="479"/>
      <c r="V321" s="146">
        <v>7099</v>
      </c>
      <c r="W321" s="146">
        <v>866</v>
      </c>
      <c r="X321" s="146">
        <v>7965</v>
      </c>
      <c r="Y321" s="146">
        <v>0.73</v>
      </c>
      <c r="Z321" s="146">
        <v>0.31390000000000001</v>
      </c>
      <c r="AG321" s="146">
        <v>5814</v>
      </c>
      <c r="AH321" s="146">
        <v>2500</v>
      </c>
      <c r="AI321" s="146">
        <v>0</v>
      </c>
      <c r="AJ321" s="146">
        <v>0</v>
      </c>
      <c r="AK321" s="146">
        <v>0</v>
      </c>
      <c r="AL321" s="146">
        <v>0</v>
      </c>
      <c r="AM321" s="146">
        <v>5182</v>
      </c>
      <c r="AN321" s="146" t="s">
        <v>1014</v>
      </c>
      <c r="AO321" s="146">
        <v>1.37</v>
      </c>
      <c r="AP321" s="146">
        <v>5182</v>
      </c>
      <c r="AQ321" s="146">
        <v>29075</v>
      </c>
    </row>
    <row r="322" spans="1:43">
      <c r="A322" s="146" t="s">
        <v>1057</v>
      </c>
      <c r="B322" s="146" t="s">
        <v>991</v>
      </c>
      <c r="C322" s="146" t="s">
        <v>1015</v>
      </c>
      <c r="D322" s="146" t="s">
        <v>1015</v>
      </c>
      <c r="E322" s="146" t="s">
        <v>854</v>
      </c>
      <c r="Q322" s="481"/>
      <c r="R322" s="478"/>
      <c r="S322" s="479"/>
      <c r="T322" s="146">
        <v>935</v>
      </c>
      <c r="U322" s="479">
        <v>53</v>
      </c>
      <c r="V322" s="146">
        <v>496</v>
      </c>
      <c r="W322" s="146">
        <v>0</v>
      </c>
      <c r="X322" s="146">
        <v>496</v>
      </c>
      <c r="Y322" s="146">
        <v>0.5</v>
      </c>
      <c r="Z322" s="146">
        <v>0.215</v>
      </c>
      <c r="AB322" s="146" t="s">
        <v>1016</v>
      </c>
      <c r="AG322" s="146">
        <v>248</v>
      </c>
      <c r="AH322" s="146">
        <v>107</v>
      </c>
      <c r="AI322" s="146">
        <v>0</v>
      </c>
      <c r="AJ322" s="146">
        <v>0</v>
      </c>
      <c r="AK322" s="146">
        <v>0</v>
      </c>
      <c r="AL322" s="146">
        <v>468</v>
      </c>
      <c r="AM322" s="146">
        <v>248</v>
      </c>
      <c r="AQ322" s="146">
        <f t="shared" si="4"/>
        <v>1244</v>
      </c>
    </row>
    <row r="323" spans="1:43">
      <c r="A323" s="146" t="s">
        <v>1057</v>
      </c>
      <c r="B323" s="146" t="s">
        <v>1017</v>
      </c>
      <c r="C323" s="146" t="s">
        <v>1018</v>
      </c>
      <c r="D323" s="146" t="s">
        <v>1019</v>
      </c>
      <c r="E323" s="146" t="s">
        <v>842</v>
      </c>
      <c r="J323" s="146" t="s">
        <v>1020</v>
      </c>
      <c r="K323" s="146">
        <v>18.026</v>
      </c>
      <c r="L323" s="146" t="s">
        <v>1021</v>
      </c>
      <c r="M323" s="146" t="s">
        <v>1022</v>
      </c>
      <c r="N323" s="146">
        <v>4.9000000000000004</v>
      </c>
      <c r="O323" s="146" t="s">
        <v>1023</v>
      </c>
      <c r="P323" s="477">
        <v>88</v>
      </c>
      <c r="Q323" s="478">
        <v>0</v>
      </c>
      <c r="R323" s="478">
        <v>88</v>
      </c>
      <c r="S323" s="479">
        <v>100</v>
      </c>
      <c r="T323" s="146">
        <v>0</v>
      </c>
      <c r="U323" s="479">
        <v>50</v>
      </c>
      <c r="V323" s="146">
        <v>0</v>
      </c>
      <c r="W323" s="146">
        <v>0</v>
      </c>
      <c r="X323" s="146">
        <v>0</v>
      </c>
      <c r="Y323" s="146">
        <v>0.38</v>
      </c>
      <c r="Z323" s="146">
        <v>0.2979</v>
      </c>
      <c r="AA323" s="146">
        <v>350</v>
      </c>
      <c r="AB323" s="146" t="s">
        <v>974</v>
      </c>
      <c r="AC323" s="146" t="s">
        <v>975</v>
      </c>
      <c r="AG323" s="146">
        <v>0</v>
      </c>
      <c r="AH323" s="146">
        <v>0</v>
      </c>
      <c r="AI323" s="146">
        <v>0</v>
      </c>
      <c r="AJ323" s="146">
        <v>33</v>
      </c>
      <c r="AK323" s="146">
        <v>33</v>
      </c>
      <c r="AL323" s="146">
        <v>0</v>
      </c>
      <c r="AM323" s="146">
        <v>0</v>
      </c>
      <c r="AQ323" s="146">
        <f t="shared" ref="AQ323:AQ346" si="5">ROUND(AH323*11.63,0)</f>
        <v>0</v>
      </c>
    </row>
    <row r="324" spans="1:43">
      <c r="A324" s="146" t="s">
        <v>1057</v>
      </c>
      <c r="B324" s="146" t="s">
        <v>1017</v>
      </c>
      <c r="C324" s="146" t="s">
        <v>1024</v>
      </c>
      <c r="D324" s="146" t="s">
        <v>1025</v>
      </c>
      <c r="E324" s="146" t="s">
        <v>842</v>
      </c>
      <c r="J324" s="146" t="s">
        <v>1020</v>
      </c>
      <c r="K324" s="146">
        <v>21.35</v>
      </c>
      <c r="L324" s="146" t="s">
        <v>1021</v>
      </c>
      <c r="M324" s="146" t="s">
        <v>1022</v>
      </c>
      <c r="N324" s="146">
        <v>10</v>
      </c>
      <c r="O324" s="146" t="s">
        <v>1023</v>
      </c>
      <c r="P324" s="477">
        <v>214</v>
      </c>
      <c r="Q324" s="478">
        <v>0</v>
      </c>
      <c r="R324" s="478">
        <v>214</v>
      </c>
      <c r="S324" s="479">
        <v>100</v>
      </c>
      <c r="T324" s="146">
        <v>0</v>
      </c>
      <c r="U324" s="479">
        <v>80</v>
      </c>
      <c r="V324" s="146">
        <v>0</v>
      </c>
      <c r="W324" s="146">
        <v>0</v>
      </c>
      <c r="X324" s="146">
        <v>0</v>
      </c>
      <c r="Y324" s="146">
        <v>0.9</v>
      </c>
      <c r="Z324" s="146">
        <v>0.25540000000000002</v>
      </c>
      <c r="AA324" s="146">
        <v>300</v>
      </c>
      <c r="AB324" s="146" t="s">
        <v>974</v>
      </c>
      <c r="AC324" s="146" t="s">
        <v>975</v>
      </c>
      <c r="AG324" s="146">
        <v>0</v>
      </c>
      <c r="AH324" s="146">
        <v>0</v>
      </c>
      <c r="AI324" s="146">
        <v>0</v>
      </c>
      <c r="AJ324" s="146">
        <v>193</v>
      </c>
      <c r="AK324" s="146">
        <v>193</v>
      </c>
      <c r="AL324" s="146">
        <v>0</v>
      </c>
      <c r="AM324" s="146">
        <v>0</v>
      </c>
      <c r="AQ324" s="146">
        <v>0</v>
      </c>
    </row>
    <row r="325" spans="1:43">
      <c r="A325" s="146" t="s">
        <v>1057</v>
      </c>
      <c r="B325" s="146" t="s">
        <v>1017</v>
      </c>
      <c r="C325" s="146" t="s">
        <v>1024</v>
      </c>
      <c r="D325" s="146" t="s">
        <v>1026</v>
      </c>
      <c r="E325" s="146" t="s">
        <v>842</v>
      </c>
      <c r="J325" s="146" t="s">
        <v>1020</v>
      </c>
      <c r="K325" s="146">
        <v>38.677</v>
      </c>
      <c r="L325" s="146" t="s">
        <v>1021</v>
      </c>
      <c r="M325" s="146" t="s">
        <v>1022</v>
      </c>
      <c r="N325" s="146">
        <v>7</v>
      </c>
      <c r="O325" s="146" t="s">
        <v>1023</v>
      </c>
      <c r="P325" s="477">
        <v>271</v>
      </c>
      <c r="Q325" s="478">
        <v>0</v>
      </c>
      <c r="R325" s="478">
        <v>271</v>
      </c>
      <c r="S325" s="479">
        <v>100</v>
      </c>
      <c r="T325" s="146">
        <v>0</v>
      </c>
      <c r="U325" s="479">
        <v>80</v>
      </c>
      <c r="V325" s="146">
        <v>0</v>
      </c>
      <c r="W325" s="146">
        <v>0</v>
      </c>
      <c r="X325" s="146">
        <v>0</v>
      </c>
      <c r="Y325" s="146">
        <v>0.1</v>
      </c>
      <c r="Z325" s="146">
        <v>0.34050000000000002</v>
      </c>
      <c r="AA325" s="146">
        <v>400</v>
      </c>
      <c r="AB325" s="146" t="s">
        <v>974</v>
      </c>
      <c r="AC325" s="146" t="s">
        <v>975</v>
      </c>
      <c r="AG325" s="146">
        <v>0</v>
      </c>
      <c r="AH325" s="146">
        <v>0</v>
      </c>
      <c r="AI325" s="146">
        <v>0</v>
      </c>
      <c r="AJ325" s="146">
        <v>27</v>
      </c>
      <c r="AK325" s="146">
        <v>27</v>
      </c>
      <c r="AL325" s="146">
        <v>0</v>
      </c>
      <c r="AM325" s="146">
        <v>0</v>
      </c>
      <c r="AQ325" s="146">
        <v>0</v>
      </c>
    </row>
    <row r="326" spans="1:43">
      <c r="A326" s="146" t="s">
        <v>1057</v>
      </c>
      <c r="B326" s="146" t="s">
        <v>1017</v>
      </c>
      <c r="C326" s="146" t="s">
        <v>1024</v>
      </c>
      <c r="D326" s="146" t="s">
        <v>1027</v>
      </c>
      <c r="E326" s="146" t="s">
        <v>842</v>
      </c>
      <c r="J326" s="146" t="s">
        <v>1020</v>
      </c>
      <c r="K326" s="146">
        <v>7.516</v>
      </c>
      <c r="L326" s="146" t="s">
        <v>1021</v>
      </c>
      <c r="M326" s="146" t="s">
        <v>1022</v>
      </c>
      <c r="N326" s="146">
        <v>2000</v>
      </c>
      <c r="O326" s="146" t="s">
        <v>1023</v>
      </c>
      <c r="P326" s="477">
        <v>15032</v>
      </c>
      <c r="Q326" s="478">
        <v>0</v>
      </c>
      <c r="R326" s="478">
        <v>15032</v>
      </c>
      <c r="S326" s="479">
        <v>100</v>
      </c>
      <c r="T326" s="146">
        <v>0</v>
      </c>
      <c r="U326" s="479">
        <v>80</v>
      </c>
      <c r="V326" s="146">
        <v>0</v>
      </c>
      <c r="W326" s="146">
        <v>0</v>
      </c>
      <c r="X326" s="146">
        <v>0</v>
      </c>
      <c r="Y326" s="146">
        <v>0.11</v>
      </c>
      <c r="Z326" s="146">
        <v>0.28089999999999998</v>
      </c>
      <c r="AA326" s="146">
        <v>330</v>
      </c>
      <c r="AB326" s="146" t="s">
        <v>974</v>
      </c>
      <c r="AC326" s="146" t="s">
        <v>975</v>
      </c>
      <c r="AG326" s="146">
        <v>0</v>
      </c>
      <c r="AH326" s="146">
        <v>0</v>
      </c>
      <c r="AI326" s="146">
        <v>0</v>
      </c>
      <c r="AJ326" s="146">
        <v>1654</v>
      </c>
      <c r="AK326" s="146">
        <v>1654</v>
      </c>
      <c r="AL326" s="146">
        <v>0</v>
      </c>
      <c r="AM326" s="146">
        <v>0</v>
      </c>
      <c r="AQ326" s="146">
        <v>0</v>
      </c>
    </row>
    <row r="327" spans="1:43">
      <c r="A327" s="146" t="s">
        <v>1057</v>
      </c>
      <c r="B327" s="146" t="s">
        <v>1017</v>
      </c>
      <c r="C327" s="146" t="s">
        <v>1028</v>
      </c>
      <c r="D327" s="146" t="s">
        <v>1029</v>
      </c>
      <c r="E327" s="146" t="s">
        <v>842</v>
      </c>
      <c r="J327" s="146" t="s">
        <v>1020</v>
      </c>
      <c r="K327" s="146">
        <v>4.2160000000000002</v>
      </c>
      <c r="L327" s="146" t="s">
        <v>1021</v>
      </c>
      <c r="M327" s="146" t="s">
        <v>1022</v>
      </c>
      <c r="N327" s="146">
        <v>59</v>
      </c>
      <c r="O327" s="146" t="s">
        <v>1023</v>
      </c>
      <c r="P327" s="477">
        <v>249</v>
      </c>
      <c r="Q327" s="478">
        <v>0</v>
      </c>
      <c r="R327" s="478">
        <v>249</v>
      </c>
      <c r="S327" s="479">
        <v>90</v>
      </c>
      <c r="T327" s="146">
        <v>25</v>
      </c>
      <c r="U327" s="479">
        <v>50</v>
      </c>
      <c r="V327" s="146">
        <v>12</v>
      </c>
      <c r="W327" s="146">
        <v>0</v>
      </c>
      <c r="X327" s="146">
        <v>12</v>
      </c>
      <c r="Y327" s="146">
        <v>0.22</v>
      </c>
      <c r="Z327" s="146">
        <v>0.2979</v>
      </c>
      <c r="AA327" s="146">
        <v>350</v>
      </c>
      <c r="AB327" s="146" t="s">
        <v>974</v>
      </c>
      <c r="AC327" s="146" t="s">
        <v>975</v>
      </c>
      <c r="AG327" s="146">
        <v>3</v>
      </c>
      <c r="AH327" s="146">
        <v>4</v>
      </c>
      <c r="AI327" s="146">
        <v>4200</v>
      </c>
      <c r="AJ327" s="146">
        <v>55</v>
      </c>
      <c r="AK327" s="146">
        <v>55</v>
      </c>
      <c r="AL327" s="146">
        <v>6</v>
      </c>
      <c r="AM327" s="146">
        <v>3</v>
      </c>
      <c r="AQ327" s="146">
        <f t="shared" si="5"/>
        <v>47</v>
      </c>
    </row>
    <row r="328" spans="1:43">
      <c r="A328" s="146" t="s">
        <v>1057</v>
      </c>
      <c r="B328" s="146" t="s">
        <v>1017</v>
      </c>
      <c r="C328" s="146" t="s">
        <v>1028</v>
      </c>
      <c r="D328" s="146" t="s">
        <v>1030</v>
      </c>
      <c r="E328" s="146" t="s">
        <v>842</v>
      </c>
      <c r="J328" s="146" t="s">
        <v>1020</v>
      </c>
      <c r="K328" s="146">
        <v>8.0429999999999993</v>
      </c>
      <c r="L328" s="146" t="s">
        <v>1021</v>
      </c>
      <c r="M328" s="146" t="s">
        <v>1022</v>
      </c>
      <c r="N328" s="146">
        <v>12.3</v>
      </c>
      <c r="O328" s="146" t="s">
        <v>1023</v>
      </c>
      <c r="P328" s="477">
        <v>99</v>
      </c>
      <c r="Q328" s="478">
        <v>0</v>
      </c>
      <c r="R328" s="478">
        <v>99</v>
      </c>
      <c r="S328" s="479">
        <v>90</v>
      </c>
      <c r="T328" s="146">
        <v>10</v>
      </c>
      <c r="U328" s="479">
        <v>50</v>
      </c>
      <c r="V328" s="146">
        <v>5</v>
      </c>
      <c r="W328" s="146">
        <v>0</v>
      </c>
      <c r="X328" s="146">
        <v>5</v>
      </c>
      <c r="Y328" s="146">
        <v>0.18</v>
      </c>
      <c r="Z328" s="146">
        <v>0.25540000000000002</v>
      </c>
      <c r="AA328" s="146">
        <v>300</v>
      </c>
      <c r="AB328" s="146" t="s">
        <v>974</v>
      </c>
      <c r="AC328" s="146" t="s">
        <v>975</v>
      </c>
      <c r="AG328" s="146">
        <v>1</v>
      </c>
      <c r="AH328" s="146">
        <v>1</v>
      </c>
      <c r="AI328" s="146">
        <v>1500</v>
      </c>
      <c r="AJ328" s="146">
        <v>18</v>
      </c>
      <c r="AK328" s="146">
        <v>18</v>
      </c>
      <c r="AL328" s="146">
        <v>2</v>
      </c>
      <c r="AM328" s="146">
        <v>1</v>
      </c>
      <c r="AQ328" s="146">
        <f t="shared" si="5"/>
        <v>12</v>
      </c>
    </row>
    <row r="329" spans="1:43">
      <c r="A329" s="146" t="s">
        <v>1057</v>
      </c>
      <c r="B329" s="146" t="s">
        <v>1017</v>
      </c>
      <c r="C329" s="146" t="s">
        <v>1028</v>
      </c>
      <c r="D329" s="146" t="s">
        <v>1031</v>
      </c>
      <c r="E329" s="146" t="s">
        <v>842</v>
      </c>
      <c r="J329" s="146" t="s">
        <v>1020</v>
      </c>
      <c r="K329" s="146">
        <v>0.45700000000000002</v>
      </c>
      <c r="L329" s="146" t="s">
        <v>1021</v>
      </c>
      <c r="M329" s="146" t="s">
        <v>1022</v>
      </c>
      <c r="N329" s="146">
        <v>12.3</v>
      </c>
      <c r="O329" s="146" t="s">
        <v>1023</v>
      </c>
      <c r="P329" s="477">
        <v>6</v>
      </c>
      <c r="Q329" s="478">
        <v>0</v>
      </c>
      <c r="R329" s="478">
        <v>6</v>
      </c>
      <c r="S329" s="479">
        <v>90</v>
      </c>
      <c r="T329" s="146">
        <v>1</v>
      </c>
      <c r="U329" s="479">
        <v>50</v>
      </c>
      <c r="V329" s="146">
        <v>0</v>
      </c>
      <c r="W329" s="146">
        <v>0</v>
      </c>
      <c r="X329" s="146">
        <v>0</v>
      </c>
      <c r="Y329" s="146">
        <v>0.18</v>
      </c>
      <c r="Z329" s="146">
        <v>0.25540000000000002</v>
      </c>
      <c r="AA329" s="146">
        <v>300</v>
      </c>
      <c r="AB329" s="146" t="s">
        <v>974</v>
      </c>
      <c r="AC329" s="146" t="s">
        <v>975</v>
      </c>
      <c r="AG329" s="146">
        <v>0</v>
      </c>
      <c r="AH329" s="146">
        <v>0</v>
      </c>
      <c r="AI329" s="146">
        <v>0</v>
      </c>
      <c r="AJ329" s="146">
        <v>1</v>
      </c>
      <c r="AK329" s="146">
        <v>1</v>
      </c>
      <c r="AL329" s="146">
        <v>0</v>
      </c>
      <c r="AM329" s="146">
        <v>0</v>
      </c>
      <c r="AQ329" s="146">
        <f t="shared" si="5"/>
        <v>0</v>
      </c>
    </row>
    <row r="330" spans="1:43">
      <c r="A330" s="146" t="s">
        <v>1057</v>
      </c>
      <c r="B330" s="146" t="s">
        <v>1017</v>
      </c>
      <c r="C330" s="146" t="s">
        <v>1028</v>
      </c>
      <c r="D330" s="146" t="s">
        <v>1032</v>
      </c>
      <c r="E330" s="146" t="s">
        <v>842</v>
      </c>
      <c r="J330" s="146" t="s">
        <v>1020</v>
      </c>
      <c r="K330" s="146">
        <v>0.58499999999999996</v>
      </c>
      <c r="L330" s="146" t="s">
        <v>1021</v>
      </c>
      <c r="M330" s="146" t="s">
        <v>1022</v>
      </c>
      <c r="N330" s="146">
        <v>130.5</v>
      </c>
      <c r="O330" s="146" t="s">
        <v>1023</v>
      </c>
      <c r="P330" s="477">
        <v>76</v>
      </c>
      <c r="Q330" s="478">
        <v>0</v>
      </c>
      <c r="R330" s="478">
        <v>76</v>
      </c>
      <c r="S330" s="479">
        <v>90</v>
      </c>
      <c r="T330" s="146">
        <v>8</v>
      </c>
      <c r="U330" s="479">
        <v>50</v>
      </c>
      <c r="V330" s="146">
        <v>4</v>
      </c>
      <c r="W330" s="146">
        <v>0</v>
      </c>
      <c r="X330" s="146">
        <v>4</v>
      </c>
      <c r="Y330" s="146">
        <v>0.97</v>
      </c>
      <c r="Z330" s="146">
        <v>0.2979</v>
      </c>
      <c r="AA330" s="146">
        <v>350</v>
      </c>
      <c r="AB330" s="146" t="s">
        <v>974</v>
      </c>
      <c r="AC330" s="146" t="s">
        <v>975</v>
      </c>
      <c r="AG330" s="146">
        <v>4</v>
      </c>
      <c r="AH330" s="146">
        <v>1</v>
      </c>
      <c r="AI330" s="146">
        <v>1400</v>
      </c>
      <c r="AJ330" s="146">
        <v>74</v>
      </c>
      <c r="AK330" s="146">
        <v>74</v>
      </c>
      <c r="AL330" s="146">
        <v>8</v>
      </c>
      <c r="AM330" s="146">
        <v>4</v>
      </c>
      <c r="AQ330" s="146">
        <f t="shared" si="5"/>
        <v>12</v>
      </c>
    </row>
    <row r="331" spans="1:43">
      <c r="A331" s="146" t="s">
        <v>1057</v>
      </c>
      <c r="B331" s="146" t="s">
        <v>1017</v>
      </c>
      <c r="C331" s="146" t="s">
        <v>1028</v>
      </c>
      <c r="D331" s="146" t="s">
        <v>1033</v>
      </c>
      <c r="E331" s="146" t="s">
        <v>842</v>
      </c>
      <c r="J331" s="146" t="s">
        <v>1020</v>
      </c>
      <c r="K331" s="146">
        <v>0.47199999999999998</v>
      </c>
      <c r="L331" s="146" t="s">
        <v>1021</v>
      </c>
      <c r="M331" s="146" t="s">
        <v>1022</v>
      </c>
      <c r="N331" s="146">
        <v>284.3</v>
      </c>
      <c r="O331" s="146" t="s">
        <v>1023</v>
      </c>
      <c r="P331" s="477">
        <v>134</v>
      </c>
      <c r="Q331" s="478">
        <v>0</v>
      </c>
      <c r="R331" s="478">
        <v>134</v>
      </c>
      <c r="S331" s="479">
        <v>90</v>
      </c>
      <c r="T331" s="146">
        <v>13</v>
      </c>
      <c r="U331" s="479">
        <v>50</v>
      </c>
      <c r="V331" s="146">
        <v>6</v>
      </c>
      <c r="W331" s="146">
        <v>0</v>
      </c>
      <c r="X331" s="146">
        <v>6</v>
      </c>
      <c r="Y331" s="146">
        <v>0.14000000000000001</v>
      </c>
      <c r="Z331" s="146">
        <v>0.2979</v>
      </c>
      <c r="AA331" s="146">
        <v>350</v>
      </c>
      <c r="AB331" s="146" t="s">
        <v>974</v>
      </c>
      <c r="AC331" s="146" t="s">
        <v>975</v>
      </c>
      <c r="AG331" s="146">
        <v>1</v>
      </c>
      <c r="AH331" s="146">
        <v>2</v>
      </c>
      <c r="AI331" s="146">
        <v>2100</v>
      </c>
      <c r="AJ331" s="146">
        <v>19</v>
      </c>
      <c r="AK331" s="146">
        <v>19</v>
      </c>
      <c r="AL331" s="146">
        <v>2</v>
      </c>
      <c r="AM331" s="146">
        <v>1</v>
      </c>
      <c r="AQ331" s="146">
        <f t="shared" si="5"/>
        <v>23</v>
      </c>
    </row>
    <row r="332" spans="1:43">
      <c r="A332" s="146" t="s">
        <v>1057</v>
      </c>
      <c r="B332" s="146" t="s">
        <v>1017</v>
      </c>
      <c r="C332" s="146" t="s">
        <v>1028</v>
      </c>
      <c r="D332" s="146" t="s">
        <v>1034</v>
      </c>
      <c r="E332" s="146" t="s">
        <v>842</v>
      </c>
      <c r="J332" s="146" t="s">
        <v>1020</v>
      </c>
      <c r="K332" s="146">
        <v>7.8280000000000003</v>
      </c>
      <c r="L332" s="146" t="s">
        <v>1021</v>
      </c>
      <c r="M332" s="146" t="s">
        <v>1022</v>
      </c>
      <c r="N332" s="146">
        <v>142.1</v>
      </c>
      <c r="O332" s="146" t="s">
        <v>1023</v>
      </c>
      <c r="P332" s="477">
        <v>1112</v>
      </c>
      <c r="Q332" s="478">
        <v>0</v>
      </c>
      <c r="R332" s="478">
        <v>1112</v>
      </c>
      <c r="S332" s="479">
        <v>90</v>
      </c>
      <c r="T332" s="146">
        <v>111</v>
      </c>
      <c r="U332" s="479">
        <v>50</v>
      </c>
      <c r="V332" s="146">
        <v>56</v>
      </c>
      <c r="W332" s="146">
        <v>0</v>
      </c>
      <c r="X332" s="146">
        <v>56</v>
      </c>
      <c r="Y332" s="146">
        <v>0.75</v>
      </c>
      <c r="Z332" s="146">
        <v>0.2979</v>
      </c>
      <c r="AA332" s="146">
        <v>350</v>
      </c>
      <c r="AB332" s="146" t="s">
        <v>974</v>
      </c>
      <c r="AC332" s="146" t="s">
        <v>975</v>
      </c>
      <c r="AG332" s="146">
        <v>42</v>
      </c>
      <c r="AH332" s="146">
        <v>17</v>
      </c>
      <c r="AI332" s="146">
        <v>19600</v>
      </c>
      <c r="AJ332" s="146">
        <v>834</v>
      </c>
      <c r="AK332" s="146">
        <v>834</v>
      </c>
      <c r="AL332" s="146">
        <v>83</v>
      </c>
      <c r="AM332" s="146">
        <v>42</v>
      </c>
      <c r="AQ332" s="146">
        <f t="shared" si="5"/>
        <v>198</v>
      </c>
    </row>
    <row r="333" spans="1:43">
      <c r="A333" s="146" t="s">
        <v>1057</v>
      </c>
      <c r="B333" s="146" t="s">
        <v>1017</v>
      </c>
      <c r="C333" s="146" t="s">
        <v>1028</v>
      </c>
      <c r="D333" s="146" t="s">
        <v>1035</v>
      </c>
      <c r="E333" s="146" t="s">
        <v>842</v>
      </c>
      <c r="J333" s="146" t="s">
        <v>1020</v>
      </c>
      <c r="K333" s="146">
        <v>5.0529999999999999</v>
      </c>
      <c r="L333" s="146" t="s">
        <v>1021</v>
      </c>
      <c r="M333" s="146" t="s">
        <v>1022</v>
      </c>
      <c r="N333" s="146">
        <v>142.1</v>
      </c>
      <c r="O333" s="146" t="s">
        <v>1023</v>
      </c>
      <c r="P333" s="477">
        <v>718</v>
      </c>
      <c r="Q333" s="478">
        <v>0</v>
      </c>
      <c r="R333" s="478">
        <v>718</v>
      </c>
      <c r="S333" s="479">
        <v>90</v>
      </c>
      <c r="T333" s="146">
        <v>72</v>
      </c>
      <c r="U333" s="479">
        <v>50</v>
      </c>
      <c r="V333" s="146">
        <v>36</v>
      </c>
      <c r="W333" s="146">
        <v>0</v>
      </c>
      <c r="X333" s="146">
        <v>36</v>
      </c>
      <c r="Y333" s="146">
        <v>0.45</v>
      </c>
      <c r="Z333" s="146">
        <v>0.2979</v>
      </c>
      <c r="AA333" s="146">
        <v>350</v>
      </c>
      <c r="AB333" s="146" t="s">
        <v>974</v>
      </c>
      <c r="AC333" s="146" t="s">
        <v>975</v>
      </c>
      <c r="AG333" s="146">
        <v>16</v>
      </c>
      <c r="AH333" s="146">
        <v>11</v>
      </c>
      <c r="AI333" s="146">
        <v>12600</v>
      </c>
      <c r="AJ333" s="146">
        <v>323</v>
      </c>
      <c r="AK333" s="146">
        <v>323</v>
      </c>
      <c r="AL333" s="146">
        <v>32</v>
      </c>
      <c r="AM333" s="146">
        <v>16</v>
      </c>
      <c r="AQ333" s="146">
        <f t="shared" si="5"/>
        <v>128</v>
      </c>
    </row>
    <row r="334" spans="1:43">
      <c r="A334" s="146" t="s">
        <v>1057</v>
      </c>
      <c r="B334" s="146" t="s">
        <v>1017</v>
      </c>
      <c r="C334" s="146" t="s">
        <v>1036</v>
      </c>
      <c r="D334" s="146" t="s">
        <v>1037</v>
      </c>
      <c r="E334" s="146" t="s">
        <v>842</v>
      </c>
      <c r="J334" s="146" t="s">
        <v>1020</v>
      </c>
      <c r="K334" s="146">
        <v>46.323999999999998</v>
      </c>
      <c r="L334" s="146" t="s">
        <v>1021</v>
      </c>
      <c r="M334" s="146" t="s">
        <v>1022</v>
      </c>
      <c r="N334" s="146">
        <v>0.9</v>
      </c>
      <c r="O334" s="146" t="s">
        <v>1023</v>
      </c>
      <c r="P334" s="477">
        <v>42</v>
      </c>
      <c r="Q334" s="478">
        <v>0</v>
      </c>
      <c r="R334" s="478">
        <v>42</v>
      </c>
      <c r="S334" s="479">
        <v>100</v>
      </c>
      <c r="T334" s="146">
        <v>0</v>
      </c>
      <c r="U334" s="479">
        <v>50</v>
      </c>
      <c r="V334" s="146">
        <v>0</v>
      </c>
      <c r="W334" s="146">
        <v>0</v>
      </c>
      <c r="X334" s="146">
        <v>0</v>
      </c>
      <c r="Y334" s="146">
        <v>0.6</v>
      </c>
      <c r="Z334" s="146">
        <v>0.21279999999999999</v>
      </c>
      <c r="AA334" s="146">
        <v>250</v>
      </c>
      <c r="AB334" s="146" t="s">
        <v>974</v>
      </c>
      <c r="AC334" s="146" t="s">
        <v>975</v>
      </c>
      <c r="AG334" s="146">
        <v>0</v>
      </c>
      <c r="AH334" s="146">
        <v>0</v>
      </c>
      <c r="AI334" s="146">
        <v>0</v>
      </c>
      <c r="AJ334" s="146">
        <v>25</v>
      </c>
      <c r="AK334" s="146">
        <v>25</v>
      </c>
      <c r="AL334" s="146">
        <v>0</v>
      </c>
      <c r="AM334" s="146">
        <v>0</v>
      </c>
      <c r="AQ334" s="146">
        <f t="shared" si="5"/>
        <v>0</v>
      </c>
    </row>
    <row r="335" spans="1:43">
      <c r="A335" s="146" t="s">
        <v>1057</v>
      </c>
      <c r="B335" s="146" t="s">
        <v>1017</v>
      </c>
      <c r="C335" s="146" t="s">
        <v>1038</v>
      </c>
      <c r="D335" s="146" t="s">
        <v>1039</v>
      </c>
      <c r="E335" s="146" t="s">
        <v>842</v>
      </c>
      <c r="J335" s="146" t="s">
        <v>1020</v>
      </c>
      <c r="K335" s="146">
        <v>2.8239999999999998</v>
      </c>
      <c r="L335" s="146" t="s">
        <v>1021</v>
      </c>
      <c r="M335" s="146" t="s">
        <v>1022</v>
      </c>
      <c r="N335" s="146">
        <v>5.2</v>
      </c>
      <c r="O335" s="146" t="s">
        <v>1023</v>
      </c>
      <c r="P335" s="477">
        <v>15</v>
      </c>
      <c r="Q335" s="478">
        <v>0</v>
      </c>
      <c r="R335" s="478">
        <v>15</v>
      </c>
      <c r="S335" s="479">
        <v>100</v>
      </c>
      <c r="T335" s="146">
        <v>0</v>
      </c>
      <c r="U335" s="479">
        <v>5</v>
      </c>
      <c r="V335" s="146">
        <v>0</v>
      </c>
      <c r="W335" s="146">
        <v>0</v>
      </c>
      <c r="X335" s="146">
        <v>0</v>
      </c>
      <c r="Y335" s="146">
        <v>0.87</v>
      </c>
      <c r="Z335" s="146">
        <v>0.25540000000000002</v>
      </c>
      <c r="AA335" s="146">
        <v>300</v>
      </c>
      <c r="AB335" s="146" t="s">
        <v>974</v>
      </c>
      <c r="AC335" s="146" t="s">
        <v>975</v>
      </c>
      <c r="AG335" s="146">
        <v>0</v>
      </c>
      <c r="AH335" s="146">
        <v>0</v>
      </c>
      <c r="AI335" s="146">
        <v>0</v>
      </c>
      <c r="AJ335" s="146">
        <v>13</v>
      </c>
      <c r="AK335" s="146">
        <v>13</v>
      </c>
      <c r="AL335" s="146">
        <v>0</v>
      </c>
      <c r="AM335" s="146">
        <v>0</v>
      </c>
      <c r="AQ335" s="146">
        <f t="shared" si="5"/>
        <v>0</v>
      </c>
    </row>
    <row r="336" spans="1:43">
      <c r="A336" s="146" t="s">
        <v>1057</v>
      </c>
      <c r="B336" s="146" t="s">
        <v>1017</v>
      </c>
      <c r="C336" s="146" t="s">
        <v>1040</v>
      </c>
      <c r="D336" s="146" t="s">
        <v>1041</v>
      </c>
      <c r="E336" s="146" t="s">
        <v>842</v>
      </c>
      <c r="J336" s="146" t="s">
        <v>1020</v>
      </c>
      <c r="K336" s="146">
        <v>6.3280000000000003</v>
      </c>
      <c r="L336" s="146" t="s">
        <v>1021</v>
      </c>
      <c r="M336" s="146" t="s">
        <v>1022</v>
      </c>
      <c r="N336" s="146">
        <v>8</v>
      </c>
      <c r="O336" s="146" t="s">
        <v>1023</v>
      </c>
      <c r="P336" s="477">
        <v>51</v>
      </c>
      <c r="Q336" s="478">
        <v>0</v>
      </c>
      <c r="R336" s="478">
        <v>51</v>
      </c>
      <c r="S336" s="479">
        <v>100</v>
      </c>
      <c r="T336" s="146">
        <v>0</v>
      </c>
      <c r="U336" s="479">
        <v>80</v>
      </c>
      <c r="V336" s="146">
        <v>0</v>
      </c>
      <c r="W336" s="146">
        <v>0</v>
      </c>
      <c r="X336" s="146">
        <v>0</v>
      </c>
      <c r="Y336" s="146">
        <v>0.35</v>
      </c>
      <c r="Z336" s="146">
        <v>0.34050000000000002</v>
      </c>
      <c r="AA336" s="146">
        <v>400</v>
      </c>
      <c r="AB336" s="146" t="s">
        <v>974</v>
      </c>
      <c r="AC336" s="146" t="s">
        <v>975</v>
      </c>
      <c r="AG336" s="146">
        <v>0</v>
      </c>
      <c r="AH336" s="146">
        <v>0</v>
      </c>
      <c r="AI336" s="146">
        <v>0</v>
      </c>
      <c r="AJ336" s="146">
        <v>18</v>
      </c>
      <c r="AK336" s="146">
        <v>18</v>
      </c>
      <c r="AL336" s="146">
        <v>0</v>
      </c>
      <c r="AM336" s="146">
        <v>0</v>
      </c>
      <c r="AQ336" s="146">
        <f t="shared" si="5"/>
        <v>0</v>
      </c>
    </row>
    <row r="337" spans="1:43">
      <c r="A337" s="146" t="s">
        <v>1057</v>
      </c>
      <c r="B337" s="146" t="s">
        <v>1017</v>
      </c>
      <c r="C337" s="146" t="s">
        <v>1040</v>
      </c>
      <c r="D337" s="146" t="s">
        <v>1042</v>
      </c>
      <c r="E337" s="146" t="s">
        <v>842</v>
      </c>
      <c r="J337" s="146" t="s">
        <v>1020</v>
      </c>
      <c r="K337" s="146">
        <v>2.0499999999999998</v>
      </c>
      <c r="L337" s="146" t="s">
        <v>1021</v>
      </c>
      <c r="M337" s="146" t="s">
        <v>1022</v>
      </c>
      <c r="N337" s="146">
        <v>27</v>
      </c>
      <c r="O337" s="146" t="s">
        <v>1023</v>
      </c>
      <c r="P337" s="477">
        <v>55</v>
      </c>
      <c r="Q337" s="478">
        <v>0</v>
      </c>
      <c r="R337" s="478">
        <v>55</v>
      </c>
      <c r="S337" s="479">
        <v>100</v>
      </c>
      <c r="T337" s="146">
        <v>0</v>
      </c>
      <c r="U337" s="479">
        <v>80</v>
      </c>
      <c r="V337" s="146">
        <v>0</v>
      </c>
      <c r="W337" s="146">
        <v>0</v>
      </c>
      <c r="X337" s="146">
        <v>0</v>
      </c>
      <c r="Y337" s="146">
        <v>0.16</v>
      </c>
      <c r="Z337" s="146">
        <v>0.34050000000000002</v>
      </c>
      <c r="AA337" s="146">
        <v>400</v>
      </c>
      <c r="AB337" s="146" t="s">
        <v>974</v>
      </c>
      <c r="AC337" s="146" t="s">
        <v>975</v>
      </c>
      <c r="AG337" s="146">
        <v>0</v>
      </c>
      <c r="AH337" s="146">
        <v>0</v>
      </c>
      <c r="AI337" s="146">
        <v>0</v>
      </c>
      <c r="AJ337" s="146">
        <v>9</v>
      </c>
      <c r="AK337" s="146">
        <v>9</v>
      </c>
      <c r="AL337" s="146">
        <v>0</v>
      </c>
      <c r="AM337" s="146">
        <v>0</v>
      </c>
      <c r="AQ337" s="146">
        <f t="shared" si="5"/>
        <v>0</v>
      </c>
    </row>
    <row r="338" spans="1:43">
      <c r="A338" s="146" t="s">
        <v>1057</v>
      </c>
      <c r="B338" s="146" t="s">
        <v>1017</v>
      </c>
      <c r="C338" s="146" t="s">
        <v>1040</v>
      </c>
      <c r="D338" s="146" t="s">
        <v>1043</v>
      </c>
      <c r="E338" s="146" t="s">
        <v>842</v>
      </c>
      <c r="J338" s="146" t="s">
        <v>1020</v>
      </c>
      <c r="K338" s="146">
        <v>12.635</v>
      </c>
      <c r="L338" s="146" t="s">
        <v>1021</v>
      </c>
      <c r="M338" s="146" t="s">
        <v>1022</v>
      </c>
      <c r="N338" s="146">
        <v>8</v>
      </c>
      <c r="O338" s="146" t="s">
        <v>1023</v>
      </c>
      <c r="P338" s="477">
        <v>101</v>
      </c>
      <c r="Q338" s="478">
        <v>0</v>
      </c>
      <c r="R338" s="478">
        <v>101</v>
      </c>
      <c r="S338" s="479">
        <v>100</v>
      </c>
      <c r="T338" s="146">
        <v>0</v>
      </c>
      <c r="U338" s="479">
        <v>80</v>
      </c>
      <c r="V338" s="146">
        <v>0</v>
      </c>
      <c r="W338" s="146">
        <v>0</v>
      </c>
      <c r="X338" s="146">
        <v>0</v>
      </c>
      <c r="Y338" s="146">
        <v>0.14000000000000001</v>
      </c>
      <c r="Z338" s="146">
        <v>0.34050000000000002</v>
      </c>
      <c r="AA338" s="146">
        <v>400</v>
      </c>
      <c r="AB338" s="146" t="s">
        <v>974</v>
      </c>
      <c r="AC338" s="146" t="s">
        <v>975</v>
      </c>
      <c r="AG338" s="146">
        <v>0</v>
      </c>
      <c r="AH338" s="146">
        <v>0</v>
      </c>
      <c r="AI338" s="146">
        <v>0</v>
      </c>
      <c r="AJ338" s="146">
        <v>14</v>
      </c>
      <c r="AK338" s="146">
        <v>14</v>
      </c>
      <c r="AL338" s="146">
        <v>0</v>
      </c>
      <c r="AM338" s="146">
        <v>0</v>
      </c>
      <c r="AQ338" s="146">
        <f t="shared" si="5"/>
        <v>0</v>
      </c>
    </row>
    <row r="339" spans="1:43">
      <c r="A339" s="146" t="s">
        <v>1057</v>
      </c>
      <c r="B339" s="146" t="s">
        <v>1017</v>
      </c>
      <c r="C339" s="146" t="s">
        <v>1040</v>
      </c>
      <c r="D339" s="146" t="s">
        <v>1044</v>
      </c>
      <c r="E339" s="146" t="s">
        <v>842</v>
      </c>
      <c r="J339" s="146" t="s">
        <v>1020</v>
      </c>
      <c r="K339" s="146">
        <v>2.0859999999999999</v>
      </c>
      <c r="L339" s="146" t="s">
        <v>1021</v>
      </c>
      <c r="M339" s="146" t="s">
        <v>1022</v>
      </c>
      <c r="N339" s="146">
        <v>86.9</v>
      </c>
      <c r="O339" s="146" t="s">
        <v>1023</v>
      </c>
      <c r="P339" s="477">
        <v>181</v>
      </c>
      <c r="Q339" s="478">
        <v>0</v>
      </c>
      <c r="R339" s="478">
        <v>181</v>
      </c>
      <c r="S339" s="479">
        <v>100</v>
      </c>
      <c r="T339" s="146">
        <v>0</v>
      </c>
      <c r="U339" s="479">
        <v>80</v>
      </c>
      <c r="V339" s="146">
        <v>0</v>
      </c>
      <c r="W339" s="146">
        <v>0</v>
      </c>
      <c r="X339" s="146">
        <v>0</v>
      </c>
      <c r="Y339" s="146">
        <v>0.1</v>
      </c>
      <c r="Z339" s="146">
        <v>0.51070000000000004</v>
      </c>
      <c r="AA339" s="146">
        <v>600</v>
      </c>
      <c r="AB339" s="146" t="s">
        <v>974</v>
      </c>
      <c r="AC339" s="146" t="s">
        <v>975</v>
      </c>
      <c r="AG339" s="146">
        <v>0</v>
      </c>
      <c r="AH339" s="146">
        <v>0</v>
      </c>
      <c r="AI339" s="146">
        <v>0</v>
      </c>
      <c r="AJ339" s="146">
        <v>18</v>
      </c>
      <c r="AK339" s="146">
        <v>18</v>
      </c>
      <c r="AL339" s="146">
        <v>0</v>
      </c>
      <c r="AM339" s="146">
        <v>0</v>
      </c>
      <c r="AQ339" s="146">
        <f t="shared" si="5"/>
        <v>0</v>
      </c>
    </row>
    <row r="340" spans="1:43">
      <c r="A340" s="146" t="s">
        <v>1057</v>
      </c>
      <c r="B340" s="146" t="s">
        <v>1017</v>
      </c>
      <c r="C340" s="146" t="s">
        <v>1045</v>
      </c>
      <c r="D340" s="146" t="s">
        <v>1046</v>
      </c>
      <c r="E340" s="146" t="s">
        <v>842</v>
      </c>
      <c r="J340" s="146" t="s">
        <v>1020</v>
      </c>
      <c r="K340" s="146">
        <v>13.629</v>
      </c>
      <c r="L340" s="146" t="s">
        <v>1021</v>
      </c>
      <c r="M340" s="146" t="s">
        <v>1022</v>
      </c>
      <c r="N340" s="146">
        <v>0.7</v>
      </c>
      <c r="O340" s="146" t="s">
        <v>1023</v>
      </c>
      <c r="P340" s="477">
        <v>10</v>
      </c>
      <c r="Q340" s="478">
        <v>0</v>
      </c>
      <c r="R340" s="478">
        <v>10</v>
      </c>
      <c r="S340" s="479">
        <v>100</v>
      </c>
      <c r="T340" s="146">
        <v>0</v>
      </c>
      <c r="U340" s="479">
        <v>50</v>
      </c>
      <c r="V340" s="146">
        <v>0</v>
      </c>
      <c r="W340" s="146">
        <v>0</v>
      </c>
      <c r="X340" s="146">
        <v>0</v>
      </c>
      <c r="Y340" s="146">
        <v>0.95</v>
      </c>
      <c r="Z340" s="146">
        <v>0.21279999999999999</v>
      </c>
      <c r="AA340" s="146">
        <v>250</v>
      </c>
      <c r="AB340" s="146" t="s">
        <v>974</v>
      </c>
      <c r="AC340" s="146" t="s">
        <v>975</v>
      </c>
      <c r="AG340" s="146">
        <v>0</v>
      </c>
      <c r="AH340" s="146">
        <v>0</v>
      </c>
      <c r="AI340" s="146">
        <v>0</v>
      </c>
      <c r="AJ340" s="146">
        <v>10</v>
      </c>
      <c r="AK340" s="146">
        <v>10</v>
      </c>
      <c r="AL340" s="146">
        <v>0</v>
      </c>
      <c r="AM340" s="146">
        <v>0</v>
      </c>
      <c r="AQ340" s="146">
        <f t="shared" si="5"/>
        <v>0</v>
      </c>
    </row>
    <row r="341" spans="1:43">
      <c r="A341" s="146" t="s">
        <v>1057</v>
      </c>
      <c r="B341" s="146" t="s">
        <v>1017</v>
      </c>
      <c r="C341" s="146" t="s">
        <v>1047</v>
      </c>
      <c r="D341" s="146" t="s">
        <v>1048</v>
      </c>
      <c r="E341" s="146" t="s">
        <v>842</v>
      </c>
      <c r="J341" s="146" t="s">
        <v>1020</v>
      </c>
      <c r="K341" s="146">
        <v>31.779</v>
      </c>
      <c r="L341" s="146" t="s">
        <v>1021</v>
      </c>
      <c r="M341" s="146" t="s">
        <v>1022</v>
      </c>
      <c r="N341" s="146">
        <v>2.1</v>
      </c>
      <c r="O341" s="146" t="s">
        <v>1023</v>
      </c>
      <c r="P341" s="477">
        <v>67</v>
      </c>
      <c r="Q341" s="478">
        <v>0</v>
      </c>
      <c r="R341" s="478">
        <v>67</v>
      </c>
      <c r="S341" s="479">
        <v>100</v>
      </c>
      <c r="T341" s="146">
        <v>0</v>
      </c>
      <c r="U341" s="479">
        <v>10</v>
      </c>
      <c r="V341" s="146">
        <v>0</v>
      </c>
      <c r="W341" s="146">
        <v>0</v>
      </c>
      <c r="X341" s="146">
        <v>0</v>
      </c>
      <c r="Y341" s="146">
        <v>0.59</v>
      </c>
      <c r="Z341" s="146">
        <v>0.42559999999999998</v>
      </c>
      <c r="AA341" s="146">
        <v>500</v>
      </c>
      <c r="AB341" s="146" t="s">
        <v>974</v>
      </c>
      <c r="AC341" s="146" t="s">
        <v>975</v>
      </c>
      <c r="AG341" s="146">
        <v>0</v>
      </c>
      <c r="AH341" s="146">
        <v>0</v>
      </c>
      <c r="AI341" s="146">
        <v>0</v>
      </c>
      <c r="AJ341" s="146">
        <v>40</v>
      </c>
      <c r="AK341" s="146">
        <v>40</v>
      </c>
      <c r="AL341" s="146">
        <v>0</v>
      </c>
      <c r="AM341" s="146">
        <v>0</v>
      </c>
      <c r="AQ341" s="146">
        <f t="shared" si="5"/>
        <v>0</v>
      </c>
    </row>
    <row r="342" spans="1:43">
      <c r="A342" s="146" t="s">
        <v>1057</v>
      </c>
      <c r="B342" s="146" t="s">
        <v>1017</v>
      </c>
      <c r="C342" s="146" t="s">
        <v>1047</v>
      </c>
      <c r="D342" s="146" t="s">
        <v>1049</v>
      </c>
      <c r="E342" s="146" t="s">
        <v>842</v>
      </c>
      <c r="J342" s="146" t="s">
        <v>1020</v>
      </c>
      <c r="K342" s="146">
        <v>28.219000000000001</v>
      </c>
      <c r="L342" s="146" t="s">
        <v>1021</v>
      </c>
      <c r="M342" s="146" t="s">
        <v>1022</v>
      </c>
      <c r="N342" s="146">
        <v>1.8</v>
      </c>
      <c r="O342" s="146" t="s">
        <v>1023</v>
      </c>
      <c r="P342" s="477">
        <v>51</v>
      </c>
      <c r="Q342" s="478">
        <v>0</v>
      </c>
      <c r="R342" s="478">
        <v>51</v>
      </c>
      <c r="S342" s="479">
        <v>100</v>
      </c>
      <c r="T342" s="146">
        <v>0</v>
      </c>
      <c r="U342" s="479">
        <v>10</v>
      </c>
      <c r="V342" s="146">
        <v>0</v>
      </c>
      <c r="W342" s="146">
        <v>0</v>
      </c>
      <c r="X342" s="146">
        <v>0</v>
      </c>
      <c r="Y342" s="146">
        <v>0.15</v>
      </c>
      <c r="Z342" s="146">
        <v>0.34050000000000002</v>
      </c>
      <c r="AA342" s="146">
        <v>400</v>
      </c>
      <c r="AB342" s="146" t="s">
        <v>974</v>
      </c>
      <c r="AC342" s="146" t="s">
        <v>975</v>
      </c>
      <c r="AG342" s="146">
        <v>0</v>
      </c>
      <c r="AH342" s="146">
        <v>0</v>
      </c>
      <c r="AI342" s="146">
        <v>0</v>
      </c>
      <c r="AJ342" s="146">
        <v>8</v>
      </c>
      <c r="AK342" s="146">
        <v>8</v>
      </c>
      <c r="AL342" s="146">
        <v>0</v>
      </c>
      <c r="AM342" s="146">
        <v>0</v>
      </c>
      <c r="AQ342" s="146">
        <f t="shared" si="5"/>
        <v>0</v>
      </c>
    </row>
    <row r="343" spans="1:43">
      <c r="A343" s="146" t="s">
        <v>1057</v>
      </c>
      <c r="B343" s="146" t="s">
        <v>1017</v>
      </c>
      <c r="C343" s="146" t="s">
        <v>1050</v>
      </c>
      <c r="D343" s="146" t="s">
        <v>1051</v>
      </c>
      <c r="E343" s="146" t="s">
        <v>842</v>
      </c>
      <c r="J343" s="146" t="s">
        <v>1020</v>
      </c>
      <c r="K343" s="146">
        <v>11.185</v>
      </c>
      <c r="L343" s="146" t="s">
        <v>1021</v>
      </c>
      <c r="M343" s="146" t="s">
        <v>1022</v>
      </c>
      <c r="N343" s="146">
        <v>6.4</v>
      </c>
      <c r="O343" s="146" t="s">
        <v>1023</v>
      </c>
      <c r="P343" s="477">
        <v>72</v>
      </c>
      <c r="Q343" s="478">
        <v>0</v>
      </c>
      <c r="R343" s="478">
        <v>72</v>
      </c>
      <c r="S343" s="479">
        <v>90</v>
      </c>
      <c r="T343" s="146">
        <v>7</v>
      </c>
      <c r="U343" s="479">
        <v>50</v>
      </c>
      <c r="V343" s="146">
        <v>4</v>
      </c>
      <c r="W343" s="146">
        <v>0</v>
      </c>
      <c r="X343" s="146">
        <v>4</v>
      </c>
      <c r="Y343" s="146">
        <v>0.18</v>
      </c>
      <c r="Z343" s="146">
        <v>0.25540000000000002</v>
      </c>
      <c r="AA343" s="146">
        <v>300</v>
      </c>
      <c r="AB343" s="146" t="s">
        <v>974</v>
      </c>
      <c r="AC343" s="146" t="s">
        <v>975</v>
      </c>
      <c r="AG343" s="146">
        <v>1</v>
      </c>
      <c r="AH343" s="146">
        <v>1</v>
      </c>
      <c r="AI343" s="146">
        <v>1200</v>
      </c>
      <c r="AJ343" s="146">
        <v>13</v>
      </c>
      <c r="AK343" s="146">
        <v>13</v>
      </c>
      <c r="AL343" s="146">
        <v>1</v>
      </c>
      <c r="AM343" s="146">
        <v>1</v>
      </c>
      <c r="AQ343" s="146">
        <f t="shared" si="5"/>
        <v>12</v>
      </c>
    </row>
    <row r="344" spans="1:43">
      <c r="A344" s="146" t="s">
        <v>1057</v>
      </c>
      <c r="B344" s="146" t="s">
        <v>1017</v>
      </c>
      <c r="C344" s="146" t="s">
        <v>1052</v>
      </c>
      <c r="D344" s="146" t="s">
        <v>1053</v>
      </c>
      <c r="E344" s="146" t="s">
        <v>842</v>
      </c>
      <c r="J344" s="146" t="s">
        <v>1020</v>
      </c>
      <c r="K344" s="146">
        <v>32.411000000000001</v>
      </c>
      <c r="L344" s="146" t="s">
        <v>1021</v>
      </c>
      <c r="M344" s="146" t="s">
        <v>1022</v>
      </c>
      <c r="N344" s="146">
        <v>4.9000000000000004</v>
      </c>
      <c r="O344" s="146" t="s">
        <v>1023</v>
      </c>
      <c r="P344" s="477">
        <v>159</v>
      </c>
      <c r="Q344" s="478">
        <v>0</v>
      </c>
      <c r="R344" s="478">
        <v>159</v>
      </c>
      <c r="S344" s="479">
        <v>90</v>
      </c>
      <c r="T344" s="146">
        <v>16</v>
      </c>
      <c r="U344" s="479">
        <v>50</v>
      </c>
      <c r="V344" s="146">
        <v>8</v>
      </c>
      <c r="W344" s="146">
        <v>0</v>
      </c>
      <c r="X344" s="146">
        <v>8</v>
      </c>
      <c r="Y344" s="146">
        <v>0.38</v>
      </c>
      <c r="Z344" s="146">
        <v>0.2979</v>
      </c>
      <c r="AA344" s="146">
        <v>350</v>
      </c>
      <c r="AB344" s="146" t="s">
        <v>974</v>
      </c>
      <c r="AC344" s="146" t="s">
        <v>975</v>
      </c>
      <c r="AG344" s="146">
        <v>3</v>
      </c>
      <c r="AH344" s="146">
        <v>2</v>
      </c>
      <c r="AI344" s="146">
        <v>2800</v>
      </c>
      <c r="AJ344" s="146">
        <v>60</v>
      </c>
      <c r="AK344" s="146">
        <v>60</v>
      </c>
      <c r="AL344" s="146">
        <v>6</v>
      </c>
      <c r="AM344" s="146">
        <v>3</v>
      </c>
      <c r="AQ344" s="146">
        <f t="shared" si="5"/>
        <v>23</v>
      </c>
    </row>
    <row r="345" spans="1:43">
      <c r="A345" s="146" t="s">
        <v>1057</v>
      </c>
      <c r="B345" s="146" t="s">
        <v>1017</v>
      </c>
      <c r="C345" s="146" t="s">
        <v>1052</v>
      </c>
      <c r="D345" s="146" t="s">
        <v>1054</v>
      </c>
      <c r="E345" s="146" t="s">
        <v>842</v>
      </c>
      <c r="J345" s="146" t="s">
        <v>1020</v>
      </c>
      <c r="K345" s="146">
        <v>51.411000000000001</v>
      </c>
      <c r="L345" s="146" t="s">
        <v>1021</v>
      </c>
      <c r="M345" s="146" t="s">
        <v>1022</v>
      </c>
      <c r="N345" s="146">
        <v>38.4</v>
      </c>
      <c r="O345" s="146" t="s">
        <v>1023</v>
      </c>
      <c r="P345" s="477">
        <v>1974</v>
      </c>
      <c r="Q345" s="478">
        <v>0</v>
      </c>
      <c r="R345" s="478">
        <v>1974</v>
      </c>
      <c r="S345" s="479">
        <v>90</v>
      </c>
      <c r="T345" s="146">
        <v>197</v>
      </c>
      <c r="U345" s="479">
        <v>50</v>
      </c>
      <c r="V345" s="146">
        <v>98</v>
      </c>
      <c r="W345" s="146">
        <v>0</v>
      </c>
      <c r="X345" s="146">
        <v>98</v>
      </c>
      <c r="Y345" s="146">
        <v>0.18</v>
      </c>
      <c r="Z345" s="146">
        <v>0.2979</v>
      </c>
      <c r="AA345" s="146">
        <v>350</v>
      </c>
      <c r="AB345" s="146" t="s">
        <v>974</v>
      </c>
      <c r="AC345" s="146" t="s">
        <v>975</v>
      </c>
      <c r="AG345" s="146">
        <v>18</v>
      </c>
      <c r="AH345" s="146">
        <v>29</v>
      </c>
      <c r="AI345" s="146">
        <v>34300</v>
      </c>
      <c r="AJ345" s="146">
        <v>355</v>
      </c>
      <c r="AK345" s="146">
        <v>355</v>
      </c>
      <c r="AL345" s="146">
        <v>35</v>
      </c>
      <c r="AM345" s="146">
        <v>18</v>
      </c>
      <c r="AQ345" s="146">
        <f t="shared" si="5"/>
        <v>337</v>
      </c>
    </row>
    <row r="346" spans="1:43">
      <c r="A346" s="146" t="s">
        <v>1057</v>
      </c>
      <c r="B346" s="146" t="s">
        <v>1017</v>
      </c>
      <c r="C346" s="146" t="s">
        <v>1052</v>
      </c>
      <c r="D346" s="146" t="s">
        <v>1055</v>
      </c>
      <c r="E346" s="146" t="s">
        <v>842</v>
      </c>
      <c r="J346" s="146" t="s">
        <v>1020</v>
      </c>
      <c r="K346" s="146">
        <v>25.978999999999999</v>
      </c>
      <c r="L346" s="146" t="s">
        <v>1021</v>
      </c>
      <c r="M346" s="146" t="s">
        <v>1022</v>
      </c>
      <c r="N346" s="146">
        <v>21.2</v>
      </c>
      <c r="O346" s="146" t="s">
        <v>1023</v>
      </c>
      <c r="P346" s="477">
        <v>551</v>
      </c>
      <c r="Q346" s="478">
        <v>0</v>
      </c>
      <c r="R346" s="478">
        <v>551</v>
      </c>
      <c r="S346" s="479">
        <v>90</v>
      </c>
      <c r="T346" s="146">
        <v>55</v>
      </c>
      <c r="U346" s="479">
        <v>50</v>
      </c>
      <c r="V346" s="146">
        <v>28</v>
      </c>
      <c r="W346" s="146">
        <v>0</v>
      </c>
      <c r="X346" s="146">
        <v>28</v>
      </c>
      <c r="Y346" s="146">
        <v>0.25</v>
      </c>
      <c r="Z346" s="146">
        <v>0.2979</v>
      </c>
      <c r="AA346" s="146">
        <v>350</v>
      </c>
      <c r="AB346" s="146" t="s">
        <v>974</v>
      </c>
      <c r="AC346" s="146" t="s">
        <v>975</v>
      </c>
      <c r="AG346" s="146">
        <v>7</v>
      </c>
      <c r="AH346" s="146">
        <v>8</v>
      </c>
      <c r="AI346" s="146">
        <v>9800</v>
      </c>
      <c r="AJ346" s="146">
        <v>138</v>
      </c>
      <c r="AK346" s="146">
        <v>138</v>
      </c>
      <c r="AL346" s="146">
        <v>14</v>
      </c>
      <c r="AM346" s="146">
        <v>7</v>
      </c>
      <c r="AQ346" s="146">
        <f t="shared" si="5"/>
        <v>93</v>
      </c>
    </row>
  </sheetData>
  <autoFilter ref="A1:AQ346"/>
  <hyperlinks>
    <hyperlink ref="AC17" r:id="rId1" display="http://www.terresinovia.fr/tournesol/cultiver-du-tournesol/recolte/qualite-de-la-recolte/ pour H%"/>
    <hyperlink ref="AC19" r:id="rId2" display="http://www.terresinovia.fr/colza/cultiver-du-colza/recolte-conservation/conservation-stockage/ pour H%"/>
    <hyperlink ref="AC132" r:id="rId3" display="http://www.terresinovia.fr/tournesol/cultiver-du-tournesol/recolte/qualite-de-la-recolte/ pour H%"/>
    <hyperlink ref="AC134" r:id="rId4" display="http://www.terresinovia.fr/colza/cultiver-du-colza/recolte-conservation/conservation-stockage/ pour H%"/>
    <hyperlink ref="AC247" r:id="rId5" display="http://www.terresinovia.fr/tournesol/cultiver-du-tournesol/recolte/qualite-de-la-recolte/ pour H%"/>
    <hyperlink ref="AC249" r:id="rId6" display="http://www.terresinovia.fr/colza/cultiver-du-colza/recolte-conservation/conservation-stockage/ pour H%"/>
  </hyperlinks>
  <pageMargins left="0.7" right="0.7" top="0.75" bottom="0.75" header="0.3" footer="0.3"/>
  <pageSetup paperSize="9" orientation="portrait" r:id="rId7"/>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2" sqref="B2"/>
    </sheetView>
  </sheetViews>
  <sheetFormatPr baseColWidth="10" defaultRowHeight="15"/>
  <cols>
    <col min="1" max="1" width="27.7109375" customWidth="1"/>
  </cols>
  <sheetData>
    <row r="1" spans="1:3" ht="23.25">
      <c r="A1" s="249" t="s">
        <v>469</v>
      </c>
    </row>
    <row r="2" spans="1:3" s="146" customFormat="1">
      <c r="A2" s="299" t="s">
        <v>605</v>
      </c>
      <c r="B2" s="298">
        <v>43962</v>
      </c>
    </row>
    <row r="4" spans="1:3" ht="18" thickBot="1">
      <c r="A4" s="250" t="s">
        <v>470</v>
      </c>
    </row>
    <row r="5" spans="1:3" ht="15.75" thickTop="1">
      <c r="A5" t="s">
        <v>471</v>
      </c>
    </row>
    <row r="6" spans="1:3">
      <c r="A6" t="s">
        <v>530</v>
      </c>
    </row>
    <row r="7" spans="1:3">
      <c r="A7" t="s">
        <v>497</v>
      </c>
    </row>
    <row r="8" spans="1:3" s="146" customFormat="1"/>
    <row r="9" spans="1:3" ht="18" thickBot="1">
      <c r="A9" s="250" t="s">
        <v>460</v>
      </c>
    </row>
    <row r="10" spans="1:3" ht="15.75" thickTop="1">
      <c r="A10" t="s">
        <v>473</v>
      </c>
    </row>
    <row r="11" spans="1:3">
      <c r="A11" s="251" t="s">
        <v>266</v>
      </c>
      <c r="B11" s="146" t="s">
        <v>474</v>
      </c>
      <c r="C11" s="146"/>
    </row>
    <row r="12" spans="1:3">
      <c r="A12" s="252" t="s">
        <v>267</v>
      </c>
      <c r="B12" s="146" t="s">
        <v>498</v>
      </c>
      <c r="C12" s="146"/>
    </row>
    <row r="13" spans="1:3">
      <c r="A13" s="253" t="s">
        <v>415</v>
      </c>
      <c r="B13" s="146" t="s">
        <v>475</v>
      </c>
      <c r="C13" s="146"/>
    </row>
    <row r="14" spans="1:3" ht="30">
      <c r="A14" s="254" t="s">
        <v>414</v>
      </c>
      <c r="B14" s="146"/>
      <c r="C14" s="146"/>
    </row>
    <row r="15" spans="1:3" ht="30">
      <c r="A15" s="255" t="s">
        <v>344</v>
      </c>
      <c r="B15" s="146" t="s">
        <v>500</v>
      </c>
      <c r="C15" s="146"/>
    </row>
    <row r="17" spans="1:3" ht="18" thickBot="1">
      <c r="A17" s="250" t="s">
        <v>476</v>
      </c>
    </row>
    <row r="18" spans="1:3" ht="15.75" thickTop="1">
      <c r="A18" s="256" t="s">
        <v>477</v>
      </c>
      <c r="B18" t="s">
        <v>484</v>
      </c>
    </row>
    <row r="19" spans="1:3">
      <c r="A19" s="256" t="s">
        <v>478</v>
      </c>
      <c r="B19" t="s">
        <v>485</v>
      </c>
    </row>
    <row r="20" spans="1:3" s="146" customFormat="1">
      <c r="A20" s="256" t="s">
        <v>772</v>
      </c>
      <c r="B20" s="146" t="s">
        <v>773</v>
      </c>
    </row>
    <row r="21" spans="1:3">
      <c r="A21" s="261" t="s">
        <v>263</v>
      </c>
      <c r="B21" t="s">
        <v>482</v>
      </c>
    </row>
    <row r="22" spans="1:3">
      <c r="A22" s="261" t="s">
        <v>479</v>
      </c>
      <c r="B22" t="s">
        <v>483</v>
      </c>
    </row>
    <row r="23" spans="1:3" s="146" customFormat="1">
      <c r="A23" s="261" t="s">
        <v>528</v>
      </c>
      <c r="B23" s="146" t="s">
        <v>529</v>
      </c>
    </row>
    <row r="24" spans="1:3">
      <c r="A24" s="257" t="s">
        <v>480</v>
      </c>
      <c r="B24" t="s">
        <v>486</v>
      </c>
    </row>
    <row r="25" spans="1:3" ht="14.45" customHeight="1">
      <c r="A25" s="258" t="s">
        <v>481</v>
      </c>
      <c r="B25" s="483" t="s">
        <v>499</v>
      </c>
      <c r="C25" s="483"/>
    </row>
    <row r="26" spans="1:3">
      <c r="A26" s="258" t="s">
        <v>21</v>
      </c>
      <c r="B26" s="483"/>
      <c r="C26" s="483"/>
    </row>
    <row r="27" spans="1:3">
      <c r="A27" s="258" t="s">
        <v>19</v>
      </c>
      <c r="B27" s="483"/>
      <c r="C27" s="483"/>
    </row>
    <row r="28" spans="1:3">
      <c r="A28" s="258" t="s">
        <v>487</v>
      </c>
      <c r="B28" s="146" t="s">
        <v>488</v>
      </c>
    </row>
    <row r="30" spans="1:3">
      <c r="A30" t="s">
        <v>489</v>
      </c>
    </row>
    <row r="32" spans="1:3" ht="18" thickBot="1">
      <c r="A32" s="250" t="s">
        <v>490</v>
      </c>
    </row>
    <row r="33" spans="1:2" ht="15.75" thickTop="1">
      <c r="A33" t="s">
        <v>491</v>
      </c>
    </row>
    <row r="34" spans="1:2">
      <c r="A34" t="s">
        <v>492</v>
      </c>
    </row>
    <row r="35" spans="1:2" s="146" customFormat="1">
      <c r="A35" s="146" t="s">
        <v>494</v>
      </c>
      <c r="B35" s="158" t="s">
        <v>622</v>
      </c>
    </row>
    <row r="36" spans="1:2">
      <c r="A36" s="146" t="s">
        <v>311</v>
      </c>
      <c r="B36" s="158" t="s">
        <v>623</v>
      </c>
    </row>
    <row r="37" spans="1:2">
      <c r="A37" t="s">
        <v>495</v>
      </c>
    </row>
    <row r="38" spans="1:2">
      <c r="A38" s="158" t="s">
        <v>496</v>
      </c>
    </row>
  </sheetData>
  <mergeCells count="1">
    <mergeCell ref="B25:C27"/>
  </mergeCells>
  <hyperlinks>
    <hyperlink ref="B36" r:id="rId1"/>
    <hyperlink ref="A38" r:id="rId2"/>
    <hyperlink ref="B3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AZ58"/>
  <sheetViews>
    <sheetView zoomScaleNormal="100" workbookViewId="0">
      <selection activeCell="U36" sqref="U36"/>
    </sheetView>
  </sheetViews>
  <sheetFormatPr baseColWidth="10" defaultColWidth="8.85546875" defaultRowHeight="15" outlineLevelRow="1"/>
  <cols>
    <col min="1" max="1" width="45" customWidth="1"/>
    <col min="4" max="4" width="8" style="146" customWidth="1"/>
    <col min="5" max="5" width="5.7109375" customWidth="1"/>
    <col min="6" max="6" width="8.5703125" customWidth="1"/>
    <col min="7" max="7" width="7.140625" customWidth="1"/>
    <col min="8" max="8" width="8.28515625" customWidth="1"/>
    <col min="9" max="9" width="6.140625" customWidth="1"/>
    <col min="10" max="10" width="6.5703125" customWidth="1"/>
    <col min="11" max="11" width="8.85546875" style="146"/>
    <col min="12" max="12" width="7.7109375" style="146" customWidth="1"/>
    <col min="13" max="13" width="6" style="146" customWidth="1"/>
    <col min="14" max="14" width="8.85546875" style="146"/>
    <col min="15" max="15" width="9.7109375" bestFit="1" customWidth="1"/>
    <col min="17" max="17" width="6.5703125" customWidth="1"/>
    <col min="19" max="19" width="7.28515625" customWidth="1"/>
    <col min="20" max="20" width="9.140625" customWidth="1"/>
    <col min="23" max="23" width="5.85546875" customWidth="1"/>
    <col min="24" max="24" width="5.42578125" customWidth="1"/>
    <col min="25" max="25" width="5.7109375" customWidth="1"/>
    <col min="27" max="27" width="11.42578125" customWidth="1"/>
    <col min="28" max="28" width="11.28515625" customWidth="1"/>
    <col min="29" max="29" width="11.140625" customWidth="1"/>
  </cols>
  <sheetData>
    <row r="1" spans="1:52">
      <c r="A1" s="234" t="s">
        <v>621</v>
      </c>
      <c r="C1" s="55"/>
      <c r="D1" s="55"/>
      <c r="E1" s="56"/>
      <c r="F1" s="56"/>
      <c r="G1" s="56"/>
      <c r="H1" s="56"/>
      <c r="I1" s="56"/>
      <c r="J1" s="56"/>
      <c r="K1" s="56"/>
      <c r="L1" s="56"/>
      <c r="M1" s="56"/>
      <c r="N1" s="56"/>
      <c r="O1" s="56"/>
      <c r="P1" s="56"/>
      <c r="Q1" s="5"/>
      <c r="R1" s="497" t="s">
        <v>337</v>
      </c>
      <c r="S1" s="493"/>
      <c r="T1" s="494" t="s">
        <v>134</v>
      </c>
      <c r="U1" s="495"/>
      <c r="V1" s="495"/>
      <c r="W1" s="495"/>
      <c r="X1" s="495"/>
      <c r="Y1" s="495"/>
      <c r="AL1" s="146"/>
      <c r="AM1" s="146"/>
      <c r="AN1" s="146"/>
      <c r="AO1" s="146"/>
      <c r="AP1" s="146"/>
      <c r="AQ1" s="146"/>
      <c r="AR1" s="146"/>
      <c r="AS1" s="146"/>
      <c r="AT1" s="146"/>
      <c r="AU1" s="146"/>
      <c r="AV1" s="146"/>
      <c r="AW1" s="146"/>
      <c r="AX1" s="146"/>
      <c r="AY1" s="146"/>
      <c r="AZ1" s="146"/>
    </row>
    <row r="2" spans="1:52">
      <c r="A2" t="s">
        <v>472</v>
      </c>
      <c r="B2" s="3"/>
      <c r="C2" s="4"/>
      <c r="D2" s="118"/>
      <c r="E2" s="5"/>
      <c r="F2" s="491" t="s">
        <v>10</v>
      </c>
      <c r="G2" s="492"/>
      <c r="H2" s="492"/>
      <c r="I2" s="492"/>
      <c r="J2" s="493"/>
      <c r="K2" s="119"/>
      <c r="L2" s="497" t="s">
        <v>315</v>
      </c>
      <c r="M2" s="492"/>
      <c r="N2" s="493"/>
      <c r="O2" s="5"/>
      <c r="P2" s="5"/>
      <c r="Q2" s="5"/>
      <c r="S2" s="494" t="s">
        <v>20</v>
      </c>
      <c r="T2" s="495"/>
      <c r="U2" s="496"/>
      <c r="V2" s="5"/>
      <c r="AA2" s="484" t="s">
        <v>460</v>
      </c>
      <c r="AB2" s="484"/>
      <c r="AC2" s="484"/>
      <c r="AL2" s="146"/>
      <c r="AM2" s="146"/>
      <c r="AN2" s="146"/>
      <c r="AO2" s="146"/>
      <c r="AP2" s="146"/>
      <c r="AQ2" s="146"/>
      <c r="AR2" s="146"/>
      <c r="AS2" s="146"/>
      <c r="AT2" s="146"/>
      <c r="AU2" s="146"/>
      <c r="AV2" s="146"/>
      <c r="AW2" s="146"/>
      <c r="AX2" s="146"/>
      <c r="AY2" s="146"/>
      <c r="AZ2" s="146"/>
    </row>
    <row r="3" spans="1:52" ht="30">
      <c r="A3" s="6">
        <v>2050</v>
      </c>
      <c r="B3" s="181" t="s">
        <v>30</v>
      </c>
      <c r="C3" s="159" t="s">
        <v>11</v>
      </c>
      <c r="D3" s="159" t="s">
        <v>313</v>
      </c>
      <c r="E3" s="182" t="s">
        <v>12</v>
      </c>
      <c r="F3" s="159" t="s">
        <v>13</v>
      </c>
      <c r="G3" s="159" t="s">
        <v>14</v>
      </c>
      <c r="H3" s="182" t="s">
        <v>15</v>
      </c>
      <c r="I3" s="159" t="s">
        <v>16</v>
      </c>
      <c r="J3" s="159" t="s">
        <v>17</v>
      </c>
      <c r="K3" s="159" t="s">
        <v>133</v>
      </c>
      <c r="L3" s="159" t="s">
        <v>172</v>
      </c>
      <c r="M3" s="159" t="s">
        <v>174</v>
      </c>
      <c r="N3" s="159" t="s">
        <v>338</v>
      </c>
      <c r="O3" s="159" t="s">
        <v>19</v>
      </c>
      <c r="P3" s="159" t="s">
        <v>21</v>
      </c>
      <c r="Q3" s="182" t="s">
        <v>28</v>
      </c>
      <c r="R3" s="159" t="s">
        <v>189</v>
      </c>
      <c r="S3" s="182" t="s">
        <v>25</v>
      </c>
      <c r="T3" s="159" t="s">
        <v>141</v>
      </c>
      <c r="U3" s="182" t="s">
        <v>413</v>
      </c>
      <c r="V3" s="159" t="s">
        <v>26</v>
      </c>
      <c r="W3" s="159" t="s">
        <v>22</v>
      </c>
      <c r="X3" s="182" t="s">
        <v>23</v>
      </c>
      <c r="Y3" s="183" t="s">
        <v>24</v>
      </c>
      <c r="AA3" s="486" t="s">
        <v>266</v>
      </c>
      <c r="AB3" s="486"/>
      <c r="AC3" s="486"/>
      <c r="AE3" s="3"/>
      <c r="AL3" s="146"/>
      <c r="AM3" s="146"/>
      <c r="AN3" s="146"/>
      <c r="AO3" s="146"/>
      <c r="AP3" s="146"/>
      <c r="AQ3" s="146"/>
      <c r="AR3" s="146"/>
      <c r="AS3" s="146"/>
      <c r="AT3" s="146"/>
      <c r="AU3" s="146"/>
      <c r="AV3" s="146"/>
      <c r="AW3" s="146"/>
      <c r="AX3" s="146"/>
      <c r="AY3" s="146"/>
      <c r="AZ3" s="146"/>
    </row>
    <row r="4" spans="1:52">
      <c r="E4" s="222"/>
      <c r="F4" s="222"/>
      <c r="G4" s="222"/>
      <c r="H4" s="222"/>
      <c r="I4" s="222"/>
      <c r="J4" s="222"/>
      <c r="U4" s="222"/>
      <c r="V4" s="222"/>
      <c r="W4" s="146"/>
      <c r="X4" s="146"/>
      <c r="Y4" s="146"/>
      <c r="AA4" s="487" t="s">
        <v>267</v>
      </c>
      <c r="AB4" s="487"/>
      <c r="AC4" s="487"/>
      <c r="AE4" s="10"/>
      <c r="AL4" s="146"/>
      <c r="AM4" s="146"/>
      <c r="AN4" s="146"/>
      <c r="AO4" s="146"/>
      <c r="AP4" s="146"/>
      <c r="AQ4" s="146"/>
      <c r="AR4" s="146"/>
      <c r="AS4" s="146"/>
      <c r="AT4" s="146"/>
      <c r="AU4" s="146"/>
      <c r="AV4" s="146"/>
      <c r="AW4" s="146"/>
      <c r="AX4" s="146"/>
      <c r="AY4" s="146"/>
      <c r="AZ4" s="146"/>
    </row>
    <row r="5" spans="1:52" ht="15.75" thickBot="1">
      <c r="A5" s="129" t="s">
        <v>317</v>
      </c>
      <c r="B5" s="161">
        <f t="shared" ref="B5:B10" si="0">SUM(C5:Y5)</f>
        <v>1690.6251325340772</v>
      </c>
      <c r="C5" s="162">
        <v>0</v>
      </c>
      <c r="D5" s="162">
        <v>11.5137</v>
      </c>
      <c r="E5" s="160"/>
      <c r="F5" s="58"/>
      <c r="G5" s="58"/>
      <c r="H5" s="144">
        <v>0</v>
      </c>
      <c r="I5" s="160"/>
      <c r="J5" s="160"/>
      <c r="K5" s="164">
        <f>K15</f>
        <v>1057.9335927827237</v>
      </c>
      <c r="L5" s="164">
        <f>L15</f>
        <v>109.49999999999999</v>
      </c>
      <c r="M5" s="164">
        <f>M15</f>
        <v>84.096000000000004</v>
      </c>
      <c r="N5" s="164">
        <f>N15</f>
        <v>69</v>
      </c>
      <c r="O5" s="163"/>
      <c r="P5" s="163"/>
      <c r="Q5" s="165">
        <f>'H2 Industrie'!D3</f>
        <v>9.8336831999999994</v>
      </c>
      <c r="R5" s="162">
        <v>0.22230000000000003</v>
      </c>
      <c r="S5" s="165">
        <v>27.3</v>
      </c>
      <c r="T5" s="162">
        <v>321.22585655135362</v>
      </c>
      <c r="U5" s="58"/>
      <c r="V5" s="58"/>
      <c r="W5" s="166"/>
      <c r="X5" s="166"/>
      <c r="Y5" s="167"/>
      <c r="AA5" s="488" t="s">
        <v>415</v>
      </c>
      <c r="AB5" s="488"/>
      <c r="AC5" s="488"/>
      <c r="AE5" s="12"/>
      <c r="AL5" s="146"/>
      <c r="AM5" s="146"/>
      <c r="AN5" s="146"/>
      <c r="AO5" s="146"/>
      <c r="AP5" s="146"/>
      <c r="AQ5" s="146"/>
      <c r="AR5" s="146"/>
      <c r="AS5" s="146"/>
      <c r="AT5" s="146"/>
      <c r="AU5" s="146"/>
      <c r="AV5" s="146"/>
      <c r="AW5" s="146"/>
      <c r="AX5" s="146"/>
      <c r="AY5" s="146"/>
      <c r="AZ5" s="146"/>
    </row>
    <row r="6" spans="1:52" ht="16.5" thickTop="1" thickBot="1">
      <c r="A6" s="124" t="s">
        <v>318</v>
      </c>
      <c r="B6" s="151">
        <f t="shared" si="0"/>
        <v>1303.6356698748527</v>
      </c>
      <c r="C6" s="168">
        <f>C25+C34</f>
        <v>44.996554246239135</v>
      </c>
      <c r="D6" s="58">
        <f>D25+D34-SUM(D5,D7:D10)</f>
        <v>688.69803719680738</v>
      </c>
      <c r="E6" s="306"/>
      <c r="F6" s="306"/>
      <c r="G6" s="306"/>
      <c r="H6" s="170">
        <v>0</v>
      </c>
      <c r="I6" s="306"/>
      <c r="J6" s="306"/>
      <c r="K6" s="143"/>
      <c r="L6" s="143"/>
      <c r="M6" s="143"/>
      <c r="N6" s="143"/>
      <c r="O6" s="171">
        <f>Electricité!I6</f>
        <v>111.33876807668162</v>
      </c>
      <c r="P6" s="143"/>
      <c r="Q6" s="144"/>
      <c r="R6" s="169">
        <f>R25+R34-SUM(R5,R7:R10)</f>
        <v>377.83355548966375</v>
      </c>
      <c r="S6" s="306"/>
      <c r="T6" s="169">
        <f>T25+T34-SUM(T5,T7:T10)</f>
        <v>80.768754865460835</v>
      </c>
      <c r="U6" s="306"/>
      <c r="V6" s="143"/>
      <c r="W6" s="146"/>
      <c r="X6" s="146"/>
      <c r="Y6" s="121"/>
      <c r="AA6" s="489" t="s">
        <v>414</v>
      </c>
      <c r="AB6" s="489"/>
      <c r="AC6" s="489"/>
      <c r="AE6" s="12"/>
      <c r="AF6" s="146"/>
      <c r="AL6" s="146"/>
      <c r="AM6" s="146"/>
      <c r="AN6" s="146"/>
      <c r="AO6" s="146"/>
      <c r="AP6" s="146"/>
      <c r="AQ6" s="146"/>
      <c r="AR6" s="146"/>
      <c r="AS6" s="146"/>
      <c r="AT6" s="146"/>
      <c r="AU6" s="146"/>
      <c r="AV6" s="146"/>
      <c r="AW6" s="146"/>
      <c r="AX6" s="146"/>
      <c r="AY6" s="146"/>
      <c r="AZ6" s="146"/>
    </row>
    <row r="7" spans="1:52" ht="16.5" thickTop="1" thickBot="1">
      <c r="A7" s="124" t="s">
        <v>319</v>
      </c>
      <c r="B7" s="151">
        <f t="shared" si="0"/>
        <v>0</v>
      </c>
      <c r="C7" s="144">
        <v>0</v>
      </c>
      <c r="D7" s="144">
        <v>0</v>
      </c>
      <c r="E7" s="306"/>
      <c r="F7" s="306"/>
      <c r="G7" s="306"/>
      <c r="H7" s="144">
        <v>0</v>
      </c>
      <c r="I7" s="306"/>
      <c r="J7" s="306"/>
      <c r="K7" s="143"/>
      <c r="L7" s="143"/>
      <c r="M7" s="143"/>
      <c r="N7" s="143"/>
      <c r="O7" s="171">
        <f>-Electricité!I5</f>
        <v>0</v>
      </c>
      <c r="P7" s="143"/>
      <c r="Q7" s="144"/>
      <c r="R7" s="144">
        <v>0</v>
      </c>
      <c r="S7" s="306"/>
      <c r="T7" s="144">
        <v>0</v>
      </c>
      <c r="U7" s="306"/>
      <c r="V7" s="143"/>
      <c r="W7" s="146"/>
      <c r="X7" s="146"/>
      <c r="Y7" s="121"/>
      <c r="AA7" s="490" t="s">
        <v>344</v>
      </c>
      <c r="AB7" s="490"/>
      <c r="AC7" s="490"/>
      <c r="AE7" s="12"/>
      <c r="AF7" s="146"/>
      <c r="AL7" s="146"/>
      <c r="AM7" s="146"/>
      <c r="AN7" s="146"/>
      <c r="AO7" s="146"/>
      <c r="AP7" s="146"/>
      <c r="AQ7" s="146"/>
      <c r="AR7" s="146"/>
      <c r="AS7" s="146"/>
      <c r="AT7" s="146"/>
      <c r="AU7" s="146"/>
      <c r="AV7" s="146"/>
      <c r="AW7" s="146"/>
      <c r="AX7" s="146"/>
      <c r="AY7" s="146"/>
      <c r="AZ7" s="146"/>
    </row>
    <row r="8" spans="1:52" ht="15.75" thickTop="1">
      <c r="A8" s="124" t="s">
        <v>320</v>
      </c>
      <c r="B8" s="151">
        <f t="shared" si="0"/>
        <v>-16.282000000000004</v>
      </c>
      <c r="C8" s="143"/>
      <c r="D8" s="143"/>
      <c r="E8" s="143"/>
      <c r="F8" s="143"/>
      <c r="G8" s="143"/>
      <c r="H8" s="144">
        <v>-14.979440000000002</v>
      </c>
      <c r="I8" s="143"/>
      <c r="J8" s="143"/>
      <c r="K8" s="143"/>
      <c r="L8" s="143"/>
      <c r="M8" s="143"/>
      <c r="N8" s="143"/>
      <c r="O8" s="143"/>
      <c r="P8" s="143"/>
      <c r="Q8" s="144"/>
      <c r="R8" s="144">
        <v>-1.3025599999999999</v>
      </c>
      <c r="S8" s="143"/>
      <c r="T8" s="144"/>
      <c r="U8" s="143"/>
      <c r="V8" s="143"/>
      <c r="W8" s="146"/>
      <c r="X8" s="146"/>
      <c r="Y8" s="121"/>
      <c r="AA8" s="11"/>
      <c r="AE8" s="10"/>
      <c r="AF8" s="146"/>
      <c r="AL8" s="146"/>
      <c r="AM8" s="146"/>
      <c r="AN8" s="146"/>
      <c r="AO8" s="146"/>
      <c r="AP8" s="146"/>
      <c r="AQ8" s="146"/>
      <c r="AR8" s="146"/>
      <c r="AS8" s="146"/>
      <c r="AT8" s="146"/>
      <c r="AU8" s="146"/>
      <c r="AV8" s="146"/>
      <c r="AW8" s="146"/>
      <c r="AX8" s="146"/>
      <c r="AY8" s="146"/>
      <c r="AZ8" s="146"/>
    </row>
    <row r="9" spans="1:52">
      <c r="A9" s="124" t="s">
        <v>321</v>
      </c>
      <c r="B9" s="151">
        <f t="shared" si="0"/>
        <v>-92.097480886337394</v>
      </c>
      <c r="C9" s="143"/>
      <c r="D9" s="143"/>
      <c r="E9" s="143"/>
      <c r="F9" s="143"/>
      <c r="G9" s="143"/>
      <c r="H9" s="144">
        <v>-92.097480886337394</v>
      </c>
      <c r="I9" s="143"/>
      <c r="J9" s="143"/>
      <c r="K9" s="143"/>
      <c r="L9" s="143"/>
      <c r="M9" s="143"/>
      <c r="N9" s="143"/>
      <c r="O9" s="143"/>
      <c r="P9" s="143"/>
      <c r="Q9" s="144"/>
      <c r="R9" s="143"/>
      <c r="S9" s="143"/>
      <c r="T9" s="144">
        <v>0</v>
      </c>
      <c r="U9" s="143"/>
      <c r="V9" s="143"/>
      <c r="W9" s="146"/>
      <c r="X9" s="146"/>
      <c r="Y9" s="121"/>
      <c r="AA9" s="11"/>
      <c r="AE9" s="12"/>
      <c r="AF9" s="146"/>
      <c r="AL9" s="146"/>
      <c r="AM9" s="146"/>
      <c r="AN9" s="146"/>
      <c r="AO9" s="146"/>
      <c r="AP9" s="146"/>
      <c r="AQ9" s="146"/>
      <c r="AR9" s="146"/>
      <c r="AS9" s="146"/>
      <c r="AT9" s="146"/>
      <c r="AU9" s="146"/>
      <c r="AV9" s="146"/>
      <c r="AW9" s="146"/>
      <c r="AX9" s="146"/>
      <c r="AY9" s="146"/>
      <c r="AZ9" s="146"/>
    </row>
    <row r="10" spans="1:52">
      <c r="A10" s="124" t="s">
        <v>322</v>
      </c>
      <c r="B10" s="151">
        <f t="shared" si="0"/>
        <v>0</v>
      </c>
      <c r="C10" s="143"/>
      <c r="D10" s="143"/>
      <c r="E10" s="143"/>
      <c r="F10" s="143"/>
      <c r="G10" s="143"/>
      <c r="H10" s="143"/>
      <c r="I10" s="143"/>
      <c r="J10" s="143"/>
      <c r="K10" s="143"/>
      <c r="L10" s="143"/>
      <c r="M10" s="143"/>
      <c r="N10" s="143"/>
      <c r="O10" s="143"/>
      <c r="P10" s="143"/>
      <c r="Q10" s="144"/>
      <c r="R10" s="143"/>
      <c r="S10" s="143"/>
      <c r="T10" s="143"/>
      <c r="U10" s="143"/>
      <c r="V10" s="143"/>
      <c r="W10" s="146"/>
      <c r="X10" s="146"/>
      <c r="Y10" s="121"/>
      <c r="AA10" s="485" t="s">
        <v>197</v>
      </c>
      <c r="AF10" s="146"/>
      <c r="AL10" s="146"/>
      <c r="AM10" s="146"/>
      <c r="AN10" s="146"/>
      <c r="AO10" s="146"/>
      <c r="AP10" s="146"/>
      <c r="AQ10" s="146"/>
      <c r="AR10" s="146"/>
      <c r="AS10" s="146"/>
      <c r="AT10" s="146"/>
      <c r="AU10" s="146"/>
      <c r="AV10" s="146"/>
      <c r="AW10" s="146"/>
      <c r="AX10" s="146"/>
      <c r="AY10" s="146"/>
      <c r="AZ10" s="146"/>
    </row>
    <row r="11" spans="1:52">
      <c r="A11" s="180" t="s">
        <v>323</v>
      </c>
      <c r="B11" s="172">
        <f>SUM(B5:B10)</f>
        <v>2885.8813215225923</v>
      </c>
      <c r="C11" s="173">
        <f t="shared" ref="C11:Y11" si="1">SUM(C5:C10)</f>
        <v>44.996554246239135</v>
      </c>
      <c r="D11" s="173">
        <f t="shared" si="1"/>
        <v>700.21173719680735</v>
      </c>
      <c r="E11" s="173">
        <f t="shared" si="1"/>
        <v>0</v>
      </c>
      <c r="F11" s="173">
        <f t="shared" si="1"/>
        <v>0</v>
      </c>
      <c r="G11" s="173">
        <f t="shared" si="1"/>
        <v>0</v>
      </c>
      <c r="H11" s="173">
        <f t="shared" si="1"/>
        <v>-107.07692088633739</v>
      </c>
      <c r="I11" s="173">
        <f t="shared" si="1"/>
        <v>0</v>
      </c>
      <c r="J11" s="173">
        <f t="shared" si="1"/>
        <v>0</v>
      </c>
      <c r="K11" s="173">
        <f t="shared" si="1"/>
        <v>1057.9335927827237</v>
      </c>
      <c r="L11" s="173">
        <f t="shared" si="1"/>
        <v>109.49999999999999</v>
      </c>
      <c r="M11" s="173">
        <f t="shared" si="1"/>
        <v>84.096000000000004</v>
      </c>
      <c r="N11" s="173">
        <f t="shared" si="1"/>
        <v>69</v>
      </c>
      <c r="O11" s="173">
        <f t="shared" si="1"/>
        <v>111.33876807668162</v>
      </c>
      <c r="P11" s="173">
        <f t="shared" si="1"/>
        <v>0</v>
      </c>
      <c r="Q11" s="173">
        <f t="shared" si="1"/>
        <v>9.8336831999999994</v>
      </c>
      <c r="R11" s="173">
        <f t="shared" si="1"/>
        <v>376.75329548966374</v>
      </c>
      <c r="S11" s="173">
        <f t="shared" si="1"/>
        <v>27.3</v>
      </c>
      <c r="T11" s="173">
        <f t="shared" si="1"/>
        <v>401.99461141681445</v>
      </c>
      <c r="U11" s="173">
        <f t="shared" si="1"/>
        <v>0</v>
      </c>
      <c r="V11" s="173">
        <f t="shared" si="1"/>
        <v>0</v>
      </c>
      <c r="W11" s="173">
        <f t="shared" si="1"/>
        <v>0</v>
      </c>
      <c r="X11" s="173">
        <f t="shared" si="1"/>
        <v>0</v>
      </c>
      <c r="Y11" s="174">
        <f t="shared" si="1"/>
        <v>0</v>
      </c>
      <c r="AA11" s="485"/>
      <c r="AF11" s="146"/>
      <c r="AL11" s="146"/>
      <c r="AM11" s="146"/>
      <c r="AN11" s="146"/>
      <c r="AO11" s="146"/>
      <c r="AP11" s="146"/>
      <c r="AQ11" s="146"/>
      <c r="AR11" s="146"/>
      <c r="AS11" s="146"/>
      <c r="AT11" s="146"/>
      <c r="AU11" s="146"/>
      <c r="AV11" s="146"/>
      <c r="AW11" s="146"/>
      <c r="AX11" s="146"/>
      <c r="AY11" s="146"/>
      <c r="AZ11" s="146"/>
    </row>
    <row r="12" spans="1:52" s="54" customFormat="1">
      <c r="B12" s="9"/>
      <c r="C12" s="145"/>
      <c r="D12" s="145"/>
      <c r="E12" s="130"/>
      <c r="F12" s="130"/>
      <c r="G12" s="130"/>
      <c r="H12" s="145"/>
      <c r="I12" s="130"/>
      <c r="J12" s="130"/>
      <c r="K12" s="145"/>
      <c r="L12" s="145"/>
      <c r="M12" s="145"/>
      <c r="N12" s="145"/>
      <c r="O12" s="145"/>
      <c r="P12" s="145"/>
      <c r="Q12" s="130"/>
      <c r="R12" s="145"/>
      <c r="S12" s="130"/>
      <c r="T12" s="145"/>
      <c r="AF12" s="146"/>
      <c r="AL12" s="146"/>
      <c r="AM12" s="146"/>
      <c r="AN12" s="146"/>
      <c r="AO12" s="146"/>
      <c r="AP12" s="146"/>
      <c r="AQ12" s="146"/>
      <c r="AR12" s="146"/>
      <c r="AS12" s="146"/>
      <c r="AT12" s="146"/>
      <c r="AU12" s="146"/>
      <c r="AV12" s="146"/>
      <c r="AW12" s="146"/>
      <c r="AX12" s="146"/>
      <c r="AY12" s="146"/>
      <c r="AZ12" s="146"/>
    </row>
    <row r="13" spans="1:52" s="54" customFormat="1">
      <c r="A13" s="129" t="s">
        <v>324</v>
      </c>
      <c r="B13" s="161">
        <f t="shared" ref="B13:B24" si="2">SUM(C13:Y13)</f>
        <v>0</v>
      </c>
      <c r="C13" s="163"/>
      <c r="D13" s="163"/>
      <c r="E13" s="163"/>
      <c r="F13" s="163"/>
      <c r="G13" s="163"/>
      <c r="H13" s="163"/>
      <c r="I13" s="163"/>
      <c r="J13" s="163"/>
      <c r="K13" s="163"/>
      <c r="L13" s="163"/>
      <c r="M13" s="163"/>
      <c r="N13" s="163"/>
      <c r="O13" s="163"/>
      <c r="P13" s="163"/>
      <c r="Q13" s="162"/>
      <c r="R13" s="163"/>
      <c r="S13" s="163"/>
      <c r="T13" s="163"/>
      <c r="U13" s="163"/>
      <c r="V13" s="163"/>
      <c r="W13" s="163"/>
      <c r="X13" s="163"/>
      <c r="Y13" s="175"/>
      <c r="AA13" s="184">
        <f t="shared" ref="AA13:AA25" si="3">SUMPRODUCT(C13:Y13,facteur_emmissions_vecteur)</f>
        <v>0</v>
      </c>
      <c r="AF13" s="146"/>
      <c r="AL13" s="146"/>
      <c r="AM13" s="146"/>
      <c r="AN13" s="146"/>
      <c r="AO13" s="146"/>
      <c r="AP13" s="146"/>
      <c r="AQ13" s="146"/>
      <c r="AR13" s="146"/>
      <c r="AS13" s="146"/>
      <c r="AT13" s="146"/>
      <c r="AU13" s="146"/>
      <c r="AV13" s="146"/>
      <c r="AW13" s="146"/>
      <c r="AX13" s="146"/>
      <c r="AY13" s="146"/>
      <c r="AZ13" s="146"/>
    </row>
    <row r="14" spans="1:52" s="54" customFormat="1">
      <c r="A14" s="124" t="s">
        <v>325</v>
      </c>
      <c r="B14" s="151">
        <f t="shared" si="2"/>
        <v>0</v>
      </c>
      <c r="C14" s="143"/>
      <c r="D14" s="143"/>
      <c r="E14" s="143"/>
      <c r="F14" s="143"/>
      <c r="G14" s="143"/>
      <c r="H14" s="143"/>
      <c r="I14" s="143"/>
      <c r="J14" s="143"/>
      <c r="K14" s="143"/>
      <c r="L14" s="143"/>
      <c r="M14" s="143"/>
      <c r="N14" s="143"/>
      <c r="O14" s="143"/>
      <c r="P14" s="143"/>
      <c r="Q14" s="144"/>
      <c r="R14" s="143"/>
      <c r="S14" s="143"/>
      <c r="T14" s="143"/>
      <c r="U14" s="143"/>
      <c r="V14" s="143"/>
      <c r="W14" s="143"/>
      <c r="X14" s="143"/>
      <c r="Y14" s="176"/>
      <c r="AA14" s="185">
        <f t="shared" si="3"/>
        <v>0</v>
      </c>
      <c r="AF14" s="146"/>
      <c r="AL14" s="146"/>
      <c r="AM14" s="146"/>
      <c r="AN14" s="146"/>
      <c r="AO14" s="146"/>
      <c r="AP14" s="146"/>
      <c r="AQ14" s="146"/>
      <c r="AR14" s="146"/>
      <c r="AS14" s="146"/>
      <c r="AT14" s="146"/>
      <c r="AU14" s="146"/>
      <c r="AV14" s="146"/>
      <c r="AW14" s="146"/>
      <c r="AX14" s="146"/>
      <c r="AY14" s="146"/>
      <c r="AZ14" s="146"/>
    </row>
    <row r="15" spans="1:52" s="54" customFormat="1" ht="15.75" thickBot="1">
      <c r="A15" s="124" t="s">
        <v>326</v>
      </c>
      <c r="B15" s="151">
        <f t="shared" si="2"/>
        <v>865.17898370357079</v>
      </c>
      <c r="C15" s="177">
        <f>Electricité!B9</f>
        <v>0</v>
      </c>
      <c r="D15" s="143"/>
      <c r="E15" s="143"/>
      <c r="F15" s="143"/>
      <c r="G15" s="143"/>
      <c r="H15" s="177">
        <v>0</v>
      </c>
      <c r="I15" s="143"/>
      <c r="J15" s="143"/>
      <c r="K15" s="177">
        <f>Electricité!B3</f>
        <v>1057.9335927827237</v>
      </c>
      <c r="L15" s="177">
        <f>Electricité!B4</f>
        <v>109.49999999999999</v>
      </c>
      <c r="M15" s="177">
        <f>Electricité!B5</f>
        <v>84.096000000000004</v>
      </c>
      <c r="N15" s="177">
        <f>Electricité!B7</f>
        <v>69</v>
      </c>
      <c r="O15" s="310">
        <f>-Electricité!D10</f>
        <v>-590.38460514642998</v>
      </c>
      <c r="P15" s="143"/>
      <c r="Q15" s="144"/>
      <c r="R15" s="177">
        <f>Electricité!B8</f>
        <v>40.71890734246238</v>
      </c>
      <c r="S15" s="143"/>
      <c r="T15" s="177">
        <f>Electricité!B6</f>
        <v>94.315088724814672</v>
      </c>
      <c r="U15" s="143"/>
      <c r="V15" s="143"/>
      <c r="W15" s="143"/>
      <c r="X15" s="143"/>
      <c r="Y15" s="176"/>
      <c r="AA15" s="185">
        <f t="shared" si="3"/>
        <v>8.3107289885965727</v>
      </c>
      <c r="AF15" s="146"/>
      <c r="AL15" s="146"/>
      <c r="AM15" s="146"/>
      <c r="AN15" s="146"/>
      <c r="AO15" s="146"/>
      <c r="AP15" s="146"/>
      <c r="AQ15" s="146"/>
      <c r="AR15" s="146"/>
      <c r="AS15" s="146"/>
      <c r="AT15" s="146"/>
      <c r="AU15" s="146"/>
      <c r="AV15" s="146"/>
      <c r="AW15" s="146"/>
      <c r="AX15" s="146"/>
      <c r="AY15" s="146"/>
      <c r="AZ15" s="146"/>
    </row>
    <row r="16" spans="1:52" s="54" customFormat="1" ht="15.75" thickTop="1">
      <c r="A16" s="124" t="s">
        <v>327</v>
      </c>
      <c r="B16" s="151">
        <f t="shared" si="2"/>
        <v>0</v>
      </c>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24"/>
      <c r="AA16" s="185">
        <f t="shared" si="3"/>
        <v>0</v>
      </c>
      <c r="AF16" s="146"/>
      <c r="AL16" s="146"/>
      <c r="AM16" s="146"/>
      <c r="AN16" s="146"/>
      <c r="AO16" s="146"/>
      <c r="AP16" s="146"/>
      <c r="AQ16" s="146"/>
      <c r="AR16" s="146"/>
      <c r="AS16" s="146"/>
      <c r="AT16" s="146"/>
      <c r="AU16" s="146"/>
      <c r="AV16" s="146"/>
      <c r="AW16" s="146"/>
      <c r="AX16" s="146"/>
      <c r="AY16" s="146"/>
      <c r="AZ16" s="146"/>
    </row>
    <row r="17" spans="1:52" s="54" customFormat="1" ht="15.75" thickBot="1">
      <c r="A17" s="124" t="s">
        <v>328</v>
      </c>
      <c r="B17" s="151">
        <f t="shared" si="2"/>
        <v>26.189079942458807</v>
      </c>
      <c r="C17" s="169">
        <f>Chaleur!B3</f>
        <v>0.22158814428279086</v>
      </c>
      <c r="D17" s="143"/>
      <c r="E17" s="143"/>
      <c r="F17" s="143"/>
      <c r="G17" s="143"/>
      <c r="H17" s="169">
        <f>Chaleur!B4</f>
        <v>0.20602535439069147</v>
      </c>
      <c r="I17" s="143"/>
      <c r="J17" s="143"/>
      <c r="K17" s="143"/>
      <c r="L17" s="143"/>
      <c r="M17" s="143"/>
      <c r="N17" s="143"/>
      <c r="O17" s="143"/>
      <c r="P17" s="169">
        <f>-SUM(P13:P16,P18:P24,P34)</f>
        <v>-38.85049927658698</v>
      </c>
      <c r="Q17" s="144"/>
      <c r="R17" s="169">
        <f>Chaleur!B5</f>
        <v>20.097257875405116</v>
      </c>
      <c r="S17" s="143"/>
      <c r="T17" s="169">
        <f>Chaleur!B6</f>
        <v>44.514707844967191</v>
      </c>
      <c r="U17" s="143"/>
      <c r="V17" s="143"/>
      <c r="W17" s="143"/>
      <c r="X17" s="143"/>
      <c r="Y17" s="176"/>
      <c r="AA17" s="185">
        <f t="shared" si="3"/>
        <v>4.2343491146257648</v>
      </c>
      <c r="AF17" s="146"/>
      <c r="AL17" s="146"/>
      <c r="AM17" s="146"/>
      <c r="AN17" s="146"/>
      <c r="AO17" s="146"/>
      <c r="AP17" s="146"/>
      <c r="AQ17" s="146"/>
      <c r="AR17" s="146"/>
      <c r="AS17" s="146"/>
      <c r="AT17" s="146"/>
      <c r="AU17" s="146"/>
      <c r="AV17" s="146"/>
      <c r="AW17" s="146"/>
      <c r="AX17" s="146"/>
      <c r="AY17" s="146"/>
      <c r="AZ17" s="146"/>
    </row>
    <row r="18" spans="1:52" s="54" customFormat="1" ht="16.5" thickTop="1" thickBot="1">
      <c r="A18" s="124" t="s">
        <v>88</v>
      </c>
      <c r="B18" s="151">
        <f t="shared" si="2"/>
        <v>7.9422302390947728</v>
      </c>
      <c r="C18" s="143"/>
      <c r="D18" s="143"/>
      <c r="E18" s="143"/>
      <c r="F18" s="143"/>
      <c r="G18" s="143"/>
      <c r="H18" s="143"/>
      <c r="I18" s="143"/>
      <c r="J18" s="143"/>
      <c r="K18" s="143"/>
      <c r="L18" s="143"/>
      <c r="M18" s="143"/>
      <c r="N18" s="143"/>
      <c r="O18" s="143"/>
      <c r="P18" s="143"/>
      <c r="Q18" s="144"/>
      <c r="R18" s="130"/>
      <c r="S18" s="156">
        <f>S11-S34-SUM(S13:S17,S19:S24)</f>
        <v>-31.768920956379109</v>
      </c>
      <c r="T18" s="156">
        <f>Transformations!D10</f>
        <v>39.711151195473882</v>
      </c>
      <c r="U18" s="143"/>
      <c r="V18" s="143"/>
      <c r="W18" s="143"/>
      <c r="X18" s="143"/>
      <c r="Y18" s="176"/>
      <c r="AA18" s="185">
        <f t="shared" si="3"/>
        <v>0</v>
      </c>
      <c r="AF18" s="146"/>
      <c r="AL18" s="146"/>
      <c r="AM18" s="146"/>
      <c r="AN18" s="146"/>
      <c r="AO18" s="146"/>
      <c r="AP18" s="146"/>
      <c r="AQ18" s="146"/>
      <c r="AR18" s="146"/>
      <c r="AS18" s="146"/>
      <c r="AT18" s="146"/>
      <c r="AU18" s="146"/>
      <c r="AV18" s="146"/>
      <c r="AW18" s="146"/>
      <c r="AX18" s="146"/>
      <c r="AY18" s="146"/>
      <c r="AZ18" s="146"/>
    </row>
    <row r="19" spans="1:52" s="146" customFormat="1" ht="16.5" thickTop="1" thickBot="1">
      <c r="A19" s="124" t="s">
        <v>396</v>
      </c>
      <c r="B19" s="151">
        <f t="shared" si="2"/>
        <v>12.650786076232603</v>
      </c>
      <c r="C19" s="143"/>
      <c r="D19" s="143"/>
      <c r="E19" s="143"/>
      <c r="F19" s="143"/>
      <c r="G19" s="143"/>
      <c r="H19" s="143"/>
      <c r="I19" s="143"/>
      <c r="J19" s="143"/>
      <c r="K19" s="143"/>
      <c r="L19" s="143"/>
      <c r="M19" s="143"/>
      <c r="N19" s="143"/>
      <c r="O19" s="143"/>
      <c r="P19" s="143"/>
      <c r="Q19" s="144"/>
      <c r="R19" s="130"/>
      <c r="S19" s="143"/>
      <c r="T19" s="169">
        <f>Transformations!D12</f>
        <v>42.169286920775335</v>
      </c>
      <c r="U19" s="169">
        <f>-U34</f>
        <v>-29.518500844542732</v>
      </c>
      <c r="V19" s="143"/>
      <c r="W19" s="143"/>
      <c r="X19" s="143"/>
      <c r="Y19" s="176"/>
      <c r="AA19" s="185">
        <f t="shared" si="3"/>
        <v>0</v>
      </c>
    </row>
    <row r="20" spans="1:52" s="54" customFormat="1" ht="16.5" thickTop="1" thickBot="1">
      <c r="A20" s="124" t="s">
        <v>329</v>
      </c>
      <c r="B20" s="151">
        <f t="shared" si="2"/>
        <v>11.416259757364761</v>
      </c>
      <c r="C20" s="143"/>
      <c r="D20" s="168">
        <f>Transformations!D3</f>
        <v>700.21173719680735</v>
      </c>
      <c r="E20" s="143"/>
      <c r="F20" s="169">
        <f>-SUM(F13:F19,F21:F24,F34)+F11</f>
        <v>-58.424473575422041</v>
      </c>
      <c r="G20" s="169">
        <f>-SUM(G13:G19,G21:G24,G34)+G11</f>
        <v>-245.94561783545655</v>
      </c>
      <c r="H20" s="169">
        <f>-SUM(H13:H19,H21:H24,H34)+H11</f>
        <v>-384.30670396906737</v>
      </c>
      <c r="I20" s="169">
        <f>-SUM(I13:I19,I21:I24,I34)+I11</f>
        <v>-15.611516999171663</v>
      </c>
      <c r="J20" s="169">
        <f>-SUM(J13:J19,J21:J24,J34)+J11</f>
        <v>0</v>
      </c>
      <c r="K20" s="143"/>
      <c r="L20" s="143"/>
      <c r="M20" s="143"/>
      <c r="N20" s="143"/>
      <c r="O20" s="143"/>
      <c r="P20" s="143"/>
      <c r="Q20" s="314">
        <f>'H2 Industrie'!D11-'H2 Industrie'!D4</f>
        <v>4.3022364000000017</v>
      </c>
      <c r="R20" s="169">
        <f>Transformations!E3</f>
        <v>11.190598539675003</v>
      </c>
      <c r="S20" s="143"/>
      <c r="T20" s="143"/>
      <c r="U20" s="143"/>
      <c r="V20" s="143"/>
      <c r="W20" s="143"/>
      <c r="X20" s="143"/>
      <c r="Y20" s="176"/>
      <c r="AA20" s="185">
        <f t="shared" si="3"/>
        <v>1.858102340113597</v>
      </c>
      <c r="AF20" s="146"/>
      <c r="AL20" s="146"/>
      <c r="AM20" s="146"/>
      <c r="AN20" s="146"/>
      <c r="AO20" s="146"/>
      <c r="AP20" s="146"/>
      <c r="AQ20" s="146"/>
      <c r="AR20" s="146"/>
      <c r="AS20" s="146"/>
      <c r="AT20" s="146"/>
      <c r="AU20" s="146"/>
      <c r="AV20" s="146"/>
      <c r="AW20" s="146"/>
      <c r="AX20" s="146"/>
      <c r="AY20" s="146"/>
      <c r="AZ20" s="146"/>
    </row>
    <row r="21" spans="1:52" s="54" customFormat="1" ht="16.5" thickTop="1" thickBot="1">
      <c r="A21" s="124" t="s">
        <v>330</v>
      </c>
      <c r="B21" s="151">
        <f t="shared" si="2"/>
        <v>5.3084299726319735</v>
      </c>
      <c r="C21" s="143"/>
      <c r="D21" s="143"/>
      <c r="E21" s="143"/>
      <c r="F21" s="143"/>
      <c r="G21" s="143"/>
      <c r="H21" s="143"/>
      <c r="I21" s="143"/>
      <c r="J21" s="143"/>
      <c r="K21" s="143"/>
      <c r="L21" s="143"/>
      <c r="M21" s="143"/>
      <c r="N21" s="143"/>
      <c r="O21" s="310">
        <f>Transformations!D5</f>
        <v>18.674462814967097</v>
      </c>
      <c r="P21" s="143"/>
      <c r="Q21" s="310">
        <f>-(Transformations!C5+Transformations!C8)</f>
        <v>-22.622135251973678</v>
      </c>
      <c r="R21" s="310">
        <f>Transformations!D8</f>
        <v>9.2561024096385545</v>
      </c>
      <c r="S21" s="143"/>
      <c r="T21" s="143"/>
      <c r="U21" s="143"/>
      <c r="V21" s="143"/>
      <c r="W21" s="143"/>
      <c r="X21" s="143"/>
      <c r="Y21" s="176"/>
      <c r="AA21" s="317"/>
      <c r="AF21" s="146"/>
      <c r="AL21" s="146"/>
      <c r="AM21" s="146"/>
      <c r="AN21" s="146"/>
      <c r="AO21" s="146"/>
      <c r="AP21" s="146"/>
      <c r="AQ21" s="146"/>
      <c r="AR21" s="146"/>
      <c r="AS21" s="146"/>
      <c r="AT21" s="146"/>
      <c r="AU21" s="146"/>
      <c r="AV21" s="146"/>
      <c r="AW21" s="146"/>
      <c r="AX21" s="146"/>
      <c r="AY21" s="146"/>
      <c r="AZ21" s="146"/>
    </row>
    <row r="22" spans="1:52" s="54" customFormat="1" ht="15.75" thickTop="1">
      <c r="A22" s="124" t="s">
        <v>331</v>
      </c>
      <c r="B22" s="151">
        <f t="shared" si="2"/>
        <v>26.712331982938309</v>
      </c>
      <c r="C22" s="144">
        <v>26.712331982938309</v>
      </c>
      <c r="D22" s="143"/>
      <c r="E22" s="143"/>
      <c r="F22" s="143"/>
      <c r="G22" s="143"/>
      <c r="H22" s="143"/>
      <c r="I22" s="143"/>
      <c r="J22" s="143"/>
      <c r="K22" s="143"/>
      <c r="L22" s="143"/>
      <c r="M22" s="143"/>
      <c r="N22" s="143"/>
      <c r="O22" s="143"/>
      <c r="P22" s="143"/>
      <c r="Q22" s="144"/>
      <c r="R22" s="143"/>
      <c r="S22" s="143"/>
      <c r="T22" s="143"/>
      <c r="U22" s="143"/>
      <c r="V22" s="143"/>
      <c r="W22" s="143"/>
      <c r="X22" s="143"/>
      <c r="Y22" s="176"/>
      <c r="AA22" s="185">
        <f t="shared" si="3"/>
        <v>9.2221654937896211</v>
      </c>
      <c r="AF22" s="146"/>
      <c r="AL22" s="146"/>
      <c r="AM22" s="146"/>
      <c r="AN22" s="146"/>
      <c r="AO22" s="146"/>
      <c r="AP22" s="146"/>
      <c r="AQ22" s="146"/>
      <c r="AR22" s="146"/>
      <c r="AS22" s="146"/>
      <c r="AT22" s="146"/>
      <c r="AU22" s="146"/>
      <c r="AV22" s="146"/>
      <c r="AW22" s="146"/>
      <c r="AX22" s="146"/>
      <c r="AY22" s="146"/>
      <c r="AZ22" s="146"/>
    </row>
    <row r="23" spans="1:52" s="54" customFormat="1">
      <c r="A23" s="124" t="s">
        <v>332</v>
      </c>
      <c r="B23" s="151">
        <f t="shared" si="2"/>
        <v>80.361906800439669</v>
      </c>
      <c r="C23" s="144">
        <v>12.066111111111111</v>
      </c>
      <c r="D23" s="143"/>
      <c r="E23" s="143"/>
      <c r="F23" s="143"/>
      <c r="G23" s="143"/>
      <c r="H23" s="144">
        <v>20.89911</v>
      </c>
      <c r="I23" s="143"/>
      <c r="J23" s="143"/>
      <c r="K23" s="143"/>
      <c r="L23" s="143"/>
      <c r="M23" s="143"/>
      <c r="N23" s="143"/>
      <c r="O23" s="144">
        <v>32.358000000000004</v>
      </c>
      <c r="P23" s="143"/>
      <c r="Q23" s="144"/>
      <c r="R23" s="144">
        <v>14.445352355995224</v>
      </c>
      <c r="S23" s="143"/>
      <c r="T23" s="144">
        <v>0.59333333333333338</v>
      </c>
      <c r="U23" s="143"/>
      <c r="V23" s="143"/>
      <c r="W23" s="143"/>
      <c r="X23" s="143"/>
      <c r="Y23" s="176"/>
      <c r="AA23" s="185">
        <f t="shared" si="3"/>
        <v>12.794378713858624</v>
      </c>
      <c r="AF23" s="146"/>
      <c r="AL23" s="146"/>
      <c r="AM23" s="146"/>
      <c r="AN23" s="146"/>
      <c r="AO23" s="146"/>
      <c r="AP23" s="146"/>
      <c r="AQ23" s="146"/>
      <c r="AR23" s="146"/>
      <c r="AS23" s="146"/>
      <c r="AT23" s="146"/>
      <c r="AU23" s="146"/>
      <c r="AV23" s="146"/>
      <c r="AW23" s="146"/>
      <c r="AX23" s="146"/>
      <c r="AY23" s="146"/>
      <c r="AZ23" s="146"/>
    </row>
    <row r="24" spans="1:52" s="54" customFormat="1">
      <c r="A24" s="124" t="s">
        <v>333</v>
      </c>
      <c r="B24" s="151">
        <f t="shared" si="2"/>
        <v>55.132324107489026</v>
      </c>
      <c r="C24" s="143"/>
      <c r="D24" s="143"/>
      <c r="E24" s="143"/>
      <c r="F24" s="143"/>
      <c r="G24" s="143"/>
      <c r="H24" s="143"/>
      <c r="I24" s="143"/>
      <c r="J24" s="143"/>
      <c r="K24" s="143"/>
      <c r="L24" s="143"/>
      <c r="M24" s="143"/>
      <c r="N24" s="143"/>
      <c r="O24" s="144">
        <v>42.482730251103064</v>
      </c>
      <c r="P24" s="144">
        <v>8.1156699697537231</v>
      </c>
      <c r="Q24" s="144"/>
      <c r="R24" s="144">
        <v>4.5339238866322376</v>
      </c>
      <c r="S24" s="143"/>
      <c r="T24" s="143"/>
      <c r="U24" s="143"/>
      <c r="V24" s="143"/>
      <c r="W24" s="143"/>
      <c r="X24" s="143"/>
      <c r="Y24" s="176"/>
      <c r="AA24" s="185">
        <f t="shared" si="3"/>
        <v>0.92537386526163967</v>
      </c>
      <c r="AF24" s="146"/>
      <c r="AL24" s="146"/>
      <c r="AM24" s="146"/>
      <c r="AN24" s="146"/>
      <c r="AO24" s="146"/>
      <c r="AP24" s="146"/>
      <c r="AQ24" s="146"/>
      <c r="AR24" s="146"/>
      <c r="AS24" s="146"/>
      <c r="AT24" s="146"/>
      <c r="AU24" s="146"/>
      <c r="AV24" s="146"/>
      <c r="AW24" s="146"/>
      <c r="AX24" s="146"/>
      <c r="AY24" s="146"/>
      <c r="AZ24" s="146"/>
    </row>
    <row r="25" spans="1:52" s="54" customFormat="1">
      <c r="A25" s="180" t="s">
        <v>334</v>
      </c>
      <c r="B25" s="172">
        <f>SUM(B13:B24)</f>
        <v>1090.8923325822207</v>
      </c>
      <c r="C25" s="173">
        <f t="shared" ref="C25:Y25" si="4">SUM(C13:C24)</f>
        <v>39.000031238332213</v>
      </c>
      <c r="D25" s="173">
        <f t="shared" si="4"/>
        <v>700.21173719680735</v>
      </c>
      <c r="E25" s="173">
        <f t="shared" si="4"/>
        <v>0</v>
      </c>
      <c r="F25" s="173">
        <f t="shared" si="4"/>
        <v>-58.424473575422041</v>
      </c>
      <c r="G25" s="173">
        <f t="shared" si="4"/>
        <v>-245.94561783545655</v>
      </c>
      <c r="H25" s="173">
        <f t="shared" si="4"/>
        <v>-363.20156861467666</v>
      </c>
      <c r="I25" s="173">
        <f t="shared" si="4"/>
        <v>-15.611516999171663</v>
      </c>
      <c r="J25" s="173">
        <f t="shared" si="4"/>
        <v>0</v>
      </c>
      <c r="K25" s="173">
        <f t="shared" si="4"/>
        <v>1057.9335927827237</v>
      </c>
      <c r="L25" s="173">
        <f t="shared" si="4"/>
        <v>109.49999999999999</v>
      </c>
      <c r="M25" s="173">
        <f t="shared" si="4"/>
        <v>84.096000000000004</v>
      </c>
      <c r="N25" s="173">
        <f t="shared" si="4"/>
        <v>69</v>
      </c>
      <c r="O25" s="173">
        <f t="shared" si="4"/>
        <v>-496.86941208035972</v>
      </c>
      <c r="P25" s="173">
        <f t="shared" si="4"/>
        <v>-30.734829306833255</v>
      </c>
      <c r="Q25" s="173">
        <f t="shared" si="4"/>
        <v>-18.319898851973676</v>
      </c>
      <c r="R25" s="173">
        <f t="shared" si="4"/>
        <v>100.24214240980852</v>
      </c>
      <c r="S25" s="173">
        <f t="shared" si="4"/>
        <v>-31.768920956379109</v>
      </c>
      <c r="T25" s="173">
        <f t="shared" si="4"/>
        <v>221.30356801936443</v>
      </c>
      <c r="U25" s="173">
        <f t="shared" si="4"/>
        <v>-29.518500844542732</v>
      </c>
      <c r="V25" s="173">
        <f t="shared" si="4"/>
        <v>0</v>
      </c>
      <c r="W25" s="173">
        <f t="shared" si="4"/>
        <v>0</v>
      </c>
      <c r="X25" s="173">
        <f t="shared" si="4"/>
        <v>0</v>
      </c>
      <c r="Y25" s="174">
        <f t="shared" si="4"/>
        <v>0</v>
      </c>
      <c r="AA25" s="309">
        <f t="shared" si="3"/>
        <v>39.234269018053055</v>
      </c>
      <c r="AF25" s="146"/>
      <c r="AL25" s="146"/>
      <c r="AM25" s="146"/>
      <c r="AN25" s="146"/>
      <c r="AO25" s="146"/>
      <c r="AP25" s="146"/>
      <c r="AQ25" s="146"/>
      <c r="AR25" s="146"/>
      <c r="AS25" s="146"/>
      <c r="AT25" s="146"/>
      <c r="AU25" s="146"/>
      <c r="AV25" s="146"/>
      <c r="AW25" s="146"/>
      <c r="AX25" s="146"/>
      <c r="AY25" s="146"/>
      <c r="AZ25" s="146"/>
    </row>
    <row r="26" spans="1:52" s="54" customFormat="1">
      <c r="K26" s="222"/>
      <c r="L26" s="222"/>
      <c r="M26" s="222"/>
      <c r="N26" s="222"/>
      <c r="W26" s="222"/>
      <c r="X26" s="222"/>
      <c r="Y26" s="222"/>
      <c r="AA26" s="308"/>
      <c r="AB26" s="130"/>
      <c r="AF26" s="146"/>
      <c r="AL26" s="146"/>
      <c r="AM26" s="146"/>
      <c r="AN26" s="146"/>
      <c r="AO26" s="146"/>
      <c r="AP26" s="146"/>
      <c r="AQ26" s="146"/>
      <c r="AR26" s="146"/>
      <c r="AS26" s="146"/>
      <c r="AT26" s="146"/>
      <c r="AU26" s="146"/>
      <c r="AV26" s="146"/>
      <c r="AW26" s="146"/>
      <c r="AX26" s="146"/>
      <c r="AY26" s="146"/>
      <c r="AZ26" s="146"/>
    </row>
    <row r="27" spans="1:52" s="54" customFormat="1">
      <c r="A27" s="129" t="s">
        <v>36</v>
      </c>
      <c r="B27" s="161">
        <f t="shared" ref="B27:B32" si="5">SUM(C27:Y27)</f>
        <v>383.37462063362841</v>
      </c>
      <c r="C27" s="163"/>
      <c r="D27" s="163"/>
      <c r="E27" s="163"/>
      <c r="F27" s="178"/>
      <c r="G27" s="178"/>
      <c r="H27" s="162">
        <v>12.480008220168315</v>
      </c>
      <c r="I27" s="178"/>
      <c r="J27" s="178"/>
      <c r="K27" s="143"/>
      <c r="L27" s="143"/>
      <c r="M27" s="143"/>
      <c r="N27" s="143"/>
      <c r="O27" s="162">
        <v>150.16208688348468</v>
      </c>
      <c r="P27" s="162">
        <v>15.077199382354873</v>
      </c>
      <c r="Q27" s="165">
        <f>'H2 Industrie'!D9</f>
        <v>8.6044727999999999</v>
      </c>
      <c r="R27" s="162">
        <v>123.68879232004988</v>
      </c>
      <c r="S27" s="178">
        <v>30.922198080012471</v>
      </c>
      <c r="T27" s="162">
        <v>42.43986294755819</v>
      </c>
      <c r="U27" s="178"/>
      <c r="V27" s="178"/>
      <c r="W27" s="160"/>
      <c r="X27" s="160"/>
      <c r="Y27" s="167"/>
      <c r="AA27" s="184">
        <f t="shared" ref="AA27:AA32" si="6">SUMPRODUCT(C27:Y27,facteur_emmissions_vecteur)</f>
        <v>28.636948746763931</v>
      </c>
      <c r="AF27" s="146"/>
      <c r="AL27" s="146"/>
      <c r="AM27" s="146"/>
      <c r="AN27" s="146"/>
      <c r="AO27" s="146"/>
      <c r="AP27" s="146"/>
      <c r="AQ27" s="146"/>
      <c r="AR27" s="146"/>
      <c r="AS27" s="146"/>
      <c r="AT27" s="146"/>
      <c r="AU27" s="146"/>
      <c r="AV27" s="146"/>
      <c r="AW27" s="146"/>
      <c r="AX27" s="146"/>
      <c r="AY27" s="146"/>
      <c r="AZ27" s="146"/>
    </row>
    <row r="28" spans="1:52" s="54" customFormat="1">
      <c r="A28" s="124" t="s">
        <v>31</v>
      </c>
      <c r="B28" s="151">
        <f t="shared" si="5"/>
        <v>409.83913191138544</v>
      </c>
      <c r="C28" s="143"/>
      <c r="D28" s="143"/>
      <c r="E28" s="143"/>
      <c r="F28" s="170"/>
      <c r="G28" s="170"/>
      <c r="H28" s="144">
        <v>23.458665233101932</v>
      </c>
      <c r="I28" s="170"/>
      <c r="J28" s="170"/>
      <c r="K28" s="143"/>
      <c r="L28" s="143"/>
      <c r="M28" s="143"/>
      <c r="N28" s="143"/>
      <c r="O28" s="144">
        <v>177.78732524931328</v>
      </c>
      <c r="P28" s="144">
        <v>12.055217383225726</v>
      </c>
      <c r="Q28" s="130"/>
      <c r="R28" s="144">
        <v>66.735555041195084</v>
      </c>
      <c r="S28" s="170">
        <v>16.683888760298771</v>
      </c>
      <c r="T28" s="144">
        <v>113.11848024425065</v>
      </c>
      <c r="U28" s="170"/>
      <c r="V28" s="170"/>
      <c r="W28" s="160"/>
      <c r="X28" s="160"/>
      <c r="Y28" s="259"/>
      <c r="AA28" s="185">
        <f t="shared" si="6"/>
        <v>19.996791994265024</v>
      </c>
      <c r="AF28" s="146"/>
      <c r="AL28" s="146"/>
      <c r="AM28" s="146"/>
      <c r="AN28" s="146"/>
      <c r="AO28" s="146"/>
      <c r="AP28" s="146"/>
      <c r="AQ28" s="146"/>
      <c r="AR28" s="146"/>
      <c r="AS28" s="146"/>
      <c r="AT28" s="146"/>
      <c r="AU28" s="146"/>
      <c r="AV28" s="146"/>
      <c r="AW28" s="146"/>
      <c r="AX28" s="146"/>
      <c r="AY28" s="146"/>
      <c r="AZ28" s="146"/>
    </row>
    <row r="29" spans="1:52" s="54" customFormat="1">
      <c r="A29" s="124" t="s">
        <v>32</v>
      </c>
      <c r="B29" s="151">
        <f t="shared" si="5"/>
        <v>238.90360012465487</v>
      </c>
      <c r="C29" s="143"/>
      <c r="D29" s="143"/>
      <c r="E29" s="143"/>
      <c r="F29" s="170"/>
      <c r="G29" s="170"/>
      <c r="H29" s="144">
        <v>1.4523830853815558</v>
      </c>
      <c r="I29" s="170"/>
      <c r="J29" s="170"/>
      <c r="K29" s="143"/>
      <c r="L29" s="143"/>
      <c r="M29" s="143"/>
      <c r="N29" s="143"/>
      <c r="O29" s="144">
        <v>164.44981577246435</v>
      </c>
      <c r="P29" s="144">
        <v>3.6024125412526571</v>
      </c>
      <c r="Q29" s="130"/>
      <c r="R29" s="144">
        <v>35.680290059851103</v>
      </c>
      <c r="S29" s="170">
        <v>8.9200725149627758</v>
      </c>
      <c r="T29" s="144">
        <v>24.798626150742429</v>
      </c>
      <c r="U29" s="170"/>
      <c r="V29" s="170"/>
      <c r="W29" s="160"/>
      <c r="X29" s="160"/>
      <c r="Y29" s="259"/>
      <c r="AA29" s="185">
        <f t="shared" si="6"/>
        <v>7.6771049238223172</v>
      </c>
      <c r="AF29" s="146"/>
      <c r="AL29" s="146"/>
      <c r="AM29" s="146"/>
      <c r="AN29" s="146"/>
      <c r="AO29" s="146"/>
      <c r="AP29" s="146"/>
      <c r="AQ29" s="146"/>
      <c r="AR29" s="146"/>
      <c r="AS29" s="146"/>
      <c r="AT29" s="146"/>
      <c r="AU29" s="146"/>
      <c r="AV29" s="146"/>
      <c r="AW29" s="146"/>
      <c r="AX29" s="146"/>
      <c r="AY29" s="146"/>
      <c r="AZ29" s="146"/>
    </row>
    <row r="30" spans="1:52" s="54" customFormat="1">
      <c r="A30" s="124" t="s">
        <v>33</v>
      </c>
      <c r="B30" s="151">
        <f t="shared" si="5"/>
        <v>480.72564142637162</v>
      </c>
      <c r="C30" s="143"/>
      <c r="D30" s="143"/>
      <c r="E30" s="143"/>
      <c r="F30" s="177">
        <f>'GEStime STM'!E8</f>
        <v>58.424473575422041</v>
      </c>
      <c r="G30" s="177">
        <f>'GEStime STM'!F8</f>
        <v>245.94561783545655</v>
      </c>
      <c r="H30" s="143"/>
      <c r="I30" s="177">
        <f>'GEStime STM'!G8</f>
        <v>15.611516999171663</v>
      </c>
      <c r="J30" s="143"/>
      <c r="K30" s="143"/>
      <c r="L30" s="143"/>
      <c r="M30" s="143"/>
      <c r="N30" s="143"/>
      <c r="O30" s="177">
        <f>'GEStime STM'!N8</f>
        <v>102.95967934486593</v>
      </c>
      <c r="P30" s="143"/>
      <c r="Q30" s="177">
        <f>'GEStime STM'!L8</f>
        <v>10.330031251973677</v>
      </c>
      <c r="R30" s="177">
        <f>'GEStime STM'!K8</f>
        <v>24.0662558252608</v>
      </c>
      <c r="S30" s="439">
        <f>'GEStime STM'!O8</f>
        <v>0.24309349318445228</v>
      </c>
      <c r="T30" s="143"/>
      <c r="U30" s="177">
        <f>'GEStime STM'!R8</f>
        <v>23.144973101036534</v>
      </c>
      <c r="V30" s="143"/>
      <c r="W30" s="143"/>
      <c r="X30" s="143"/>
      <c r="Y30" s="176"/>
      <c r="AA30" s="185">
        <f t="shared" si="6"/>
        <v>91.200809667069521</v>
      </c>
      <c r="AF30" s="146"/>
      <c r="AL30" s="146"/>
      <c r="AM30" s="146"/>
      <c r="AN30" s="146"/>
      <c r="AO30" s="146"/>
      <c r="AP30" s="146"/>
      <c r="AQ30" s="146"/>
      <c r="AR30" s="146"/>
      <c r="AS30" s="146"/>
      <c r="AT30" s="146"/>
      <c r="AU30" s="146"/>
      <c r="AV30" s="146"/>
      <c r="AW30" s="146"/>
      <c r="AX30" s="146"/>
      <c r="AY30" s="146"/>
      <c r="AZ30" s="146"/>
    </row>
    <row r="31" spans="1:52" s="54" customFormat="1">
      <c r="A31" s="124" t="s">
        <v>34</v>
      </c>
      <c r="B31" s="151">
        <f t="shared" si="5"/>
        <v>60.563629406720729</v>
      </c>
      <c r="C31" s="177">
        <f>ClimAgri!B27</f>
        <v>0.1815230079069215</v>
      </c>
      <c r="D31" s="177"/>
      <c r="E31" s="143"/>
      <c r="F31" s="143"/>
      <c r="G31" s="143"/>
      <c r="H31" s="177">
        <f>ClimAgri!B22</f>
        <v>25.494110974024796</v>
      </c>
      <c r="I31" s="179"/>
      <c r="J31" s="130"/>
      <c r="K31" s="130"/>
      <c r="L31" s="130"/>
      <c r="M31" s="130"/>
      <c r="N31" s="130"/>
      <c r="O31" s="177">
        <f>ClimAgri!B24</f>
        <v>12.849272906913098</v>
      </c>
      <c r="P31" s="143"/>
      <c r="Q31" s="130"/>
      <c r="R31" s="177">
        <f>ClimAgri!B25</f>
        <v>13.031452611550277</v>
      </c>
      <c r="S31" s="177">
        <f>ClimAgri!B28</f>
        <v>2.2996681079206382</v>
      </c>
      <c r="T31" s="177">
        <f>ClimAgri!B26</f>
        <v>0.33407405489879066</v>
      </c>
      <c r="U31" s="177">
        <f>ClimAgri!B23</f>
        <v>6.373527743506199</v>
      </c>
      <c r="V31" s="143"/>
      <c r="W31" s="143"/>
      <c r="X31" s="143"/>
      <c r="Y31" s="176"/>
      <c r="AA31" s="185">
        <f t="shared" si="6"/>
        <v>9.6516878440071352</v>
      </c>
      <c r="AF31" s="146"/>
      <c r="AL31" s="146"/>
      <c r="AM31" s="146"/>
      <c r="AN31" s="146"/>
      <c r="AO31" s="146"/>
      <c r="AP31" s="146"/>
      <c r="AQ31" s="146"/>
      <c r="AR31" s="146"/>
      <c r="AS31" s="146"/>
      <c r="AT31" s="146"/>
      <c r="AU31" s="146"/>
      <c r="AV31" s="146"/>
      <c r="AW31" s="146"/>
      <c r="AX31" s="146"/>
      <c r="AY31" s="146"/>
      <c r="AZ31" s="146"/>
    </row>
    <row r="32" spans="1:52" s="54" customFormat="1">
      <c r="A32" s="180" t="s">
        <v>139</v>
      </c>
      <c r="B32" s="172">
        <f t="shared" si="5"/>
        <v>1573.4066235027612</v>
      </c>
      <c r="C32" s="173">
        <f>SUM(C27:C31)</f>
        <v>0.1815230079069215</v>
      </c>
      <c r="D32" s="173">
        <f t="shared" ref="D32:Y32" si="7">SUM(D27:D31)</f>
        <v>0</v>
      </c>
      <c r="E32" s="173">
        <f t="shared" si="7"/>
        <v>0</v>
      </c>
      <c r="F32" s="173">
        <f t="shared" si="7"/>
        <v>58.424473575422041</v>
      </c>
      <c r="G32" s="173">
        <f t="shared" si="7"/>
        <v>245.94561783545655</v>
      </c>
      <c r="H32" s="173">
        <f t="shared" si="7"/>
        <v>62.885167512676603</v>
      </c>
      <c r="I32" s="173">
        <f t="shared" si="7"/>
        <v>15.611516999171663</v>
      </c>
      <c r="J32" s="173">
        <f t="shared" si="7"/>
        <v>0</v>
      </c>
      <c r="K32" s="173">
        <f t="shared" si="7"/>
        <v>0</v>
      </c>
      <c r="L32" s="173">
        <f t="shared" si="7"/>
        <v>0</v>
      </c>
      <c r="M32" s="173">
        <f t="shared" si="7"/>
        <v>0</v>
      </c>
      <c r="N32" s="173">
        <f t="shared" si="7"/>
        <v>0</v>
      </c>
      <c r="O32" s="173">
        <f t="shared" si="7"/>
        <v>608.2081801570414</v>
      </c>
      <c r="P32" s="173">
        <f t="shared" si="7"/>
        <v>30.734829306833259</v>
      </c>
      <c r="Q32" s="173">
        <f t="shared" si="7"/>
        <v>18.934504051973676</v>
      </c>
      <c r="R32" s="173">
        <f t="shared" si="7"/>
        <v>263.20234585790718</v>
      </c>
      <c r="S32" s="173">
        <f t="shared" si="7"/>
        <v>59.06892095637911</v>
      </c>
      <c r="T32" s="173">
        <f t="shared" si="7"/>
        <v>180.69104339745004</v>
      </c>
      <c r="U32" s="173">
        <f t="shared" si="7"/>
        <v>29.518500844542732</v>
      </c>
      <c r="V32" s="173">
        <f t="shared" si="7"/>
        <v>0</v>
      </c>
      <c r="W32" s="173">
        <f t="shared" si="7"/>
        <v>0</v>
      </c>
      <c r="X32" s="173">
        <f t="shared" si="7"/>
        <v>0</v>
      </c>
      <c r="Y32" s="174">
        <f t="shared" si="7"/>
        <v>0</v>
      </c>
      <c r="AA32" s="309">
        <f t="shared" si="6"/>
        <v>157.16334317592793</v>
      </c>
      <c r="AF32" s="146"/>
      <c r="AL32" s="146"/>
      <c r="AM32" s="146"/>
      <c r="AN32" s="146"/>
      <c r="AO32" s="146"/>
      <c r="AP32" s="146"/>
      <c r="AQ32" s="146"/>
      <c r="AR32" s="146"/>
      <c r="AS32" s="146"/>
      <c r="AT32" s="146"/>
      <c r="AU32" s="146"/>
      <c r="AV32" s="146"/>
      <c r="AW32" s="146"/>
      <c r="AX32" s="146"/>
      <c r="AY32" s="146"/>
      <c r="AZ32" s="146"/>
    </row>
    <row r="33" spans="1:52" s="54" customFormat="1">
      <c r="A33" s="129" t="s">
        <v>335</v>
      </c>
      <c r="B33" s="151">
        <f>SUM(C33:S33)</f>
        <v>221.58236543761063</v>
      </c>
      <c r="C33" s="57">
        <v>5.8150000000000004</v>
      </c>
      <c r="D33" s="143"/>
      <c r="E33" s="143"/>
      <c r="F33" s="143"/>
      <c r="G33" s="143"/>
      <c r="H33" s="144">
        <v>193.23948021566264</v>
      </c>
      <c r="I33" s="143"/>
      <c r="J33" s="143"/>
      <c r="K33" s="143"/>
      <c r="L33" s="143"/>
      <c r="M33" s="143"/>
      <c r="N33" s="143"/>
      <c r="O33" s="143"/>
      <c r="P33" s="143"/>
      <c r="Q33" s="314">
        <f>'H2 Industrie'!D10</f>
        <v>9.2190779999999979</v>
      </c>
      <c r="R33" s="144">
        <v>13.308807221948015</v>
      </c>
      <c r="S33" s="143"/>
      <c r="T33" s="143"/>
      <c r="U33" s="143"/>
      <c r="V33" s="143"/>
      <c r="W33" s="143"/>
      <c r="X33" s="143"/>
      <c r="Y33" s="176"/>
      <c r="Z33" s="135"/>
      <c r="AA33" s="130"/>
      <c r="AB33" s="143"/>
      <c r="AF33" s="146"/>
      <c r="AL33" s="146"/>
      <c r="AM33" s="146"/>
      <c r="AN33" s="146"/>
      <c r="AO33" s="146"/>
      <c r="AP33" s="146"/>
      <c r="AQ33" s="146"/>
      <c r="AR33" s="146"/>
      <c r="AS33" s="146"/>
      <c r="AT33" s="146"/>
      <c r="AU33" s="146"/>
      <c r="AV33" s="146"/>
      <c r="AW33" s="146"/>
      <c r="AX33" s="146"/>
      <c r="AY33" s="146"/>
      <c r="AZ33" s="146"/>
    </row>
    <row r="34" spans="1:52" s="54" customFormat="1">
      <c r="A34" s="180" t="s">
        <v>336</v>
      </c>
      <c r="B34" s="172">
        <f>SUM(B32:B33)</f>
        <v>1794.9889889403719</v>
      </c>
      <c r="C34" s="173">
        <f>SUM(C32:C33)</f>
        <v>5.9965230079069221</v>
      </c>
      <c r="D34" s="173">
        <f>SUM(D32:D33)</f>
        <v>0</v>
      </c>
      <c r="E34" s="173">
        <f t="shared" ref="E34:Y34" si="8">SUM(E32:E33)</f>
        <v>0</v>
      </c>
      <c r="F34" s="173">
        <f t="shared" si="8"/>
        <v>58.424473575422041</v>
      </c>
      <c r="G34" s="173">
        <f t="shared" si="8"/>
        <v>245.94561783545655</v>
      </c>
      <c r="H34" s="173">
        <f>SUM(H32:H33)</f>
        <v>256.12464772833926</v>
      </c>
      <c r="I34" s="173">
        <f t="shared" si="8"/>
        <v>15.611516999171663</v>
      </c>
      <c r="J34" s="173">
        <f t="shared" si="8"/>
        <v>0</v>
      </c>
      <c r="K34" s="173">
        <f t="shared" si="8"/>
        <v>0</v>
      </c>
      <c r="L34" s="173">
        <f t="shared" si="8"/>
        <v>0</v>
      </c>
      <c r="M34" s="173">
        <f t="shared" si="8"/>
        <v>0</v>
      </c>
      <c r="N34" s="173">
        <f t="shared" si="8"/>
        <v>0</v>
      </c>
      <c r="O34" s="173">
        <f t="shared" si="8"/>
        <v>608.2081801570414</v>
      </c>
      <c r="P34" s="173">
        <f t="shared" si="8"/>
        <v>30.734829306833259</v>
      </c>
      <c r="Q34" s="173">
        <f t="shared" si="8"/>
        <v>28.153582051973672</v>
      </c>
      <c r="R34" s="173">
        <f t="shared" si="8"/>
        <v>276.51115307985521</v>
      </c>
      <c r="S34" s="173">
        <f t="shared" si="8"/>
        <v>59.06892095637911</v>
      </c>
      <c r="T34" s="173">
        <f t="shared" si="8"/>
        <v>180.69104339745004</v>
      </c>
      <c r="U34" s="173">
        <f t="shared" si="8"/>
        <v>29.518500844542732</v>
      </c>
      <c r="V34" s="173">
        <f t="shared" si="8"/>
        <v>0</v>
      </c>
      <c r="W34" s="173">
        <f t="shared" si="8"/>
        <v>0</v>
      </c>
      <c r="X34" s="173">
        <f t="shared" si="8"/>
        <v>0</v>
      </c>
      <c r="Y34" s="174">
        <f t="shared" si="8"/>
        <v>0</v>
      </c>
      <c r="AA34" s="130"/>
      <c r="AB34" s="9"/>
      <c r="AF34" s="146"/>
      <c r="AL34" s="146"/>
      <c r="AM34" s="146"/>
      <c r="AN34" s="146"/>
      <c r="AO34" s="146"/>
      <c r="AP34" s="146"/>
      <c r="AQ34" s="146"/>
      <c r="AR34" s="146"/>
      <c r="AS34" s="146"/>
      <c r="AT34" s="146"/>
      <c r="AU34" s="146"/>
      <c r="AV34" s="146"/>
      <c r="AW34" s="146"/>
      <c r="AX34" s="146"/>
      <c r="AY34" s="146"/>
      <c r="AZ34" s="146"/>
    </row>
    <row r="35" spans="1:52" s="54" customFormat="1">
      <c r="AA35" s="130"/>
      <c r="AB35" s="307"/>
      <c r="AL35" s="146"/>
      <c r="AM35" s="146"/>
      <c r="AN35" s="146"/>
      <c r="AO35" s="146"/>
      <c r="AP35" s="146"/>
      <c r="AQ35" s="146"/>
      <c r="AR35" s="146"/>
      <c r="AS35" s="146"/>
      <c r="AT35" s="146"/>
      <c r="AU35" s="146"/>
      <c r="AV35" s="146"/>
      <c r="AW35" s="146"/>
      <c r="AX35" s="146"/>
      <c r="AY35" s="146"/>
      <c r="AZ35" s="146"/>
    </row>
    <row r="36" spans="1:52" s="54" customFormat="1">
      <c r="H36" s="11"/>
      <c r="U36" s="617"/>
      <c r="AL36" s="146"/>
      <c r="AM36" s="146"/>
      <c r="AN36" s="146"/>
      <c r="AO36" s="146"/>
      <c r="AP36" s="146"/>
      <c r="AQ36" s="146"/>
      <c r="AR36" s="146"/>
      <c r="AS36" s="146"/>
      <c r="AT36" s="146"/>
      <c r="AU36" s="146"/>
      <c r="AV36" s="146"/>
      <c r="AW36" s="146"/>
      <c r="AX36" s="146"/>
      <c r="AY36" s="146"/>
      <c r="AZ36" s="146"/>
    </row>
    <row r="37" spans="1:52" s="54" customFormat="1" hidden="1" outlineLevel="1">
      <c r="A37" s="54" t="s">
        <v>398</v>
      </c>
      <c r="B37" s="11">
        <f t="shared" ref="B37:N37" si="9">ROUND(B34+B25-B11,10)</f>
        <v>0</v>
      </c>
      <c r="C37" s="11">
        <f t="shared" si="9"/>
        <v>0</v>
      </c>
      <c r="D37" s="11">
        <f t="shared" si="9"/>
        <v>0</v>
      </c>
      <c r="E37" s="11">
        <f t="shared" si="9"/>
        <v>0</v>
      </c>
      <c r="F37" s="11">
        <f t="shared" si="9"/>
        <v>0</v>
      </c>
      <c r="G37" s="11">
        <f t="shared" si="9"/>
        <v>0</v>
      </c>
      <c r="H37" s="11">
        <f t="shared" si="9"/>
        <v>0</v>
      </c>
      <c r="I37" s="11">
        <f t="shared" si="9"/>
        <v>0</v>
      </c>
      <c r="J37" s="11">
        <f t="shared" si="9"/>
        <v>0</v>
      </c>
      <c r="K37" s="11">
        <f t="shared" si="9"/>
        <v>0</v>
      </c>
      <c r="L37" s="11">
        <f t="shared" si="9"/>
        <v>0</v>
      </c>
      <c r="M37" s="11">
        <f t="shared" si="9"/>
        <v>0</v>
      </c>
      <c r="N37" s="11">
        <f t="shared" si="9"/>
        <v>0</v>
      </c>
      <c r="O37" s="11">
        <f>ROUND(O34+O25-O11,10)</f>
        <v>0</v>
      </c>
      <c r="P37" s="11">
        <f t="shared" ref="P37:Y37" si="10">ROUND(P34+P25-P11,10)</f>
        <v>0</v>
      </c>
      <c r="Q37" s="11">
        <f t="shared" si="10"/>
        <v>0</v>
      </c>
      <c r="R37" s="11">
        <f t="shared" si="10"/>
        <v>0</v>
      </c>
      <c r="S37" s="11">
        <f t="shared" si="10"/>
        <v>0</v>
      </c>
      <c r="T37" s="11">
        <f t="shared" si="10"/>
        <v>0</v>
      </c>
      <c r="U37" s="11">
        <f t="shared" si="10"/>
        <v>0</v>
      </c>
      <c r="V37" s="11">
        <f t="shared" si="10"/>
        <v>0</v>
      </c>
      <c r="W37" s="11">
        <f t="shared" si="10"/>
        <v>0</v>
      </c>
      <c r="X37" s="11">
        <f t="shared" si="10"/>
        <v>0</v>
      </c>
      <c r="Y37" s="11">
        <f t="shared" si="10"/>
        <v>0</v>
      </c>
      <c r="AX37" s="12"/>
    </row>
    <row r="38" spans="1:52" s="54" customFormat="1" hidden="1" outlineLevel="1">
      <c r="A38"/>
      <c r="B38"/>
      <c r="C38"/>
      <c r="D38" s="146"/>
      <c r="E38"/>
      <c r="F38"/>
      <c r="G38"/>
      <c r="H38"/>
      <c r="I38"/>
      <c r="J38"/>
      <c r="K38" s="146"/>
      <c r="L38" s="146"/>
      <c r="M38" s="146"/>
      <c r="N38" s="146"/>
      <c r="O38"/>
      <c r="P38"/>
      <c r="Q38"/>
      <c r="R38"/>
      <c r="S38"/>
      <c r="T38"/>
      <c r="U38"/>
      <c r="V38"/>
      <c r="W38"/>
      <c r="X38"/>
      <c r="Y38"/>
    </row>
    <row r="39" spans="1:52" s="54" customFormat="1" hidden="1" outlineLevel="1">
      <c r="D39" s="146"/>
      <c r="K39" s="146"/>
      <c r="L39" s="146"/>
      <c r="M39" s="146"/>
      <c r="N39" s="146"/>
    </row>
    <row r="40" spans="1:52" s="54" customFormat="1" hidden="1" outlineLevel="1">
      <c r="A40" s="146" t="s">
        <v>198</v>
      </c>
      <c r="C40" s="146" t="s">
        <v>11</v>
      </c>
      <c r="D40" s="146" t="s">
        <v>313</v>
      </c>
      <c r="E40" s="3" t="s">
        <v>12</v>
      </c>
      <c r="F40" s="146" t="s">
        <v>13</v>
      </c>
      <c r="G40" s="146" t="s">
        <v>14</v>
      </c>
      <c r="H40" s="3" t="s">
        <v>15</v>
      </c>
      <c r="I40" s="146" t="s">
        <v>16</v>
      </c>
      <c r="J40" s="146" t="s">
        <v>17</v>
      </c>
      <c r="K40" s="146" t="s">
        <v>133</v>
      </c>
      <c r="L40" s="146" t="s">
        <v>172</v>
      </c>
      <c r="M40" s="146" t="s">
        <v>174</v>
      </c>
      <c r="N40" s="146" t="s">
        <v>338</v>
      </c>
      <c r="O40" s="146" t="s">
        <v>19</v>
      </c>
      <c r="P40" s="146" t="s">
        <v>21</v>
      </c>
      <c r="Q40" s="3" t="s">
        <v>28</v>
      </c>
      <c r="R40" s="146" t="s">
        <v>18</v>
      </c>
      <c r="S40" s="3" t="s">
        <v>25</v>
      </c>
      <c r="T40" s="146" t="s">
        <v>141</v>
      </c>
      <c r="U40" s="3" t="s">
        <v>27</v>
      </c>
      <c r="V40" s="146" t="s">
        <v>26</v>
      </c>
      <c r="W40" s="146" t="s">
        <v>22</v>
      </c>
      <c r="X40" s="3" t="s">
        <v>23</v>
      </c>
      <c r="Y40" s="3" t="s">
        <v>24</v>
      </c>
    </row>
    <row r="41" spans="1:52" s="54" customFormat="1" hidden="1" outlineLevel="1">
      <c r="A41" s="146" t="s">
        <v>196</v>
      </c>
      <c r="B41" s="146"/>
      <c r="C41" s="57">
        <v>0.34523999999999999</v>
      </c>
      <c r="D41" s="57">
        <v>0.27179999999999999</v>
      </c>
      <c r="E41" s="57">
        <v>0.26979999999999998</v>
      </c>
      <c r="F41" s="57">
        <v>0.26979999999999998</v>
      </c>
      <c r="G41" s="57">
        <v>0.26979999999999998</v>
      </c>
      <c r="H41" s="57">
        <v>0.27179999999999999</v>
      </c>
      <c r="I41" s="57">
        <v>0.2671</v>
      </c>
      <c r="J41" s="57">
        <v>0.27179999999999999</v>
      </c>
      <c r="K41" s="57">
        <v>0</v>
      </c>
      <c r="L41" s="57">
        <v>0</v>
      </c>
      <c r="M41" s="57">
        <v>0</v>
      </c>
      <c r="N41" s="57">
        <v>0</v>
      </c>
      <c r="O41" s="57">
        <v>0</v>
      </c>
      <c r="P41" s="57">
        <v>0</v>
      </c>
      <c r="Q41" s="57">
        <v>0</v>
      </c>
      <c r="R41" s="57">
        <v>0.2041</v>
      </c>
      <c r="S41" s="57">
        <v>0</v>
      </c>
      <c r="T41" s="57">
        <v>0</v>
      </c>
      <c r="U41" s="57">
        <v>0</v>
      </c>
      <c r="V41" s="57">
        <v>0</v>
      </c>
      <c r="W41" s="57">
        <v>0</v>
      </c>
      <c r="X41" s="57">
        <v>0</v>
      </c>
      <c r="Y41" s="57">
        <v>0</v>
      </c>
    </row>
    <row r="42" spans="1:52" s="54" customFormat="1" hidden="1" outlineLevel="1">
      <c r="D42" s="146"/>
      <c r="K42" s="146"/>
      <c r="L42" s="146"/>
      <c r="M42" s="146"/>
      <c r="N42" s="146"/>
    </row>
    <row r="43" spans="1:52" s="54" customFormat="1" hidden="1" outlineLevel="1">
      <c r="A43" s="54" t="s">
        <v>430</v>
      </c>
      <c r="C43" s="54">
        <f>IF(C41=0,1,0)</f>
        <v>0</v>
      </c>
      <c r="D43" s="146">
        <f t="shared" ref="D43:Y43" si="11">IF(D41=0,1,0)</f>
        <v>0</v>
      </c>
      <c r="E43" s="146">
        <f t="shared" si="11"/>
        <v>0</v>
      </c>
      <c r="F43" s="146">
        <f t="shared" si="11"/>
        <v>0</v>
      </c>
      <c r="G43" s="146">
        <f t="shared" si="11"/>
        <v>0</v>
      </c>
      <c r="H43" s="146">
        <f t="shared" si="11"/>
        <v>0</v>
      </c>
      <c r="I43" s="146">
        <f t="shared" si="11"/>
        <v>0</v>
      </c>
      <c r="J43" s="146">
        <f t="shared" si="11"/>
        <v>0</v>
      </c>
      <c r="K43" s="146">
        <f t="shared" si="11"/>
        <v>1</v>
      </c>
      <c r="L43" s="146">
        <f t="shared" si="11"/>
        <v>1</v>
      </c>
      <c r="M43" s="146">
        <f t="shared" si="11"/>
        <v>1</v>
      </c>
      <c r="N43" s="146">
        <f t="shared" si="11"/>
        <v>1</v>
      </c>
      <c r="O43" s="146">
        <f t="shared" si="11"/>
        <v>1</v>
      </c>
      <c r="P43" s="146">
        <f t="shared" si="11"/>
        <v>1</v>
      </c>
      <c r="Q43" s="146">
        <f t="shared" si="11"/>
        <v>1</v>
      </c>
      <c r="R43" s="146">
        <f t="shared" si="11"/>
        <v>0</v>
      </c>
      <c r="S43" s="146">
        <f t="shared" si="11"/>
        <v>1</v>
      </c>
      <c r="T43" s="146">
        <f t="shared" si="11"/>
        <v>1</v>
      </c>
      <c r="U43" s="146">
        <f t="shared" si="11"/>
        <v>1</v>
      </c>
      <c r="V43" s="146">
        <f t="shared" si="11"/>
        <v>1</v>
      </c>
      <c r="W43" s="146">
        <f t="shared" si="11"/>
        <v>1</v>
      </c>
      <c r="X43" s="146">
        <f t="shared" si="11"/>
        <v>1</v>
      </c>
      <c r="Y43" s="146">
        <f t="shared" si="11"/>
        <v>1</v>
      </c>
    </row>
    <row r="44" spans="1:52" s="54" customFormat="1" collapsed="1">
      <c r="D44" s="146"/>
      <c r="K44" s="146"/>
      <c r="L44" s="146"/>
      <c r="M44" s="146"/>
      <c r="N44" s="146"/>
    </row>
    <row r="45" spans="1:52">
      <c r="C45" s="54"/>
      <c r="E45" s="146"/>
      <c r="F45" s="146"/>
      <c r="G45" s="146"/>
      <c r="H45" s="146"/>
      <c r="I45" s="146"/>
      <c r="J45" s="146"/>
      <c r="O45" s="146"/>
      <c r="P45" s="146"/>
      <c r="Q45" s="146"/>
      <c r="R45" s="146"/>
      <c r="S45" s="146"/>
      <c r="T45" s="146"/>
      <c r="U45" s="146"/>
      <c r="V45" s="146"/>
      <c r="W45" s="146"/>
      <c r="X45" s="146"/>
      <c r="Y45" s="146"/>
    </row>
    <row r="46" spans="1:52">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52">
      <c r="C47" s="146"/>
      <c r="E47" s="146"/>
      <c r="F47" s="146"/>
      <c r="G47" s="146"/>
      <c r="H47" s="157"/>
      <c r="I47" s="157"/>
      <c r="J47" s="157"/>
      <c r="K47" s="157"/>
      <c r="L47" s="157"/>
      <c r="M47" s="157"/>
      <c r="N47" s="157"/>
      <c r="O47" s="157"/>
      <c r="P47" s="157"/>
      <c r="Q47" s="157"/>
      <c r="R47" s="157"/>
      <c r="S47" s="157"/>
      <c r="T47" s="157"/>
      <c r="U47" s="157"/>
      <c r="V47" s="157"/>
      <c r="W47" s="157"/>
      <c r="X47" s="157"/>
      <c r="Y47" s="157"/>
    </row>
    <row r="48" spans="1:52">
      <c r="C48" s="146"/>
      <c r="E48" s="146"/>
      <c r="F48" s="146"/>
      <c r="G48" s="146"/>
      <c r="H48" s="146"/>
      <c r="I48" s="146"/>
      <c r="J48" s="146"/>
      <c r="O48" s="146"/>
      <c r="P48" s="146"/>
      <c r="Q48" s="146"/>
      <c r="R48" s="146"/>
      <c r="S48" s="146"/>
      <c r="T48" s="146"/>
      <c r="U48" s="146"/>
      <c r="V48" s="146"/>
      <c r="W48" s="146"/>
      <c r="X48" s="146"/>
      <c r="Y48" s="146"/>
    </row>
    <row r="49" spans="3:25">
      <c r="C49" s="146"/>
      <c r="E49" s="146"/>
      <c r="F49" s="146"/>
      <c r="G49" s="146"/>
      <c r="H49" s="146"/>
      <c r="I49" s="146"/>
      <c r="J49" s="146"/>
      <c r="O49" s="146"/>
      <c r="P49" s="146"/>
      <c r="Q49" s="146"/>
      <c r="R49" s="146"/>
      <c r="S49" s="146"/>
      <c r="T49" s="146"/>
      <c r="U49" s="146"/>
      <c r="V49" s="146"/>
      <c r="W49" s="146"/>
      <c r="X49" s="146"/>
      <c r="Y49" s="146"/>
    </row>
    <row r="50" spans="3:25">
      <c r="C50" s="146"/>
      <c r="E50" s="146"/>
      <c r="F50" s="146"/>
      <c r="G50" s="146"/>
      <c r="H50" s="146"/>
      <c r="I50" s="146"/>
      <c r="J50" s="146"/>
      <c r="O50" s="146"/>
      <c r="P50" s="146"/>
      <c r="Q50" s="146"/>
      <c r="R50" s="146"/>
      <c r="S50" s="146"/>
      <c r="T50" s="146"/>
      <c r="U50" s="146"/>
      <c r="V50" s="146"/>
      <c r="W50" s="146"/>
      <c r="X50" s="146"/>
      <c r="Y50" s="146"/>
    </row>
    <row r="51" spans="3:25">
      <c r="C51" s="146"/>
      <c r="E51" s="146"/>
      <c r="F51" s="146"/>
      <c r="G51" s="146"/>
      <c r="H51" s="146"/>
      <c r="I51" s="146"/>
      <c r="J51" s="146"/>
      <c r="O51" s="146"/>
      <c r="P51" s="146"/>
      <c r="Q51" s="146"/>
      <c r="R51" s="146"/>
      <c r="S51" s="146"/>
      <c r="T51" s="146"/>
      <c r="U51" s="146"/>
      <c r="V51" s="146"/>
      <c r="W51" s="146"/>
      <c r="X51" s="146"/>
      <c r="Y51" s="146"/>
    </row>
    <row r="52" spans="3:25">
      <c r="C52" s="146"/>
      <c r="E52" s="146"/>
      <c r="F52" s="146"/>
      <c r="G52" s="146"/>
      <c r="H52" s="146"/>
      <c r="I52" s="146"/>
      <c r="J52" s="146"/>
      <c r="O52" s="146"/>
      <c r="P52" s="146"/>
      <c r="Q52" s="146"/>
      <c r="R52" s="146"/>
      <c r="S52" s="146"/>
      <c r="T52" s="146"/>
      <c r="U52" s="146"/>
      <c r="V52" s="146"/>
      <c r="W52" s="146"/>
      <c r="X52" s="146"/>
      <c r="Y52" s="146"/>
    </row>
    <row r="53" spans="3:25">
      <c r="C53" s="146"/>
      <c r="E53" s="146"/>
      <c r="F53" s="146"/>
      <c r="G53" s="146"/>
      <c r="H53" s="146"/>
      <c r="I53" s="146"/>
      <c r="J53" s="146"/>
      <c r="O53" s="146"/>
      <c r="P53" s="146"/>
      <c r="Q53" s="146"/>
      <c r="R53" s="146"/>
      <c r="S53" s="146"/>
      <c r="T53" s="146"/>
      <c r="U53" s="146"/>
      <c r="V53" s="146"/>
      <c r="W53" s="146"/>
      <c r="X53" s="146"/>
      <c r="Y53" s="146"/>
    </row>
    <row r="54" spans="3:25">
      <c r="C54" s="146"/>
      <c r="E54" s="146"/>
      <c r="F54" s="146"/>
      <c r="G54" s="146"/>
      <c r="H54" s="146"/>
      <c r="I54" s="146"/>
      <c r="J54" s="146"/>
      <c r="O54" s="146"/>
      <c r="P54" s="146"/>
      <c r="Q54" s="146"/>
      <c r="R54" s="146"/>
      <c r="S54" s="146"/>
      <c r="T54" s="146"/>
      <c r="U54" s="146"/>
      <c r="V54" s="146"/>
      <c r="W54" s="146"/>
      <c r="X54" s="146"/>
      <c r="Y54" s="146"/>
    </row>
    <row r="55" spans="3:25">
      <c r="C55" s="146"/>
      <c r="E55" s="146"/>
      <c r="F55" s="146"/>
      <c r="G55" s="146"/>
      <c r="H55" s="146"/>
      <c r="I55" s="146"/>
      <c r="J55" s="146"/>
      <c r="O55" s="146"/>
      <c r="P55" s="146"/>
      <c r="Q55" s="146"/>
      <c r="R55" s="146"/>
      <c r="S55" s="146"/>
      <c r="T55" s="146"/>
      <c r="U55" s="146"/>
      <c r="V55" s="146"/>
      <c r="W55" s="146"/>
      <c r="X55" s="146"/>
      <c r="Y55" s="146"/>
    </row>
    <row r="56" spans="3:25">
      <c r="C56" s="146"/>
      <c r="E56" s="146"/>
      <c r="F56" s="146"/>
      <c r="G56" s="146"/>
      <c r="H56" s="146"/>
      <c r="I56" s="146"/>
      <c r="J56" s="146"/>
      <c r="O56" s="146"/>
      <c r="P56" s="146"/>
      <c r="Q56" s="146"/>
      <c r="R56" s="146"/>
      <c r="S56" s="146"/>
      <c r="T56" s="146"/>
      <c r="U56" s="146"/>
      <c r="V56" s="146"/>
      <c r="W56" s="146"/>
      <c r="X56" s="146"/>
      <c r="Y56" s="146"/>
    </row>
    <row r="57" spans="3:25">
      <c r="C57" s="146"/>
      <c r="E57" s="146"/>
      <c r="F57" s="146"/>
      <c r="G57" s="146"/>
      <c r="H57" s="146"/>
      <c r="I57" s="146"/>
      <c r="J57" s="146"/>
      <c r="O57" s="146"/>
      <c r="P57" s="146"/>
      <c r="Q57" s="146"/>
      <c r="R57" s="146"/>
      <c r="S57" s="146"/>
      <c r="T57" s="146"/>
      <c r="U57" s="146"/>
      <c r="V57" s="146"/>
      <c r="W57" s="146"/>
      <c r="X57" s="146"/>
      <c r="Y57" s="146"/>
    </row>
    <row r="58" spans="3:25">
      <c r="C58" s="146"/>
      <c r="E58" s="146"/>
      <c r="F58" s="146"/>
      <c r="G58" s="146"/>
      <c r="H58" s="146"/>
      <c r="I58" s="146"/>
      <c r="J58" s="146"/>
      <c r="O58" s="146"/>
      <c r="P58" s="146"/>
      <c r="Q58" s="146"/>
      <c r="R58" s="146"/>
      <c r="S58" s="146"/>
      <c r="T58" s="146"/>
      <c r="U58" s="146"/>
      <c r="V58" s="146"/>
      <c r="W58" s="146"/>
      <c r="X58" s="146"/>
      <c r="Y58" s="146"/>
    </row>
  </sheetData>
  <mergeCells count="12">
    <mergeCell ref="F2:J2"/>
    <mergeCell ref="S2:U2"/>
    <mergeCell ref="R1:S1"/>
    <mergeCell ref="T1:Y1"/>
    <mergeCell ref="L2:N2"/>
    <mergeCell ref="AA2:AC2"/>
    <mergeCell ref="AA10:AA11"/>
    <mergeCell ref="AA3:AC3"/>
    <mergeCell ref="AA4:AC4"/>
    <mergeCell ref="AA5:AC5"/>
    <mergeCell ref="AA6:AC6"/>
    <mergeCell ref="AA7:AC7"/>
  </mergeCells>
  <conditionalFormatting sqref="B37:Y37">
    <cfRule type="cellIs" dxfId="47" priority="1" operator="notEqual">
      <formula>0</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W37"/>
  <sheetViews>
    <sheetView workbookViewId="0">
      <selection activeCell="G22" sqref="G22"/>
    </sheetView>
  </sheetViews>
  <sheetFormatPr baseColWidth="10" defaultRowHeight="15" outlineLevelCol="2"/>
  <cols>
    <col min="1" max="1" width="27.140625" customWidth="1"/>
    <col min="4" max="7" width="11.5703125" customWidth="1" outlineLevel="1"/>
    <col min="12" max="12" width="18.28515625" hidden="1" customWidth="1" outlineLevel="2"/>
    <col min="13" max="21" width="11.5703125" hidden="1" customWidth="1" outlineLevel="2"/>
    <col min="22" max="22" width="11.5703125" collapsed="1"/>
  </cols>
  <sheetData>
    <row r="1" spans="1:23">
      <c r="A1" s="234" t="s">
        <v>461</v>
      </c>
      <c r="C1" s="194" t="s">
        <v>131</v>
      </c>
      <c r="D1" s="123" t="s">
        <v>403</v>
      </c>
      <c r="E1" s="123" t="s">
        <v>400</v>
      </c>
      <c r="F1" s="123" t="s">
        <v>400</v>
      </c>
      <c r="G1" s="123" t="s">
        <v>131</v>
      </c>
      <c r="L1" t="s">
        <v>245</v>
      </c>
    </row>
    <row r="2" spans="1:23">
      <c r="C2" s="194" t="s">
        <v>126</v>
      </c>
      <c r="D2" s="123" t="s">
        <v>123</v>
      </c>
      <c r="E2" s="123" t="s">
        <v>124</v>
      </c>
      <c r="F2" s="123" t="s">
        <v>125</v>
      </c>
      <c r="G2" s="123" t="s">
        <v>404</v>
      </c>
      <c r="L2" t="s">
        <v>411</v>
      </c>
    </row>
    <row r="3" spans="1:23">
      <c r="A3" s="500" t="s">
        <v>36</v>
      </c>
      <c r="B3" s="123" t="s">
        <v>127</v>
      </c>
      <c r="C3" s="198">
        <f>'Bilan Energétique'!AA27</f>
        <v>28.636948746763931</v>
      </c>
      <c r="D3" s="198"/>
      <c r="E3" s="198"/>
      <c r="F3" s="198"/>
      <c r="G3" s="198"/>
    </row>
    <row r="4" spans="1:23">
      <c r="A4" s="501"/>
      <c r="B4" s="123" t="s">
        <v>128</v>
      </c>
      <c r="C4" s="223">
        <v>26.603832233141201</v>
      </c>
      <c r="D4" s="223">
        <v>22.226456693877655</v>
      </c>
      <c r="E4" s="223">
        <v>2.217286152316738</v>
      </c>
      <c r="F4" s="223">
        <v>2.7643992497406584</v>
      </c>
      <c r="G4" s="223">
        <v>3.498152409032917</v>
      </c>
      <c r="H4" s="11"/>
    </row>
    <row r="5" spans="1:23">
      <c r="A5" s="500" t="s">
        <v>129</v>
      </c>
      <c r="B5" s="123" t="s">
        <v>127</v>
      </c>
      <c r="C5" s="198">
        <f>'Bilan Energétique'!AA28</f>
        <v>19.996791994265024</v>
      </c>
      <c r="D5" s="198"/>
      <c r="E5" s="198"/>
      <c r="F5" s="198"/>
      <c r="G5" s="198"/>
      <c r="H5" s="11"/>
    </row>
    <row r="6" spans="1:23">
      <c r="A6" s="501"/>
      <c r="B6" s="123" t="s">
        <v>49</v>
      </c>
      <c r="C6" s="224">
        <v>3</v>
      </c>
      <c r="D6" s="302"/>
      <c r="E6" s="302"/>
      <c r="F6" s="302"/>
      <c r="G6" s="302"/>
    </row>
    <row r="7" spans="1:23">
      <c r="A7" s="500" t="s">
        <v>32</v>
      </c>
      <c r="B7" s="123" t="s">
        <v>127</v>
      </c>
      <c r="C7" s="198">
        <f>'Bilan Energétique'!AA29</f>
        <v>7.6771049238223172</v>
      </c>
      <c r="D7" s="198"/>
      <c r="E7" s="198"/>
      <c r="F7" s="198"/>
      <c r="G7" s="198"/>
    </row>
    <row r="8" spans="1:23">
      <c r="A8" s="501"/>
      <c r="B8" s="123" t="s">
        <v>49</v>
      </c>
      <c r="C8" s="224">
        <v>0</v>
      </c>
      <c r="D8" s="302"/>
      <c r="E8" s="302"/>
      <c r="F8" s="302"/>
      <c r="G8" s="302"/>
      <c r="L8" t="s">
        <v>267</v>
      </c>
      <c r="W8" s="146"/>
    </row>
    <row r="9" spans="1:23">
      <c r="A9" s="500" t="s">
        <v>33</v>
      </c>
      <c r="B9" s="123" t="s">
        <v>127</v>
      </c>
      <c r="C9" s="225">
        <f>'Bilan Energétique'!AA30</f>
        <v>91.200809667069521</v>
      </c>
      <c r="D9" s="198"/>
      <c r="E9" s="198"/>
      <c r="F9" s="198"/>
      <c r="G9" s="198"/>
      <c r="L9" t="s">
        <v>401</v>
      </c>
      <c r="M9" s="158" t="s">
        <v>306</v>
      </c>
      <c r="W9" s="146"/>
    </row>
    <row r="10" spans="1:23">
      <c r="A10" s="501"/>
      <c r="B10" s="123" t="s">
        <v>49</v>
      </c>
      <c r="C10" s="224">
        <v>1.3</v>
      </c>
      <c r="D10" s="302"/>
      <c r="E10" s="302"/>
      <c r="F10" s="302"/>
      <c r="G10" s="302"/>
      <c r="L10" t="s">
        <v>402</v>
      </c>
      <c r="W10" s="146"/>
    </row>
    <row r="11" spans="1:23">
      <c r="A11" s="500" t="s">
        <v>34</v>
      </c>
      <c r="B11" s="123" t="s">
        <v>127</v>
      </c>
      <c r="C11" s="225">
        <f>'Bilan Energétique'!AA31</f>
        <v>9.6516878440071352</v>
      </c>
      <c r="D11" s="198"/>
      <c r="E11" s="198"/>
      <c r="F11" s="198"/>
      <c r="G11" s="198"/>
      <c r="H11" s="11"/>
      <c r="W11" s="146"/>
    </row>
    <row r="12" spans="1:23">
      <c r="A12" s="501"/>
      <c r="B12" s="123" t="s">
        <v>49</v>
      </c>
      <c r="C12" s="225">
        <v>86.9</v>
      </c>
      <c r="D12" s="225">
        <v>23.349573303021266</v>
      </c>
      <c r="E12" s="225">
        <v>1741.3859674594544</v>
      </c>
      <c r="F12" s="225">
        <v>129.6413492790995</v>
      </c>
      <c r="G12" s="198"/>
      <c r="H12" s="11"/>
      <c r="L12" t="s">
        <v>405</v>
      </c>
      <c r="W12" s="146"/>
    </row>
    <row r="13" spans="1:23">
      <c r="A13" s="500" t="s">
        <v>408</v>
      </c>
      <c r="B13" s="123" t="s">
        <v>127</v>
      </c>
      <c r="C13" s="198">
        <f>'Bilan Energétique'!AA25</f>
        <v>39.234269018053055</v>
      </c>
      <c r="D13" s="198"/>
      <c r="E13" s="198"/>
      <c r="F13" s="198"/>
      <c r="G13" s="198"/>
      <c r="H13" s="11"/>
      <c r="L13" t="s">
        <v>406</v>
      </c>
      <c r="M13" s="11">
        <f>U14/1000</f>
        <v>3.3213365390958693</v>
      </c>
      <c r="N13" s="11">
        <f>N14/1000</f>
        <v>2.2675509170224384</v>
      </c>
      <c r="O13" s="11">
        <f>O14</f>
        <v>41.679666270389127</v>
      </c>
      <c r="P13" s="11">
        <f>P14</f>
        <v>3.9577064811085104E-2</v>
      </c>
      <c r="Q13" s="11">
        <f>SUM(Q14:T14)/1000</f>
        <v>0</v>
      </c>
      <c r="R13" s="11"/>
      <c r="S13" s="146"/>
      <c r="T13" s="146"/>
      <c r="W13" s="146"/>
    </row>
    <row r="14" spans="1:23" s="146" customFormat="1">
      <c r="A14" s="501"/>
      <c r="B14" s="123" t="s">
        <v>49</v>
      </c>
      <c r="C14" s="223">
        <v>3.3213365390958693</v>
      </c>
      <c r="D14" s="223">
        <v>2.2675509170224384</v>
      </c>
      <c r="E14" s="223">
        <v>41.679666270389127</v>
      </c>
      <c r="F14" s="223">
        <v>3.9577064811085104E-2</v>
      </c>
      <c r="G14" s="223">
        <v>0</v>
      </c>
      <c r="H14" s="11"/>
      <c r="L14" t="s">
        <v>407</v>
      </c>
      <c r="M14"/>
      <c r="N14">
        <v>2267.5509170224382</v>
      </c>
      <c r="O14">
        <v>41.679666270389127</v>
      </c>
      <c r="P14">
        <v>3.9577064811085104E-2</v>
      </c>
      <c r="Q14">
        <v>0</v>
      </c>
      <c r="R14">
        <v>0</v>
      </c>
      <c r="S14">
        <v>0</v>
      </c>
      <c r="T14">
        <v>0</v>
      </c>
      <c r="U14" s="146">
        <v>3321.3365390958693</v>
      </c>
    </row>
    <row r="15" spans="1:23">
      <c r="A15" s="502" t="s">
        <v>26</v>
      </c>
      <c r="B15" s="503"/>
      <c r="C15" s="223">
        <v>9.0000132113813578</v>
      </c>
      <c r="D15" s="223">
        <v>1.514920750020667</v>
      </c>
      <c r="E15" s="223">
        <v>267.9894711081954</v>
      </c>
      <c r="F15" s="223">
        <v>2.6354217572342482</v>
      </c>
      <c r="G15" s="223">
        <v>0</v>
      </c>
      <c r="W15" s="146"/>
    </row>
    <row r="16" spans="1:23" s="146" customFormat="1">
      <c r="A16" s="502" t="s">
        <v>130</v>
      </c>
      <c r="B16" s="503"/>
      <c r="C16" s="224">
        <v>1</v>
      </c>
      <c r="D16" s="302"/>
      <c r="E16" s="302"/>
      <c r="F16" s="302"/>
      <c r="G16" s="302"/>
    </row>
    <row r="17" spans="1:14" s="146" customFormat="1">
      <c r="A17" s="502" t="s">
        <v>409</v>
      </c>
      <c r="B17" s="503"/>
      <c r="C17" s="226">
        <f>C3+C5+C7+C9+C11+C13</f>
        <v>196.39761219398099</v>
      </c>
      <c r="N17" s="11"/>
    </row>
    <row r="18" spans="1:14">
      <c r="A18" s="502" t="s">
        <v>410</v>
      </c>
      <c r="B18" s="503"/>
      <c r="C18" s="226">
        <f>C4+C6+C8+C10+C12+C14+C15</f>
        <v>130.12518198361843</v>
      </c>
      <c r="N18" s="11"/>
    </row>
    <row r="19" spans="1:14">
      <c r="A19" s="498" t="s">
        <v>358</v>
      </c>
      <c r="B19" s="499"/>
      <c r="C19" s="227">
        <f>SUM(C3:C15)</f>
        <v>326.52279417759939</v>
      </c>
      <c r="N19" s="11"/>
    </row>
    <row r="20" spans="1:14">
      <c r="N20" s="11"/>
    </row>
    <row r="21" spans="1:14">
      <c r="A21" s="502" t="s">
        <v>288</v>
      </c>
      <c r="B21" s="503"/>
      <c r="C21" s="198">
        <f>'Puits C'!D4</f>
        <v>45.626305111740194</v>
      </c>
      <c r="N21" s="11"/>
    </row>
    <row r="22" spans="1:14">
      <c r="A22" s="502" t="s">
        <v>269</v>
      </c>
      <c r="B22" s="503"/>
      <c r="C22" s="198">
        <f>'Puits C'!D14</f>
        <v>0</v>
      </c>
      <c r="N22" s="11"/>
    </row>
    <row r="23" spans="1:14">
      <c r="A23" s="502" t="s">
        <v>287</v>
      </c>
      <c r="B23" s="503"/>
      <c r="C23" s="198">
        <f>'Puits C'!D19</f>
        <v>0</v>
      </c>
      <c r="N23" s="11"/>
    </row>
    <row r="24" spans="1:14">
      <c r="A24" s="502" t="s">
        <v>270</v>
      </c>
      <c r="B24" s="503"/>
      <c r="C24" s="198">
        <f>'Puits C'!D22</f>
        <v>0</v>
      </c>
      <c r="N24" s="11"/>
    </row>
    <row r="25" spans="1:14">
      <c r="A25" s="498" t="s">
        <v>359</v>
      </c>
      <c r="B25" s="499"/>
      <c r="C25" s="227">
        <f>'Puits C'!D3</f>
        <v>45.626305111740194</v>
      </c>
      <c r="N25" s="11"/>
    </row>
    <row r="27" spans="1:14">
      <c r="A27" s="498" t="s">
        <v>360</v>
      </c>
      <c r="B27" s="499"/>
      <c r="C27" s="227">
        <f>C19-C25</f>
        <v>280.89648906585921</v>
      </c>
      <c r="N27" s="11"/>
    </row>
    <row r="28" spans="1:14">
      <c r="N28" s="11"/>
    </row>
    <row r="29" spans="1:14">
      <c r="N29" s="11"/>
    </row>
    <row r="30" spans="1:14">
      <c r="N30" s="11"/>
    </row>
    <row r="32" spans="1:14">
      <c r="N32" s="11"/>
    </row>
    <row r="33" spans="14:14">
      <c r="N33" s="11"/>
    </row>
    <row r="35" spans="14:14">
      <c r="N35" s="11"/>
    </row>
    <row r="36" spans="14:14">
      <c r="N36" s="11"/>
    </row>
    <row r="37" spans="14:14">
      <c r="N37" s="11"/>
    </row>
  </sheetData>
  <mergeCells count="17">
    <mergeCell ref="A27:B27"/>
    <mergeCell ref="A21:B21"/>
    <mergeCell ref="A22:B22"/>
    <mergeCell ref="A23:B23"/>
    <mergeCell ref="A24:B24"/>
    <mergeCell ref="A25:B25"/>
    <mergeCell ref="A19:B19"/>
    <mergeCell ref="A3:A4"/>
    <mergeCell ref="A5:A6"/>
    <mergeCell ref="A7:A8"/>
    <mergeCell ref="A9:A10"/>
    <mergeCell ref="A11:A12"/>
    <mergeCell ref="A13:A14"/>
    <mergeCell ref="A15:B15"/>
    <mergeCell ref="A16:B16"/>
    <mergeCell ref="A17:B17"/>
    <mergeCell ref="A18:B18"/>
  </mergeCells>
  <hyperlinks>
    <hyperlink ref="M9" r:id="rId1"/>
  </hyperlinks>
  <pageMargins left="0.7" right="0.7" top="0.75" bottom="0.75" header="0.3" footer="0.3"/>
  <pageSetup paperSize="9"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K54"/>
  <sheetViews>
    <sheetView workbookViewId="0">
      <selection activeCell="D12" sqref="D12"/>
    </sheetView>
  </sheetViews>
  <sheetFormatPr baseColWidth="10" defaultRowHeight="15"/>
  <cols>
    <col min="1" max="1" width="37" customWidth="1"/>
    <col min="2" max="2" width="14" style="146" customWidth="1"/>
    <col min="3" max="3" width="12.5703125" bestFit="1" customWidth="1"/>
    <col min="4" max="4" width="13.7109375" style="146" customWidth="1"/>
    <col min="5" max="5" width="20" customWidth="1"/>
    <col min="6" max="6" width="52.28515625" style="146" customWidth="1"/>
    <col min="7" max="7" width="101.140625" customWidth="1"/>
  </cols>
  <sheetData>
    <row r="1" spans="1:11" s="146" customFormat="1">
      <c r="B1" s="504" t="s">
        <v>771</v>
      </c>
      <c r="C1" s="504"/>
      <c r="D1" s="504" t="s">
        <v>770</v>
      </c>
      <c r="E1" s="504"/>
    </row>
    <row r="2" spans="1:11">
      <c r="A2" s="413" t="s">
        <v>676</v>
      </c>
      <c r="B2" s="216">
        <v>2015</v>
      </c>
      <c r="C2" s="216">
        <v>2050</v>
      </c>
      <c r="D2" s="216">
        <v>2015</v>
      </c>
      <c r="E2" s="216" t="s">
        <v>472</v>
      </c>
      <c r="F2" s="206" t="s">
        <v>758</v>
      </c>
      <c r="G2" s="206" t="s">
        <v>292</v>
      </c>
    </row>
    <row r="3" spans="1:11" ht="45">
      <c r="A3" s="334" t="s">
        <v>678</v>
      </c>
      <c r="B3" s="435">
        <f>C23</f>
        <v>5220065</v>
      </c>
      <c r="C3" s="435">
        <f>D23</f>
        <v>7153587.7183344997</v>
      </c>
      <c r="D3" s="225">
        <v>5.2</v>
      </c>
      <c r="E3" s="223">
        <f>1.4*D3</f>
        <v>7.2799999999999994</v>
      </c>
      <c r="F3" s="414" t="s">
        <v>738</v>
      </c>
      <c r="G3" s="206" t="s">
        <v>1062</v>
      </c>
    </row>
    <row r="4" spans="1:11">
      <c r="A4" s="334" t="s">
        <v>679</v>
      </c>
      <c r="B4" s="435">
        <f>SUM(C26,C30:C36,C37,C38,C40)</f>
        <v>19786412.884042554</v>
      </c>
      <c r="C4" s="435">
        <f>SUM(D26,D30:D36,D37,D38,D40)</f>
        <v>17577715.663051087</v>
      </c>
      <c r="D4" s="225">
        <v>19.7</v>
      </c>
      <c r="E4" s="225">
        <v>18</v>
      </c>
      <c r="F4" s="206" t="s">
        <v>1063</v>
      </c>
      <c r="G4" s="206" t="s">
        <v>767</v>
      </c>
    </row>
    <row r="5" spans="1:11">
      <c r="A5" s="334" t="s">
        <v>680</v>
      </c>
      <c r="B5" s="435">
        <f>SUM(C28:C29)</f>
        <v>9261956</v>
      </c>
      <c r="C5" s="435">
        <f>SUM(D28:D29)</f>
        <v>7931956</v>
      </c>
      <c r="D5" s="225">
        <v>8.3000000000000007</v>
      </c>
      <c r="E5" s="225">
        <v>7.9</v>
      </c>
      <c r="F5" s="405" t="s">
        <v>765</v>
      </c>
      <c r="G5" s="206" t="s">
        <v>737</v>
      </c>
    </row>
    <row r="6" spans="1:11" ht="30">
      <c r="A6" s="334" t="s">
        <v>681</v>
      </c>
      <c r="B6" s="435">
        <f>C39+C41</f>
        <v>16858634</v>
      </c>
      <c r="C6" s="435">
        <f>D39+D41</f>
        <v>18593514.244585063</v>
      </c>
      <c r="D6" s="225">
        <v>17</v>
      </c>
      <c r="E6" s="438">
        <f>D6+35*(0.015)</f>
        <v>17.524999999999999</v>
      </c>
      <c r="F6" s="206" t="s">
        <v>764</v>
      </c>
      <c r="G6" s="206" t="s">
        <v>774</v>
      </c>
    </row>
    <row r="7" spans="1:11" ht="15.75" thickBot="1">
      <c r="A7" s="334" t="s">
        <v>682</v>
      </c>
      <c r="B7" s="435">
        <f>C24</f>
        <v>4122432</v>
      </c>
      <c r="C7" s="435">
        <f>D24</f>
        <v>3651913.3740293514</v>
      </c>
      <c r="D7" s="225">
        <v>4.7</v>
      </c>
      <c r="E7" s="156">
        <f>B19-SUM(E3:E6)</f>
        <v>4.464500000000001</v>
      </c>
      <c r="F7" s="414" t="s">
        <v>739</v>
      </c>
      <c r="G7" s="206" t="s">
        <v>769</v>
      </c>
    </row>
    <row r="8" spans="1:11" ht="15.75" thickTop="1">
      <c r="A8" s="334" t="s">
        <v>30</v>
      </c>
      <c r="B8" s="435">
        <f>SUM(B3:B7)</f>
        <v>55249499.884042554</v>
      </c>
      <c r="C8" s="435">
        <f>SUM(C3:C7)</f>
        <v>54908687</v>
      </c>
      <c r="D8" s="225">
        <f>SUM(D3:D7)</f>
        <v>54.900000000000006</v>
      </c>
      <c r="E8" s="414">
        <f>SUM(E3:E7)</f>
        <v>55.169499999999999</v>
      </c>
      <c r="I8" s="436"/>
      <c r="J8" s="436"/>
      <c r="K8" s="436"/>
    </row>
    <row r="9" spans="1:11" s="146" customFormat="1">
      <c r="A9" s="335"/>
      <c r="C9" s="323"/>
      <c r="D9" s="323"/>
      <c r="E9" s="412"/>
      <c r="I9" s="436"/>
      <c r="J9" s="436"/>
      <c r="K9" s="436"/>
    </row>
    <row r="10" spans="1:11" s="146" customFormat="1">
      <c r="A10" s="436" t="s">
        <v>460</v>
      </c>
      <c r="C10" s="323"/>
      <c r="D10" s="323"/>
      <c r="E10" s="412"/>
      <c r="I10" s="436"/>
      <c r="J10" s="436"/>
      <c r="K10" s="436"/>
    </row>
    <row r="11" spans="1:11" s="146" customFormat="1">
      <c r="A11" s="437" t="s">
        <v>266</v>
      </c>
      <c r="C11" s="323"/>
      <c r="D11" s="323"/>
      <c r="E11" s="412"/>
      <c r="I11" s="436"/>
      <c r="J11" s="436"/>
      <c r="K11" s="436"/>
    </row>
    <row r="12" spans="1:11" s="146" customFormat="1">
      <c r="A12" s="407" t="s">
        <v>267</v>
      </c>
      <c r="C12" s="323"/>
      <c r="D12" s="323"/>
      <c r="E12" s="412"/>
      <c r="I12" s="436"/>
      <c r="J12" s="436"/>
      <c r="K12" s="436"/>
    </row>
    <row r="13" spans="1:11" s="146" customFormat="1">
      <c r="A13" s="408" t="s">
        <v>415</v>
      </c>
      <c r="C13" s="323"/>
      <c r="D13" s="323"/>
      <c r="E13" s="412"/>
      <c r="I13" s="436"/>
      <c r="J13" s="436"/>
      <c r="K13" s="436"/>
    </row>
    <row r="14" spans="1:11" s="146" customFormat="1">
      <c r="A14" s="409" t="s">
        <v>414</v>
      </c>
      <c r="C14" s="323"/>
      <c r="D14" s="323"/>
      <c r="E14" s="412"/>
      <c r="I14" s="436"/>
      <c r="J14" s="436"/>
      <c r="K14" s="436"/>
    </row>
    <row r="15" spans="1:11" s="146" customFormat="1">
      <c r="A15" s="410" t="s">
        <v>344</v>
      </c>
      <c r="C15" s="323"/>
      <c r="D15" s="323"/>
      <c r="E15" s="412"/>
      <c r="I15" s="436"/>
      <c r="J15" s="436"/>
      <c r="K15" s="436"/>
    </row>
    <row r="16" spans="1:11" s="146" customFormat="1">
      <c r="A16" s="335"/>
      <c r="C16" s="323"/>
      <c r="D16" s="323"/>
      <c r="E16" s="412"/>
      <c r="I16" s="436"/>
      <c r="J16" s="436"/>
      <c r="K16" s="436"/>
    </row>
    <row r="17" spans="1:11" s="146" customFormat="1" ht="18" thickBot="1">
      <c r="A17" s="415" t="s">
        <v>490</v>
      </c>
      <c r="C17" s="323"/>
      <c r="D17" s="323"/>
      <c r="E17" s="412"/>
      <c r="I17" s="436"/>
      <c r="J17" s="436"/>
      <c r="K17" s="436"/>
    </row>
    <row r="18" spans="1:11" ht="15.75" thickTop="1">
      <c r="I18" s="436"/>
      <c r="J18" s="436"/>
      <c r="K18" s="436"/>
    </row>
    <row r="19" spans="1:11" ht="30">
      <c r="A19" s="416" t="s">
        <v>768</v>
      </c>
      <c r="B19" s="411">
        <v>55.169499999999999</v>
      </c>
      <c r="I19" s="436"/>
      <c r="J19" s="436"/>
      <c r="K19" s="436"/>
    </row>
    <row r="20" spans="1:11">
      <c r="I20" s="436"/>
      <c r="J20" s="436"/>
      <c r="K20" s="436"/>
    </row>
    <row r="21" spans="1:11">
      <c r="A21" s="417" t="s">
        <v>762</v>
      </c>
      <c r="I21" s="436"/>
      <c r="J21" s="436"/>
      <c r="K21" s="436"/>
    </row>
    <row r="22" spans="1:11" ht="30">
      <c r="A22" s="424" t="s">
        <v>759</v>
      </c>
      <c r="B22" s="206" t="s">
        <v>757</v>
      </c>
      <c r="C22" s="206" t="s">
        <v>760</v>
      </c>
      <c r="D22" s="206" t="s">
        <v>761</v>
      </c>
      <c r="I22" s="436"/>
      <c r="J22" s="436"/>
      <c r="K22" s="436"/>
    </row>
    <row r="23" spans="1:11">
      <c r="A23" s="414" t="s">
        <v>738</v>
      </c>
      <c r="B23" s="206">
        <v>59</v>
      </c>
      <c r="C23" s="418">
        <v>5220065</v>
      </c>
      <c r="D23" s="418">
        <v>7153587.7183344997</v>
      </c>
      <c r="I23" s="436"/>
      <c r="J23" s="436"/>
      <c r="K23" s="436"/>
    </row>
    <row r="24" spans="1:11">
      <c r="A24" s="414" t="s">
        <v>739</v>
      </c>
      <c r="B24" s="206">
        <v>60</v>
      </c>
      <c r="C24" s="418">
        <v>4122432</v>
      </c>
      <c r="D24" s="418">
        <v>3651913.3740293514</v>
      </c>
      <c r="I24" s="436"/>
      <c r="J24" s="436"/>
      <c r="K24" s="436"/>
    </row>
    <row r="25" spans="1:11" ht="60">
      <c r="A25" s="434" t="s">
        <v>766</v>
      </c>
      <c r="B25" s="206">
        <v>65</v>
      </c>
      <c r="C25" s="426">
        <v>28938368.884042554</v>
      </c>
      <c r="D25" s="426">
        <v>25399671.663051087</v>
      </c>
      <c r="I25" s="436"/>
      <c r="J25" s="436"/>
      <c r="K25" s="436"/>
    </row>
    <row r="26" spans="1:11" ht="30">
      <c r="A26" s="425" t="s">
        <v>742</v>
      </c>
      <c r="B26" s="206">
        <v>66</v>
      </c>
      <c r="C26" s="426">
        <v>14592213</v>
      </c>
      <c r="D26" s="426">
        <v>13767209.049845658</v>
      </c>
      <c r="H26" s="406"/>
    </row>
    <row r="27" spans="1:11" ht="45">
      <c r="A27" s="425" t="s">
        <v>743</v>
      </c>
      <c r="B27" s="206" t="s">
        <v>763</v>
      </c>
      <c r="C27" s="426">
        <v>12933148.234042553</v>
      </c>
      <c r="D27" s="426">
        <v>10499070.392094623</v>
      </c>
      <c r="H27" s="406"/>
    </row>
    <row r="28" spans="1:11" ht="30">
      <c r="A28" s="414" t="s">
        <v>747</v>
      </c>
      <c r="B28" s="405">
        <v>97</v>
      </c>
      <c r="C28" s="427">
        <v>1747938</v>
      </c>
      <c r="D28" s="419">
        <v>1117938</v>
      </c>
      <c r="H28" s="406"/>
    </row>
    <row r="29" spans="1:11">
      <c r="A29" s="414" t="s">
        <v>748</v>
      </c>
      <c r="B29" s="405">
        <v>98</v>
      </c>
      <c r="C29" s="427">
        <v>7514018</v>
      </c>
      <c r="D29" s="419">
        <v>6814018</v>
      </c>
      <c r="H29" s="406"/>
    </row>
    <row r="30" spans="1:11">
      <c r="A30" s="414" t="s">
        <v>749</v>
      </c>
      <c r="B30" s="405">
        <v>99</v>
      </c>
      <c r="C30" s="427"/>
      <c r="D30" s="420"/>
      <c r="H30" s="406"/>
    </row>
    <row r="31" spans="1:11">
      <c r="A31" s="414" t="s">
        <v>750</v>
      </c>
      <c r="B31" s="405">
        <v>100</v>
      </c>
      <c r="C31" s="427">
        <v>283710</v>
      </c>
      <c r="D31" s="428">
        <v>496000</v>
      </c>
      <c r="H31" s="406"/>
    </row>
    <row r="32" spans="1:11">
      <c r="A32" s="414" t="s">
        <v>751</v>
      </c>
      <c r="B32" s="405">
        <v>101</v>
      </c>
      <c r="C32" s="427"/>
      <c r="D32" s="421"/>
      <c r="H32" s="406"/>
    </row>
    <row r="33" spans="1:9">
      <c r="A33" s="414" t="s">
        <v>752</v>
      </c>
      <c r="B33" s="405">
        <v>102</v>
      </c>
      <c r="C33" s="421">
        <v>2721795</v>
      </c>
      <c r="D33" s="421">
        <v>1550000</v>
      </c>
      <c r="H33" s="406"/>
    </row>
    <row r="34" spans="1:9">
      <c r="A34" s="414" t="s">
        <v>753</v>
      </c>
      <c r="B34" s="405">
        <v>103</v>
      </c>
      <c r="C34" s="429">
        <v>46480.851063829803</v>
      </c>
      <c r="D34" s="421">
        <v>43245.068820624379</v>
      </c>
      <c r="H34" s="406"/>
    </row>
    <row r="35" spans="1:9">
      <c r="A35" s="414" t="s">
        <v>754</v>
      </c>
      <c r="B35" s="405">
        <v>104</v>
      </c>
      <c r="C35" s="429">
        <v>19206.382978723399</v>
      </c>
      <c r="D35" s="421">
        <v>17869.323273998718</v>
      </c>
      <c r="H35" s="406"/>
    </row>
    <row r="36" spans="1:9">
      <c r="A36" s="414" t="s">
        <v>755</v>
      </c>
      <c r="B36" s="405">
        <v>105</v>
      </c>
      <c r="C36" s="429">
        <v>600000</v>
      </c>
      <c r="D36" s="421">
        <v>460000</v>
      </c>
      <c r="I36" s="406"/>
    </row>
    <row r="37" spans="1:9" ht="30">
      <c r="A37" s="422" t="s">
        <v>741</v>
      </c>
      <c r="B37" s="206" t="s">
        <v>756</v>
      </c>
      <c r="C37" s="426">
        <f>C25-C26-C27-C38</f>
        <v>954952.65000000037</v>
      </c>
      <c r="D37" s="426">
        <f>D25-D26-D27-D38</f>
        <v>675337.22111080587</v>
      </c>
      <c r="H37" s="406"/>
    </row>
    <row r="38" spans="1:9">
      <c r="A38" s="414" t="s">
        <v>740</v>
      </c>
      <c r="B38" s="405">
        <v>126</v>
      </c>
      <c r="C38" s="430">
        <v>458055</v>
      </c>
      <c r="D38" s="423">
        <v>458055</v>
      </c>
    </row>
    <row r="39" spans="1:9">
      <c r="A39" s="206" t="s">
        <v>744</v>
      </c>
      <c r="B39" s="206">
        <v>246</v>
      </c>
      <c r="C39" s="431">
        <v>16489522</v>
      </c>
      <c r="D39" s="426">
        <v>18224402.244585063</v>
      </c>
    </row>
    <row r="40" spans="1:9">
      <c r="A40" s="414" t="s">
        <v>746</v>
      </c>
      <c r="B40" s="206">
        <v>257</v>
      </c>
      <c r="C40" s="429">
        <v>110000</v>
      </c>
      <c r="D40" s="427">
        <v>110000</v>
      </c>
    </row>
    <row r="41" spans="1:9">
      <c r="A41" s="432" t="s">
        <v>745</v>
      </c>
      <c r="B41" s="206">
        <v>258</v>
      </c>
      <c r="C41" s="426">
        <v>369112</v>
      </c>
      <c r="D41" s="433">
        <v>369112</v>
      </c>
    </row>
    <row r="43" spans="1:9">
      <c r="A43" s="146"/>
      <c r="C43" s="146"/>
      <c r="E43" s="146"/>
      <c r="G43" s="146"/>
      <c r="H43" s="146"/>
    </row>
    <row r="44" spans="1:9">
      <c r="A44" s="146"/>
      <c r="C44" s="146"/>
      <c r="E44" s="146"/>
      <c r="G44" s="146"/>
      <c r="H44" s="146"/>
    </row>
    <row r="45" spans="1:9">
      <c r="A45" s="146"/>
      <c r="C45" s="146"/>
      <c r="E45" s="146"/>
      <c r="G45" s="146"/>
      <c r="H45" s="146"/>
    </row>
    <row r="46" spans="1:9">
      <c r="A46" s="146"/>
      <c r="C46" s="146"/>
      <c r="E46" s="146"/>
      <c r="G46" s="146"/>
      <c r="H46" s="146"/>
    </row>
    <row r="47" spans="1:9">
      <c r="A47" s="146"/>
      <c r="C47" s="146"/>
      <c r="E47" s="146"/>
      <c r="G47" s="146"/>
      <c r="H47" s="146"/>
    </row>
    <row r="48" spans="1:9">
      <c r="A48" s="146"/>
      <c r="C48" s="146"/>
      <c r="E48" s="146"/>
      <c r="G48" s="146"/>
      <c r="H48" s="146"/>
    </row>
    <row r="49" spans="1:8">
      <c r="A49" s="146"/>
      <c r="C49" s="146"/>
      <c r="E49" s="146"/>
      <c r="G49" s="146"/>
      <c r="H49" s="146"/>
    </row>
    <row r="50" spans="1:8">
      <c r="A50" s="146"/>
      <c r="C50" s="146"/>
      <c r="E50" s="146"/>
      <c r="G50" s="146"/>
      <c r="H50" s="146"/>
    </row>
    <row r="51" spans="1:8">
      <c r="A51" s="146"/>
      <c r="C51" s="146"/>
      <c r="E51" s="146"/>
      <c r="G51" s="146"/>
      <c r="H51" s="146"/>
    </row>
    <row r="52" spans="1:8">
      <c r="A52" s="146"/>
      <c r="C52" s="146"/>
      <c r="E52" s="146"/>
      <c r="G52" s="146"/>
      <c r="H52" s="146"/>
    </row>
    <row r="53" spans="1:8">
      <c r="A53" s="146"/>
      <c r="C53" s="146"/>
      <c r="E53" s="146"/>
      <c r="G53" s="146"/>
      <c r="H53" s="146"/>
    </row>
    <row r="54" spans="1:8">
      <c r="A54" s="146"/>
      <c r="C54" s="146"/>
      <c r="E54" s="146"/>
      <c r="G54" s="146"/>
      <c r="H54" s="146"/>
    </row>
  </sheetData>
  <mergeCells count="2">
    <mergeCell ref="B1:C1"/>
    <mergeCell ref="D1:E1"/>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EX77"/>
  <sheetViews>
    <sheetView topLeftCell="A28" zoomScaleNormal="100" workbookViewId="0">
      <selection activeCell="B32" sqref="B32:I46"/>
    </sheetView>
  </sheetViews>
  <sheetFormatPr baseColWidth="10" defaultColWidth="11.5703125" defaultRowHeight="15"/>
  <cols>
    <col min="1" max="1" width="11.5703125" style="146"/>
    <col min="2" max="2" width="34" style="146" customWidth="1"/>
    <col min="3" max="3" width="10.7109375" style="146" customWidth="1"/>
    <col min="4" max="4" width="10.5703125" style="146" customWidth="1"/>
    <col min="5" max="21" width="11.5703125" style="146"/>
    <col min="22" max="22" width="24" style="146" customWidth="1"/>
    <col min="23" max="16384" width="11.5703125" style="146"/>
  </cols>
  <sheetData>
    <row r="1" spans="2:29">
      <c r="B1" s="320" t="s">
        <v>651</v>
      </c>
      <c r="C1" s="320"/>
      <c r="D1" s="320"/>
      <c r="E1" s="320"/>
      <c r="F1" s="320"/>
    </row>
    <row r="2" spans="2:29">
      <c r="B2" s="146" t="s">
        <v>652</v>
      </c>
    </row>
    <row r="3" spans="2:29">
      <c r="B3" s="146" t="s">
        <v>653</v>
      </c>
    </row>
    <row r="4" spans="2:29">
      <c r="V4" s="146" t="s">
        <v>712</v>
      </c>
    </row>
    <row r="5" spans="2:29">
      <c r="B5" s="321" t="s">
        <v>654</v>
      </c>
    </row>
    <row r="6" spans="2:29" ht="16.5" thickBot="1">
      <c r="C6" s="234">
        <v>2015</v>
      </c>
      <c r="D6" s="234" t="s">
        <v>703</v>
      </c>
      <c r="E6" s="322" t="s">
        <v>704</v>
      </c>
      <c r="F6" s="322" t="s">
        <v>657</v>
      </c>
      <c r="G6" s="322" t="s">
        <v>658</v>
      </c>
      <c r="H6" s="322" t="s">
        <v>659</v>
      </c>
      <c r="I6" s="322" t="s">
        <v>660</v>
      </c>
      <c r="V6" s="341" t="s">
        <v>692</v>
      </c>
      <c r="W6" s="342"/>
      <c r="X6" s="342"/>
      <c r="Y6" s="342"/>
      <c r="Z6" s="342"/>
      <c r="AA6" s="342"/>
      <c r="AB6" s="342"/>
      <c r="AC6" s="343" t="s">
        <v>56</v>
      </c>
    </row>
    <row r="7" spans="2:29" ht="15.75" thickBot="1">
      <c r="B7" s="123" t="s">
        <v>20</v>
      </c>
      <c r="C7" s="146">
        <v>173</v>
      </c>
      <c r="D7" s="323">
        <v>425</v>
      </c>
      <c r="E7" s="444">
        <f>SUM('Bilan Energétique'!S32:U32,Electricité!D6,Chaleur!D6)</f>
        <v>322.05608113054825</v>
      </c>
      <c r="F7" s="123">
        <v>200</v>
      </c>
      <c r="G7" s="123">
        <v>300</v>
      </c>
      <c r="H7" s="123">
        <v>400</v>
      </c>
      <c r="I7" s="123">
        <v>300</v>
      </c>
      <c r="V7" s="344" t="s">
        <v>57</v>
      </c>
      <c r="W7" s="345">
        <v>2000</v>
      </c>
      <c r="X7" s="345">
        <v>2015</v>
      </c>
      <c r="Y7" s="345">
        <v>2020</v>
      </c>
      <c r="Z7" s="345">
        <v>2025</v>
      </c>
      <c r="AA7" s="345">
        <v>2030</v>
      </c>
      <c r="AB7" s="345">
        <v>2050</v>
      </c>
      <c r="AC7" s="343"/>
    </row>
    <row r="8" spans="2:29">
      <c r="B8" s="123" t="s">
        <v>661</v>
      </c>
      <c r="C8" s="323">
        <f>433-C9</f>
        <v>108.25</v>
      </c>
      <c r="D8" s="323">
        <f>0.5*625</f>
        <v>312.5</v>
      </c>
      <c r="E8" s="328">
        <f>SUM(Electricité!D4:D5,Electricité!D7)</f>
        <v>262.596</v>
      </c>
      <c r="F8" s="123">
        <v>300</v>
      </c>
      <c r="G8" s="123">
        <v>400</v>
      </c>
      <c r="H8" s="123">
        <v>400</v>
      </c>
      <c r="I8" s="123">
        <v>300</v>
      </c>
      <c r="V8" s="346" t="s">
        <v>693</v>
      </c>
      <c r="W8" s="347">
        <v>22.800202114011199</v>
      </c>
      <c r="X8" s="347">
        <v>15.676734311156499</v>
      </c>
      <c r="Y8" s="347">
        <v>12.9234541054449</v>
      </c>
      <c r="Z8" s="347">
        <v>9.5895397047905799</v>
      </c>
      <c r="AA8" s="347">
        <v>5.7819887111288697</v>
      </c>
      <c r="AB8" s="347">
        <v>0.56322748731722905</v>
      </c>
      <c r="AC8" s="348">
        <f>11.63*AB8</f>
        <v>6.5503356774993744</v>
      </c>
    </row>
    <row r="9" spans="2:29">
      <c r="B9" s="123" t="s">
        <v>133</v>
      </c>
      <c r="C9" s="323">
        <f>75%*433</f>
        <v>324.75</v>
      </c>
      <c r="D9" s="323">
        <f>0.5*625</f>
        <v>312.5</v>
      </c>
      <c r="E9" s="328">
        <f>Electricité!D3</f>
        <v>275.06273412350816</v>
      </c>
      <c r="F9" s="123">
        <v>30</v>
      </c>
      <c r="G9" s="123">
        <v>30</v>
      </c>
      <c r="H9" s="123">
        <v>300</v>
      </c>
      <c r="I9" s="123">
        <v>400</v>
      </c>
      <c r="V9" s="346" t="s">
        <v>694</v>
      </c>
      <c r="W9" s="347">
        <v>42.525236267061501</v>
      </c>
      <c r="X9" s="347">
        <v>41.2568231632508</v>
      </c>
      <c r="Y9" s="347">
        <v>39.993700353435401</v>
      </c>
      <c r="Z9" s="347">
        <v>35.2519244610112</v>
      </c>
      <c r="AA9" s="347">
        <v>29.885055316714201</v>
      </c>
      <c r="AB9" s="347">
        <v>4.9695590114814401</v>
      </c>
      <c r="AC9" s="348">
        <f t="shared" ref="AC9:AC20" si="0">11.63*AB9</f>
        <v>57.79597130352915</v>
      </c>
    </row>
    <row r="10" spans="2:29">
      <c r="B10" s="123" t="s">
        <v>662</v>
      </c>
      <c r="C10" s="146">
        <f>710+355+61</f>
        <v>1126</v>
      </c>
      <c r="D10" s="323">
        <v>55</v>
      </c>
      <c r="E10" s="328">
        <f>SUM('Bilan Energétique'!C32:J32,'Bilan Energétique'!R32,Electricité!D8:D9,'H2 Industrie'!D5,Chaleur!D3:D5)</f>
        <v>692.73196415587336</v>
      </c>
      <c r="F10" s="123">
        <v>300</v>
      </c>
      <c r="G10" s="123">
        <v>350</v>
      </c>
      <c r="H10" s="123">
        <v>400</v>
      </c>
      <c r="I10" s="123">
        <v>500</v>
      </c>
      <c r="V10" s="349" t="s">
        <v>695</v>
      </c>
      <c r="W10" s="350">
        <v>32.847868625078497</v>
      </c>
      <c r="X10" s="350">
        <v>31.138511820886499</v>
      </c>
      <c r="Y10" s="350">
        <v>30.174638004964699</v>
      </c>
      <c r="Z10" s="350">
        <v>27.065278972896401</v>
      </c>
      <c r="AA10" s="350">
        <v>23.2586945814571</v>
      </c>
      <c r="AB10" s="350">
        <v>7.1296876763004997</v>
      </c>
      <c r="AC10" s="348">
        <f t="shared" si="0"/>
        <v>82.918267675374821</v>
      </c>
    </row>
    <row r="11" spans="2:29">
      <c r="B11" s="324" t="s">
        <v>663</v>
      </c>
      <c r="C11" s="325"/>
      <c r="D11" s="325"/>
      <c r="E11" s="328"/>
      <c r="F11" s="123">
        <f>0</f>
        <v>0</v>
      </c>
      <c r="G11" s="123">
        <f>-40</f>
        <v>-40</v>
      </c>
      <c r="H11" s="123">
        <f>-100</f>
        <v>-100</v>
      </c>
      <c r="I11" s="123">
        <f>-200</f>
        <v>-200</v>
      </c>
      <c r="V11" s="349" t="s">
        <v>696</v>
      </c>
      <c r="W11" s="350">
        <v>0</v>
      </c>
      <c r="X11" s="350">
        <v>8.4067737661288E-2</v>
      </c>
      <c r="Y11" s="350">
        <v>0.177188399740834</v>
      </c>
      <c r="Z11" s="350">
        <v>0.45902890397400098</v>
      </c>
      <c r="AA11" s="350">
        <v>0.93047307809883095</v>
      </c>
      <c r="AB11" s="350">
        <v>3.6028639370370201</v>
      </c>
      <c r="AC11" s="348">
        <f t="shared" si="0"/>
        <v>41.901307587740547</v>
      </c>
    </row>
    <row r="12" spans="2:29">
      <c r="B12" s="316" t="s">
        <v>664</v>
      </c>
      <c r="C12" s="146">
        <f>SUM(C7:C10)</f>
        <v>1732</v>
      </c>
      <c r="D12" s="321">
        <f>SUM(D7:D11)</f>
        <v>1105</v>
      </c>
      <c r="E12" s="329">
        <f>SUM(E7:E11)</f>
        <v>1552.4467794099298</v>
      </c>
      <c r="F12" s="321">
        <f>F7+F8+F9+F10</f>
        <v>830</v>
      </c>
      <c r="G12" s="321">
        <f>G7+G8+G9+G10</f>
        <v>1080</v>
      </c>
      <c r="H12" s="321">
        <f>H7+H8+H9+H10</f>
        <v>1500</v>
      </c>
      <c r="I12" s="321">
        <f>I7+I8+I9+I10</f>
        <v>1500</v>
      </c>
      <c r="V12" s="349" t="s">
        <v>11</v>
      </c>
      <c r="W12" s="350">
        <v>6.7202903804985699</v>
      </c>
      <c r="X12" s="350">
        <v>4.5044560140469603</v>
      </c>
      <c r="Y12" s="350">
        <v>3.3198094170969599</v>
      </c>
      <c r="Z12" s="350">
        <v>2.5423677932736601</v>
      </c>
      <c r="AA12" s="350">
        <v>2.1404310060694498</v>
      </c>
      <c r="AB12" s="350">
        <v>0.74476022441954903</v>
      </c>
      <c r="AC12" s="348">
        <f t="shared" si="0"/>
        <v>8.6615614099993561</v>
      </c>
    </row>
    <row r="13" spans="2:29">
      <c r="B13" s="326" t="s">
        <v>665</v>
      </c>
      <c r="D13" s="157">
        <f t="shared" ref="D13:I13" si="1">($C$12-D12)/$C$12</f>
        <v>0.36200923787528866</v>
      </c>
      <c r="E13" s="157">
        <f t="shared" si="1"/>
        <v>0.10366814121828531</v>
      </c>
      <c r="F13" s="157">
        <f t="shared" si="1"/>
        <v>0.52078521939953815</v>
      </c>
      <c r="G13" s="157">
        <f t="shared" si="1"/>
        <v>0.37644341801385683</v>
      </c>
      <c r="H13" s="157">
        <f t="shared" si="1"/>
        <v>0.13394919168591224</v>
      </c>
      <c r="I13" s="157">
        <f t="shared" si="1"/>
        <v>0.13394919168591224</v>
      </c>
      <c r="V13" s="349" t="s">
        <v>19</v>
      </c>
      <c r="W13" s="350">
        <v>32.608098341652799</v>
      </c>
      <c r="X13" s="350">
        <v>37.404573888182497</v>
      </c>
      <c r="Y13" s="350">
        <v>37.447955077623703</v>
      </c>
      <c r="Z13" s="350">
        <v>37.021432694702298</v>
      </c>
      <c r="AA13" s="350">
        <v>36.727079284166997</v>
      </c>
      <c r="AB13" s="350">
        <v>45.016078268538202</v>
      </c>
      <c r="AC13" s="348">
        <f t="shared" si="0"/>
        <v>523.53699026309937</v>
      </c>
    </row>
    <row r="14" spans="2:29">
      <c r="V14" s="349" t="s">
        <v>697</v>
      </c>
      <c r="W14" s="350">
        <v>3.6136280543802299</v>
      </c>
      <c r="X14" s="350">
        <v>3.6699588780089201</v>
      </c>
      <c r="Y14" s="350">
        <v>3.8148615628395999</v>
      </c>
      <c r="Z14" s="350">
        <v>4.2081695732746196</v>
      </c>
      <c r="AA14" s="350">
        <v>4.4932148754867596</v>
      </c>
      <c r="AB14" s="350">
        <v>4.2797913311968898</v>
      </c>
      <c r="AC14" s="348">
        <f t="shared" si="0"/>
        <v>49.773973181819834</v>
      </c>
    </row>
    <row r="15" spans="2:29">
      <c r="V15" s="349" t="s">
        <v>698</v>
      </c>
      <c r="W15" s="347">
        <v>8.2636079446488804</v>
      </c>
      <c r="X15" s="347">
        <v>6.5588130397120503</v>
      </c>
      <c r="Y15" s="347">
        <v>7.4792340395840498</v>
      </c>
      <c r="Z15" s="347">
        <v>8.1936096524261401</v>
      </c>
      <c r="AA15" s="347">
        <v>9.2879951420401401</v>
      </c>
      <c r="AB15" s="347">
        <v>6.2547065010281502</v>
      </c>
      <c r="AC15" s="348">
        <f t="shared" si="0"/>
        <v>72.742236606957391</v>
      </c>
    </row>
    <row r="16" spans="2:29">
      <c r="V16" s="349" t="s">
        <v>699</v>
      </c>
      <c r="W16" s="347">
        <v>2.0606803808999999E-2</v>
      </c>
      <c r="X16" s="347">
        <v>0.18356931712348601</v>
      </c>
      <c r="Y16" s="347">
        <v>0.40661888915980998</v>
      </c>
      <c r="Z16" s="347">
        <v>0.58609109640498702</v>
      </c>
      <c r="AA16" s="347">
        <v>0.68973618165658801</v>
      </c>
      <c r="AB16" s="347">
        <v>0.75457844856283396</v>
      </c>
      <c r="AC16" s="348">
        <f t="shared" si="0"/>
        <v>8.7757473567857591</v>
      </c>
    </row>
    <row r="17" spans="2:33">
      <c r="V17" s="349" t="s">
        <v>700</v>
      </c>
      <c r="W17" s="347">
        <v>0</v>
      </c>
      <c r="X17" s="347">
        <v>1.0918858520141099</v>
      </c>
      <c r="Y17" s="347">
        <v>1.5762339690403799</v>
      </c>
      <c r="Z17" s="347">
        <v>2.3973967126256399</v>
      </c>
      <c r="AA17" s="347">
        <v>3.2469417094936301</v>
      </c>
      <c r="AB17" s="347">
        <v>5.62457932982388</v>
      </c>
      <c r="AC17" s="348">
        <f t="shared" si="0"/>
        <v>65.413857605851732</v>
      </c>
    </row>
    <row r="18" spans="2:33">
      <c r="B18" s="327" t="s">
        <v>666</v>
      </c>
      <c r="V18" s="349" t="s">
        <v>28</v>
      </c>
      <c r="W18" s="347">
        <v>0</v>
      </c>
      <c r="X18" s="347">
        <v>0</v>
      </c>
      <c r="Y18" s="347">
        <v>0</v>
      </c>
      <c r="Z18" s="347">
        <v>0</v>
      </c>
      <c r="AA18" s="347">
        <v>0</v>
      </c>
      <c r="AB18" s="347">
        <v>8.5984522785898507E-2</v>
      </c>
      <c r="AC18" s="348">
        <f t="shared" si="0"/>
        <v>0.99999999999999967</v>
      </c>
    </row>
    <row r="19" spans="2:33">
      <c r="C19" s="234">
        <v>2015</v>
      </c>
      <c r="D19" s="234" t="s">
        <v>655</v>
      </c>
      <c r="E19" s="322" t="s">
        <v>656</v>
      </c>
      <c r="F19" s="322" t="s">
        <v>657</v>
      </c>
      <c r="G19" s="322" t="s">
        <v>658</v>
      </c>
      <c r="H19" s="322" t="s">
        <v>659</v>
      </c>
      <c r="I19" s="322" t="s">
        <v>660</v>
      </c>
      <c r="V19" s="349"/>
      <c r="W19" s="350"/>
      <c r="X19" s="350"/>
      <c r="Y19" s="350"/>
      <c r="Z19" s="350"/>
      <c r="AA19" s="350"/>
      <c r="AB19" s="350"/>
      <c r="AC19" s="348">
        <f t="shared" si="0"/>
        <v>0</v>
      </c>
    </row>
    <row r="20" spans="2:33" ht="15.75" thickBot="1">
      <c r="B20" s="146" t="s">
        <v>718</v>
      </c>
      <c r="C20" s="323">
        <f>AD26</f>
        <v>442.89879466849811</v>
      </c>
      <c r="D20" s="323">
        <f>AD33</f>
        <v>530.76240884175638</v>
      </c>
      <c r="E20" s="444">
        <f>'Bilan Energétique'!O32</f>
        <v>608.2081801570414</v>
      </c>
      <c r="F20" s="123">
        <v>400</v>
      </c>
      <c r="G20" s="123">
        <v>500</v>
      </c>
      <c r="H20" s="123">
        <v>500</v>
      </c>
      <c r="I20" s="123">
        <v>500</v>
      </c>
      <c r="V20" s="351" t="s">
        <v>30</v>
      </c>
      <c r="W20" s="352">
        <v>149.39953853114099</v>
      </c>
      <c r="X20" s="352">
        <v>141.56939402204301</v>
      </c>
      <c r="Y20" s="352">
        <v>137.31369381893001</v>
      </c>
      <c r="Z20" s="352">
        <v>127.31483956538</v>
      </c>
      <c r="AA20" s="352">
        <v>116.441609886313</v>
      </c>
      <c r="AB20" s="352">
        <v>79.025816738491599</v>
      </c>
      <c r="AC20" s="348">
        <f t="shared" si="0"/>
        <v>919.07024866865731</v>
      </c>
    </row>
    <row r="21" spans="2:33">
      <c r="B21" s="146" t="s">
        <v>794</v>
      </c>
      <c r="C21" s="323">
        <f>Z26+AF26</f>
        <v>341.8261710564322</v>
      </c>
      <c r="D21" s="323">
        <f>Z33</f>
        <v>117.79497299910679</v>
      </c>
      <c r="E21" s="328">
        <f>SUM('Bilan Energétique'!R32:S32)</f>
        <v>322.27126681428626</v>
      </c>
      <c r="F21" s="328">
        <f>0.5*C21</f>
        <v>170.9130855282161</v>
      </c>
      <c r="G21" s="328">
        <f>0.66*C21</f>
        <v>225.60527289724527</v>
      </c>
      <c r="H21" s="328">
        <f>G21</f>
        <v>225.60527289724527</v>
      </c>
      <c r="I21" s="328">
        <f>C21</f>
        <v>341.8261710564322</v>
      </c>
    </row>
    <row r="22" spans="2:33">
      <c r="B22" s="146" t="s">
        <v>28</v>
      </c>
      <c r="C22" s="323"/>
      <c r="D22" s="12">
        <f>AF33</f>
        <v>0.99999999999999967</v>
      </c>
      <c r="E22" s="443">
        <f>'Bilan Energétique'!Q32</f>
        <v>18.934504051973676</v>
      </c>
      <c r="F22" s="328"/>
      <c r="G22" s="328"/>
      <c r="H22" s="328"/>
      <c r="I22" s="328"/>
    </row>
    <row r="23" spans="2:33">
      <c r="B23" s="146" t="s">
        <v>694</v>
      </c>
      <c r="C23" s="323">
        <f>Y26</f>
        <v>642.27105910308751</v>
      </c>
      <c r="D23" s="323">
        <f>Y33</f>
        <v>17.006490038139823</v>
      </c>
      <c r="E23" s="328">
        <f>SUM('Bilan Energétique'!F32:I32,'Bilan Energétique'!U32)</f>
        <v>412.3852767672696</v>
      </c>
      <c r="F23" s="123"/>
      <c r="G23" s="123"/>
      <c r="H23" s="123"/>
      <c r="I23" s="123"/>
      <c r="V23" s="146">
        <v>2015</v>
      </c>
    </row>
    <row r="24" spans="2:33" ht="15.75">
      <c r="B24" s="146" t="s">
        <v>667</v>
      </c>
      <c r="C24" s="323">
        <f>AE26+AC26</f>
        <v>200.95280355083642</v>
      </c>
      <c r="D24" s="323">
        <f>AC33+AE33</f>
        <v>265.60999612902697</v>
      </c>
      <c r="E24" s="328">
        <f>SUM('Bilan Energétique'!P32,'Bilan Energétique'!T32)</f>
        <v>211.42587270428331</v>
      </c>
      <c r="F24" s="123"/>
      <c r="G24" s="123"/>
      <c r="H24" s="123"/>
      <c r="I24" s="123"/>
      <c r="V24" s="369"/>
      <c r="W24" s="370" t="s">
        <v>11</v>
      </c>
      <c r="X24" s="370" t="s">
        <v>313</v>
      </c>
      <c r="Y24" s="370" t="s">
        <v>314</v>
      </c>
      <c r="Z24" s="371" t="s">
        <v>132</v>
      </c>
      <c r="AA24" s="371" t="s">
        <v>133</v>
      </c>
      <c r="AB24" s="371" t="s">
        <v>315</v>
      </c>
      <c r="AC24" s="370" t="s">
        <v>134</v>
      </c>
      <c r="AD24" s="370" t="s">
        <v>316</v>
      </c>
      <c r="AE24" s="370" t="s">
        <v>135</v>
      </c>
      <c r="AF24" s="370" t="s">
        <v>136</v>
      </c>
      <c r="AG24" s="370" t="s">
        <v>30</v>
      </c>
    </row>
    <row r="25" spans="2:33" ht="15.75">
      <c r="B25" s="146" t="s">
        <v>11</v>
      </c>
      <c r="C25" s="323">
        <f>W26</f>
        <v>13.157723465357719</v>
      </c>
      <c r="D25" s="445">
        <f>W33</f>
        <v>2.5745555115885228E-2</v>
      </c>
      <c r="E25" s="198">
        <f>'Bilan Energétique'!C32</f>
        <v>0.1815230079069215</v>
      </c>
      <c r="F25" s="123"/>
      <c r="G25" s="123"/>
      <c r="H25" s="123"/>
      <c r="I25" s="123"/>
      <c r="V25" s="147" t="s">
        <v>713</v>
      </c>
      <c r="W25" s="188">
        <v>1.1313605731176026</v>
      </c>
      <c r="X25" s="188">
        <v>0</v>
      </c>
      <c r="Y25" s="188">
        <v>55.22537051617261</v>
      </c>
      <c r="Z25" s="188">
        <v>29.391760194018246</v>
      </c>
      <c r="AA25" s="188">
        <v>0</v>
      </c>
      <c r="AB25" s="188">
        <v>0</v>
      </c>
      <c r="AC25" s="188">
        <v>14.208244683061297</v>
      </c>
      <c r="AD25" s="188">
        <v>38.082441502020473</v>
      </c>
      <c r="AE25" s="188">
        <v>3.0705862327457898</v>
      </c>
      <c r="AF25" s="188"/>
      <c r="AG25" s="190">
        <f t="shared" ref="AG25" si="2">SUM(W25:AE25)</f>
        <v>141.10976370113602</v>
      </c>
    </row>
    <row r="26" spans="2:33">
      <c r="V26" s="146" t="s">
        <v>56</v>
      </c>
      <c r="W26" s="146">
        <f>11.63*W25</f>
        <v>13.157723465357719</v>
      </c>
      <c r="X26" s="146">
        <f t="shared" ref="X26:AG26" si="3">11.63*X25</f>
        <v>0</v>
      </c>
      <c r="Y26" s="146">
        <f t="shared" si="3"/>
        <v>642.27105910308751</v>
      </c>
      <c r="Z26" s="146">
        <f t="shared" si="3"/>
        <v>341.8261710564322</v>
      </c>
      <c r="AA26" s="146">
        <f t="shared" si="3"/>
        <v>0</v>
      </c>
      <c r="AB26" s="146">
        <f t="shared" si="3"/>
        <v>0</v>
      </c>
      <c r="AC26" s="146">
        <f t="shared" si="3"/>
        <v>165.24188566400289</v>
      </c>
      <c r="AD26" s="146">
        <f t="shared" si="3"/>
        <v>442.89879466849811</v>
      </c>
      <c r="AE26" s="146">
        <f t="shared" si="3"/>
        <v>35.710917886833535</v>
      </c>
      <c r="AF26" s="146">
        <f t="shared" si="3"/>
        <v>0</v>
      </c>
      <c r="AG26" s="146">
        <f t="shared" si="3"/>
        <v>1641.1065518442119</v>
      </c>
    </row>
    <row r="27" spans="2:33">
      <c r="B27" s="146" t="s">
        <v>668</v>
      </c>
      <c r="C27" s="323">
        <f t="shared" ref="C27:I27" si="4">SUM(C20:C25)</f>
        <v>1641.1065518442122</v>
      </c>
      <c r="D27" s="323">
        <f t="shared" si="4"/>
        <v>932.19961356314593</v>
      </c>
      <c r="E27" s="329">
        <f t="shared" si="4"/>
        <v>1573.4066235027612</v>
      </c>
      <c r="F27" s="329">
        <f t="shared" si="4"/>
        <v>570.91308552821613</v>
      </c>
      <c r="G27" s="329">
        <f t="shared" si="4"/>
        <v>725.6052728972453</v>
      </c>
      <c r="H27" s="329">
        <f t="shared" si="4"/>
        <v>725.6052728972453</v>
      </c>
      <c r="I27" s="329">
        <f t="shared" si="4"/>
        <v>841.82617105643226</v>
      </c>
    </row>
    <row r="29" spans="2:33">
      <c r="C29" s="146" t="s">
        <v>669</v>
      </c>
      <c r="D29" s="330" t="str">
        <f t="shared" ref="D29:I29" si="5">IF(ABS(D27-D12)&gt;(0.1*D12),"PROBLEME","")</f>
        <v>PROBLEME</v>
      </c>
      <c r="E29" s="330" t="str">
        <f t="shared" si="5"/>
        <v/>
      </c>
      <c r="F29" s="330" t="str">
        <f t="shared" si="5"/>
        <v>PROBLEME</v>
      </c>
      <c r="G29" s="330" t="str">
        <f t="shared" si="5"/>
        <v>PROBLEME</v>
      </c>
      <c r="H29" s="330" t="str">
        <f t="shared" si="5"/>
        <v>PROBLEME</v>
      </c>
      <c r="I29" s="330" t="str">
        <f t="shared" si="5"/>
        <v>PROBLEME</v>
      </c>
      <c r="V29" s="146" t="s">
        <v>714</v>
      </c>
    </row>
    <row r="30" spans="2:33">
      <c r="V30" s="364" t="s">
        <v>715</v>
      </c>
      <c r="W30" s="146" t="s">
        <v>716</v>
      </c>
    </row>
    <row r="31" spans="2:33" ht="15.75">
      <c r="V31" s="367" t="s">
        <v>57</v>
      </c>
      <c r="W31" s="368" t="s">
        <v>11</v>
      </c>
      <c r="X31" s="368" t="s">
        <v>313</v>
      </c>
      <c r="Y31" s="368" t="s">
        <v>314</v>
      </c>
      <c r="Z31" s="368" t="s">
        <v>132</v>
      </c>
      <c r="AA31" s="368" t="s">
        <v>133</v>
      </c>
      <c r="AB31" s="368" t="s">
        <v>315</v>
      </c>
      <c r="AC31" s="368" t="s">
        <v>134</v>
      </c>
      <c r="AD31" s="368" t="s">
        <v>316</v>
      </c>
      <c r="AE31" s="368" t="s">
        <v>135</v>
      </c>
      <c r="AF31" s="368" t="s">
        <v>136</v>
      </c>
      <c r="AG31" s="368" t="s">
        <v>30</v>
      </c>
    </row>
    <row r="32" spans="2:33" ht="15.75">
      <c r="B32" s="331" t="s">
        <v>213</v>
      </c>
      <c r="V32" s="365" t="s">
        <v>139</v>
      </c>
      <c r="W32" s="366">
        <v>2.2137192704974398E-3</v>
      </c>
      <c r="X32" s="366">
        <v>0</v>
      </c>
      <c r="Y32" s="366">
        <v>1.46229493019259</v>
      </c>
      <c r="Z32" s="366">
        <v>10.128544539906001</v>
      </c>
      <c r="AA32" s="366">
        <v>0</v>
      </c>
      <c r="AB32" s="366">
        <v>0</v>
      </c>
      <c r="AC32" s="366">
        <v>18.749290627591499</v>
      </c>
      <c r="AD32" s="366">
        <v>45.637352436952398</v>
      </c>
      <c r="AE32" s="366">
        <v>4.0890581367272398</v>
      </c>
      <c r="AF32" s="366">
        <v>8.5984522785898507E-2</v>
      </c>
      <c r="AG32" s="366">
        <v>80.1547389134262</v>
      </c>
    </row>
    <row r="33" spans="2:33 16378:16378">
      <c r="C33" s="146">
        <v>2015</v>
      </c>
      <c r="D33" s="146" t="s">
        <v>655</v>
      </c>
      <c r="E33" s="322" t="s">
        <v>656</v>
      </c>
      <c r="F33" s="322" t="s">
        <v>657</v>
      </c>
      <c r="G33" s="322" t="s">
        <v>658</v>
      </c>
      <c r="H33" s="322" t="s">
        <v>659</v>
      </c>
      <c r="I33" s="322" t="s">
        <v>660</v>
      </c>
      <c r="V33" s="146" t="s">
        <v>56</v>
      </c>
      <c r="W33" s="146">
        <f>11.63*W32</f>
        <v>2.5745555115885228E-2</v>
      </c>
      <c r="X33" s="146">
        <f t="shared" ref="X33:AG33" si="6">11.63*X32</f>
        <v>0</v>
      </c>
      <c r="Y33" s="146">
        <f t="shared" si="6"/>
        <v>17.006490038139823</v>
      </c>
      <c r="Z33" s="146">
        <f t="shared" si="6"/>
        <v>117.79497299910679</v>
      </c>
      <c r="AA33" s="146">
        <f t="shared" si="6"/>
        <v>0</v>
      </c>
      <c r="AB33" s="146">
        <f t="shared" si="6"/>
        <v>0</v>
      </c>
      <c r="AC33" s="146">
        <f t="shared" si="6"/>
        <v>218.05424999888916</v>
      </c>
      <c r="AD33" s="146">
        <f t="shared" si="6"/>
        <v>530.76240884175638</v>
      </c>
      <c r="AE33" s="146">
        <f t="shared" si="6"/>
        <v>47.555746130137805</v>
      </c>
      <c r="AF33" s="146">
        <f t="shared" si="6"/>
        <v>0.99999999999999967</v>
      </c>
      <c r="AG33" s="146">
        <f t="shared" si="6"/>
        <v>932.19961356314673</v>
      </c>
    </row>
    <row r="34" spans="2:33 16378:16378">
      <c r="B34" s="123" t="s">
        <v>20</v>
      </c>
      <c r="C34" s="146">
        <v>511</v>
      </c>
      <c r="E34" s="207"/>
      <c r="F34" s="123">
        <v>511</v>
      </c>
      <c r="G34" s="123">
        <v>100</v>
      </c>
      <c r="H34" s="123">
        <v>700</v>
      </c>
      <c r="I34" s="123">
        <v>800</v>
      </c>
    </row>
    <row r="35" spans="2:33 16378:16378">
      <c r="B35" s="324" t="s">
        <v>670</v>
      </c>
      <c r="E35" s="123"/>
      <c r="F35" s="123"/>
      <c r="G35" s="123"/>
      <c r="H35" s="123"/>
      <c r="I35" s="123"/>
    </row>
    <row r="36" spans="2:33 16378:16378">
      <c r="B36" s="324" t="s">
        <v>671</v>
      </c>
      <c r="E36" s="123"/>
      <c r="F36" s="123"/>
      <c r="G36" s="123"/>
      <c r="H36" s="123"/>
      <c r="I36" s="123"/>
    </row>
    <row r="37" spans="2:33 16378:16378">
      <c r="B37" s="123" t="s">
        <v>672</v>
      </c>
      <c r="C37" s="146">
        <v>98</v>
      </c>
      <c r="E37" s="123"/>
      <c r="F37" s="123">
        <v>70</v>
      </c>
      <c r="G37" s="123">
        <v>130</v>
      </c>
      <c r="H37" s="123">
        <v>150</v>
      </c>
      <c r="I37" s="123">
        <v>200</v>
      </c>
    </row>
    <row r="38" spans="2:33 16378:16378">
      <c r="B38" s="324" t="s">
        <v>670</v>
      </c>
      <c r="E38" s="123"/>
      <c r="F38" s="123"/>
      <c r="G38" s="123"/>
      <c r="H38" s="123"/>
      <c r="I38" s="123"/>
    </row>
    <row r="39" spans="2:33 16378:16378">
      <c r="B39" s="324" t="s">
        <v>671</v>
      </c>
      <c r="E39" s="123"/>
      <c r="F39" s="123"/>
      <c r="G39" s="123"/>
      <c r="H39" s="123"/>
      <c r="I39" s="123"/>
    </row>
    <row r="40" spans="2:33 16378:16378">
      <c r="B40" s="123" t="s">
        <v>673</v>
      </c>
      <c r="C40" s="146">
        <v>547</v>
      </c>
      <c r="E40" s="123"/>
      <c r="F40" s="123">
        <v>400</v>
      </c>
      <c r="G40" s="123">
        <v>500</v>
      </c>
      <c r="H40" s="123">
        <v>700</v>
      </c>
      <c r="I40" s="123">
        <v>700</v>
      </c>
    </row>
    <row r="41" spans="2:33 16378:16378">
      <c r="B41" s="324" t="s">
        <v>670</v>
      </c>
      <c r="E41" s="123"/>
      <c r="F41" s="123"/>
      <c r="G41" s="123"/>
      <c r="H41" s="123"/>
      <c r="I41" s="123"/>
    </row>
    <row r="42" spans="2:33 16378:16378">
      <c r="B42" s="324" t="s">
        <v>671</v>
      </c>
      <c r="E42" s="123"/>
      <c r="F42" s="123"/>
      <c r="G42" s="123"/>
      <c r="H42" s="123"/>
      <c r="I42" s="123"/>
    </row>
    <row r="43" spans="2:33 16378:16378">
      <c r="B43" s="123" t="s">
        <v>674</v>
      </c>
      <c r="C43" s="146">
        <v>411</v>
      </c>
      <c r="E43" s="123"/>
      <c r="F43" s="332">
        <v>30</v>
      </c>
      <c r="G43" s="332">
        <v>80</v>
      </c>
      <c r="H43" s="332">
        <v>200</v>
      </c>
      <c r="I43" s="332">
        <v>250</v>
      </c>
    </row>
    <row r="44" spans="2:33 16378:16378">
      <c r="B44" s="324" t="s">
        <v>670</v>
      </c>
      <c r="E44" s="123"/>
      <c r="F44" s="332"/>
      <c r="G44" s="332"/>
      <c r="H44" s="332"/>
      <c r="I44" s="332"/>
    </row>
    <row r="45" spans="2:33 16378:16378">
      <c r="B45" s="324" t="s">
        <v>675</v>
      </c>
      <c r="E45" s="123"/>
      <c r="F45" s="332"/>
      <c r="G45" s="332"/>
      <c r="H45" s="332"/>
      <c r="I45" s="332"/>
    </row>
    <row r="46" spans="2:33 16378:16378">
      <c r="B46" s="316" t="s">
        <v>403</v>
      </c>
      <c r="C46" s="146">
        <f>SUM(C34+C37+C40+C43)</f>
        <v>1567</v>
      </c>
      <c r="F46" s="331">
        <f>SUM(F34+F37+F40+F43)</f>
        <v>1011</v>
      </c>
      <c r="G46" s="331">
        <f>SUM(G34+G37+G40+G43)</f>
        <v>810</v>
      </c>
      <c r="H46" s="331">
        <f>SUM(H34+H37+H40+H43)</f>
        <v>1750</v>
      </c>
      <c r="I46" s="331">
        <f>SUM(I34+I37+I40+I43)</f>
        <v>1950</v>
      </c>
    </row>
    <row r="48" spans="2:33 16378:16378">
      <c r="B48" s="333" t="s">
        <v>676</v>
      </c>
      <c r="C48" s="146">
        <v>2015</v>
      </c>
      <c r="D48" s="146" t="s">
        <v>655</v>
      </c>
      <c r="E48" s="234" t="s">
        <v>656</v>
      </c>
      <c r="F48" s="322" t="s">
        <v>657</v>
      </c>
      <c r="G48" s="322" t="s">
        <v>658</v>
      </c>
      <c r="H48" s="322" t="s">
        <v>659</v>
      </c>
      <c r="I48" s="322" t="s">
        <v>660</v>
      </c>
      <c r="XEX48" s="146" t="s">
        <v>677</v>
      </c>
    </row>
    <row r="49" spans="2:9 16378:16378">
      <c r="B49" s="334" t="s">
        <v>678</v>
      </c>
      <c r="C49" s="146">
        <v>5.2</v>
      </c>
      <c r="E49" s="123"/>
      <c r="F49" s="315">
        <v>5</v>
      </c>
      <c r="G49" s="123">
        <v>5.5</v>
      </c>
      <c r="H49" s="123">
        <v>5.8</v>
      </c>
      <c r="I49" s="123">
        <v>6</v>
      </c>
      <c r="XEX49" s="146" t="s">
        <v>677</v>
      </c>
    </row>
    <row r="50" spans="2:9 16378:16378">
      <c r="B50" s="334" t="s">
        <v>679</v>
      </c>
      <c r="C50" s="146">
        <v>19.7</v>
      </c>
      <c r="E50" s="123"/>
      <c r="F50" s="315">
        <v>19</v>
      </c>
      <c r="G50" s="123">
        <v>19</v>
      </c>
      <c r="H50" s="123">
        <v>21</v>
      </c>
      <c r="I50" s="123">
        <v>23</v>
      </c>
    </row>
    <row r="51" spans="2:9 16378:16378">
      <c r="B51" s="334" t="s">
        <v>680</v>
      </c>
      <c r="C51" s="146">
        <v>8.3000000000000007</v>
      </c>
      <c r="E51" s="123"/>
      <c r="F51" s="315">
        <v>8</v>
      </c>
      <c r="G51" s="123">
        <v>8</v>
      </c>
      <c r="H51" s="123">
        <v>6</v>
      </c>
      <c r="I51" s="123">
        <v>6</v>
      </c>
    </row>
    <row r="52" spans="2:9 16378:16378">
      <c r="B52" s="334" t="s">
        <v>681</v>
      </c>
      <c r="C52" s="146">
        <v>17</v>
      </c>
      <c r="E52" s="123"/>
      <c r="F52" s="315">
        <v>17</v>
      </c>
      <c r="G52" s="123">
        <v>18</v>
      </c>
      <c r="H52" s="123">
        <v>19</v>
      </c>
      <c r="I52" s="123">
        <v>16</v>
      </c>
    </row>
    <row r="53" spans="2:9 16378:16378">
      <c r="B53" s="334" t="s">
        <v>682</v>
      </c>
      <c r="C53" s="146">
        <v>4.7</v>
      </c>
      <c r="E53" s="123"/>
      <c r="F53" s="315">
        <v>6</v>
      </c>
      <c r="G53" s="123">
        <v>4.5</v>
      </c>
      <c r="H53" s="123">
        <v>3</v>
      </c>
      <c r="I53" s="123">
        <v>3</v>
      </c>
    </row>
    <row r="54" spans="2:9 16378:16378">
      <c r="B54" s="335" t="s">
        <v>30</v>
      </c>
      <c r="C54" s="146">
        <f>SUM(C49:C53)</f>
        <v>54.900000000000006</v>
      </c>
      <c r="E54" s="123"/>
      <c r="F54" s="336">
        <f>SUM(F49:F53)</f>
        <v>55</v>
      </c>
      <c r="G54" s="336">
        <f t="shared" ref="G54:I54" si="7">SUM(G49:G53)</f>
        <v>55</v>
      </c>
      <c r="H54" s="336">
        <f t="shared" si="7"/>
        <v>54.8</v>
      </c>
      <c r="I54" s="336">
        <f t="shared" si="7"/>
        <v>54</v>
      </c>
    </row>
    <row r="55" spans="2:9 16378:16378">
      <c r="B55" s="337" t="s">
        <v>683</v>
      </c>
      <c r="E55" s="130"/>
      <c r="F55" s="130"/>
      <c r="G55" s="130"/>
      <c r="H55" s="130"/>
    </row>
    <row r="56" spans="2:9 16378:16378">
      <c r="B56" s="334" t="s">
        <v>684</v>
      </c>
      <c r="F56" s="123"/>
      <c r="G56" s="123"/>
      <c r="H56" s="123"/>
      <c r="I56" s="123"/>
    </row>
    <row r="57" spans="2:9 16378:16378">
      <c r="B57" s="334" t="s">
        <v>685</v>
      </c>
      <c r="F57" s="123"/>
      <c r="G57" s="123"/>
      <c r="H57" s="123"/>
      <c r="I57" s="123"/>
    </row>
    <row r="58" spans="2:9 16378:16378">
      <c r="B58" s="334" t="s">
        <v>278</v>
      </c>
      <c r="F58" s="123"/>
      <c r="G58" s="123"/>
      <c r="H58" s="123"/>
      <c r="I58" s="123"/>
    </row>
    <row r="59" spans="2:9 16378:16378">
      <c r="B59" s="334" t="s">
        <v>279</v>
      </c>
      <c r="F59" s="123"/>
      <c r="G59" s="123"/>
      <c r="H59" s="123"/>
      <c r="I59" s="123"/>
    </row>
    <row r="60" spans="2:9 16378:16378">
      <c r="B60" s="334" t="s">
        <v>686</v>
      </c>
      <c r="F60" s="123"/>
      <c r="G60" s="123"/>
      <c r="H60" s="123"/>
      <c r="I60" s="123"/>
    </row>
    <row r="62" spans="2:9 16378:16378">
      <c r="B62" s="338" t="s">
        <v>478</v>
      </c>
      <c r="C62" s="146">
        <v>2015</v>
      </c>
      <c r="D62" s="146" t="s">
        <v>703</v>
      </c>
      <c r="E62" s="234" t="s">
        <v>704</v>
      </c>
      <c r="F62" s="322" t="s">
        <v>657</v>
      </c>
      <c r="G62" s="322" t="s">
        <v>658</v>
      </c>
      <c r="H62" s="322" t="s">
        <v>659</v>
      </c>
      <c r="I62" s="322" t="s">
        <v>660</v>
      </c>
    </row>
    <row r="63" spans="2:9 16378:16378">
      <c r="B63" s="123" t="s">
        <v>123</v>
      </c>
      <c r="C63" s="186">
        <v>328.46451164671782</v>
      </c>
      <c r="D63" s="186">
        <v>20.871818839240404</v>
      </c>
      <c r="E63" s="186">
        <v>277.48961012814937</v>
      </c>
      <c r="F63" s="123">
        <v>50</v>
      </c>
      <c r="G63" s="123">
        <v>100</v>
      </c>
      <c r="H63" s="123">
        <v>200</v>
      </c>
      <c r="I63" s="123">
        <v>300</v>
      </c>
    </row>
    <row r="64" spans="2:9 16378:16378">
      <c r="B64" s="123" t="s">
        <v>124</v>
      </c>
      <c r="C64" s="187">
        <v>56.224923509811639</v>
      </c>
      <c r="D64" s="187">
        <v>31.426418467743346</v>
      </c>
      <c r="E64" s="187">
        <v>44.921306430160321</v>
      </c>
      <c r="F64" s="123">
        <v>50</v>
      </c>
      <c r="G64" s="123">
        <v>70</v>
      </c>
      <c r="H64" s="123">
        <v>80</v>
      </c>
      <c r="I64" s="123">
        <v>80</v>
      </c>
    </row>
    <row r="65" spans="2:9">
      <c r="B65" s="123" t="s">
        <v>125</v>
      </c>
      <c r="C65" s="187">
        <v>41.430865251624766</v>
      </c>
      <c r="D65" s="187">
        <v>22.593791139932421</v>
      </c>
      <c r="E65" s="187">
        <v>37.581187183780358</v>
      </c>
      <c r="F65" s="123">
        <v>30</v>
      </c>
      <c r="G65" s="123">
        <v>30</v>
      </c>
      <c r="H65" s="123">
        <v>30</v>
      </c>
      <c r="I65" s="123">
        <v>50</v>
      </c>
    </row>
    <row r="66" spans="2:9">
      <c r="B66" s="123" t="s">
        <v>701</v>
      </c>
      <c r="C66" s="187">
        <v>19.602413143916745</v>
      </c>
      <c r="D66" s="187">
        <v>2.7390200155613189</v>
      </c>
      <c r="E66" s="187">
        <v>3.498152409032917</v>
      </c>
      <c r="F66" s="123"/>
      <c r="G66" s="123"/>
      <c r="H66" s="123"/>
      <c r="I66" s="123"/>
    </row>
    <row r="67" spans="2:9">
      <c r="B67" s="324" t="s">
        <v>687</v>
      </c>
      <c r="C67" s="187">
        <v>-44.830895244924442</v>
      </c>
      <c r="D67" s="187">
        <v>-69.80071065744373</v>
      </c>
      <c r="E67" s="187">
        <f>'Comparaison AME'!F32/1000</f>
        <v>-45.626305111740194</v>
      </c>
      <c r="F67" s="123">
        <f>-50</f>
        <v>-50</v>
      </c>
      <c r="G67" s="123">
        <v>-60</v>
      </c>
      <c r="H67" s="123">
        <v>-30</v>
      </c>
      <c r="I67" s="123">
        <v>-20</v>
      </c>
    </row>
    <row r="68" spans="2:9">
      <c r="B68" s="324" t="s">
        <v>270</v>
      </c>
      <c r="C68" s="146">
        <v>0</v>
      </c>
      <c r="D68" s="187">
        <v>-15</v>
      </c>
      <c r="E68" s="123">
        <v>0</v>
      </c>
      <c r="F68" s="123">
        <v>0</v>
      </c>
      <c r="G68" s="123">
        <v>-10</v>
      </c>
      <c r="H68" s="123">
        <v>-50</v>
      </c>
      <c r="I68" s="123">
        <v>-50</v>
      </c>
    </row>
    <row r="69" spans="2:9">
      <c r="B69" s="324" t="s">
        <v>272</v>
      </c>
      <c r="C69" s="146">
        <v>0</v>
      </c>
      <c r="D69" s="146">
        <v>0</v>
      </c>
      <c r="E69" s="123">
        <v>0</v>
      </c>
      <c r="F69" s="123">
        <f>-20</f>
        <v>-20</v>
      </c>
      <c r="G69" s="123">
        <v>-50</v>
      </c>
      <c r="H69" s="123">
        <v>-50</v>
      </c>
      <c r="I69" s="123">
        <v>-50</v>
      </c>
    </row>
    <row r="70" spans="2:9">
      <c r="B70" s="324" t="s">
        <v>688</v>
      </c>
      <c r="C70" s="146">
        <v>0</v>
      </c>
      <c r="D70" s="146">
        <v>0</v>
      </c>
      <c r="E70" s="123">
        <v>0</v>
      </c>
      <c r="F70" s="123">
        <v>0</v>
      </c>
      <c r="G70" s="123"/>
      <c r="H70" s="123"/>
      <c r="I70" s="123">
        <v>-200</v>
      </c>
    </row>
    <row r="71" spans="2:9">
      <c r="B71" s="123" t="s">
        <v>689</v>
      </c>
      <c r="E71" s="123"/>
      <c r="F71" s="123"/>
      <c r="G71" s="123"/>
      <c r="H71" s="123"/>
      <c r="I71" s="123"/>
    </row>
    <row r="72" spans="2:9">
      <c r="B72" s="123" t="s">
        <v>690</v>
      </c>
      <c r="E72" s="123"/>
      <c r="F72" s="123"/>
      <c r="G72" s="123"/>
      <c r="H72" s="123"/>
      <c r="I72" s="123"/>
    </row>
    <row r="73" spans="2:9">
      <c r="B73" s="316" t="s">
        <v>691</v>
      </c>
      <c r="E73" s="384">
        <f>SUM(E63:E72)</f>
        <v>317.86395103938275</v>
      </c>
      <c r="F73" s="339"/>
      <c r="G73" s="339"/>
      <c r="H73" s="339"/>
      <c r="I73" s="339"/>
    </row>
    <row r="74" spans="2:9">
      <c r="E74" s="340"/>
      <c r="F74" s="340"/>
      <c r="G74" s="340"/>
      <c r="H74" s="340"/>
    </row>
    <row r="75" spans="2:9">
      <c r="E75" s="340"/>
      <c r="F75" s="340"/>
      <c r="G75" s="340"/>
      <c r="H75" s="340"/>
    </row>
    <row r="76" spans="2:9">
      <c r="E76" s="340"/>
      <c r="F76" s="340"/>
      <c r="G76" s="340"/>
      <c r="H76" s="340"/>
    </row>
    <row r="77" spans="2:9">
      <c r="E77" s="340"/>
      <c r="F77" s="340"/>
      <c r="G77" s="340"/>
      <c r="H77" s="340"/>
    </row>
  </sheetData>
  <conditionalFormatting sqref="W25:AG25">
    <cfRule type="cellIs" dxfId="46" priority="2" operator="equal">
      <formula>0</formula>
    </cfRule>
  </conditionalFormatting>
  <conditionalFormatting sqref="W32:AG32">
    <cfRule type="cellIs" dxfId="45" priority="1" operator="equal">
      <formula>0</formula>
    </cfRule>
  </conditionalFormatting>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L32"/>
  <sheetViews>
    <sheetView topLeftCell="D1" zoomScale="85" zoomScaleNormal="85" workbookViewId="0">
      <selection activeCell="E17" sqref="E17"/>
    </sheetView>
  </sheetViews>
  <sheetFormatPr baseColWidth="10" defaultRowHeight="15" outlineLevelRow="1"/>
  <cols>
    <col min="1" max="1" width="11.5703125" style="54"/>
    <col min="2" max="2" width="11.5703125" style="54" customWidth="1"/>
    <col min="3" max="3" width="32" style="54" customWidth="1"/>
    <col min="4" max="4" width="9.85546875" customWidth="1"/>
    <col min="5" max="5" width="65.5703125" customWidth="1"/>
    <col min="6" max="6" width="10.42578125" customWidth="1"/>
    <col min="7" max="7" width="10.42578125" style="146" customWidth="1"/>
    <col min="8" max="8" width="14.85546875" customWidth="1"/>
    <col min="9" max="9" width="21.5703125" customWidth="1"/>
  </cols>
  <sheetData>
    <row r="1" spans="1:11" ht="24" customHeight="1" thickBot="1">
      <c r="A1" s="545" t="s">
        <v>204</v>
      </c>
      <c r="B1" s="546"/>
      <c r="C1" s="547"/>
    </row>
    <row r="2" spans="1:11" ht="60.75" thickBot="1">
      <c r="B2" s="548" t="s">
        <v>205</v>
      </c>
      <c r="C2" s="549"/>
      <c r="D2" s="216" t="s">
        <v>451</v>
      </c>
      <c r="E2" s="216" t="s">
        <v>424</v>
      </c>
      <c r="F2" s="216" t="s">
        <v>425</v>
      </c>
      <c r="G2" s="216" t="s">
        <v>428</v>
      </c>
      <c r="H2" s="216" t="s">
        <v>291</v>
      </c>
      <c r="I2" s="216" t="s">
        <v>429</v>
      </c>
      <c r="K2" s="217" t="s">
        <v>459</v>
      </c>
    </row>
    <row r="3" spans="1:11" ht="19.899999999999999" customHeight="1">
      <c r="A3" s="550" t="s">
        <v>206</v>
      </c>
      <c r="B3" s="553" t="s">
        <v>207</v>
      </c>
      <c r="C3" s="554"/>
      <c r="D3" s="123" t="s">
        <v>450</v>
      </c>
      <c r="E3" s="206" t="s">
        <v>426</v>
      </c>
      <c r="F3" s="123" t="s">
        <v>56</v>
      </c>
      <c r="G3" s="198">
        <f>11.63*239.514747537295</f>
        <v>2785.5565138587408</v>
      </c>
      <c r="H3" s="208">
        <f>'Bilan Energétique'!B25+'Bilan Energétique'!B32</f>
        <v>2664.2989560849819</v>
      </c>
      <c r="I3" s="199">
        <f>H3/G3-1</f>
        <v>-4.3530819486331196E-2</v>
      </c>
    </row>
    <row r="4" spans="1:11" ht="30">
      <c r="A4" s="551"/>
      <c r="B4" s="555" t="s">
        <v>208</v>
      </c>
      <c r="C4" s="556"/>
      <c r="D4" s="123" t="s">
        <v>450</v>
      </c>
      <c r="E4" s="206" t="s">
        <v>427</v>
      </c>
      <c r="F4" s="123" t="s">
        <v>56</v>
      </c>
      <c r="G4" s="198">
        <f>11.63*(8.26360794464888+1.57591402849085)</f>
        <v>114.43364054761507</v>
      </c>
      <c r="H4" s="198">
        <f>SUM('Bilan Energétique'!S25:U25,'Bilan Energétique'!S32:U32)</f>
        <v>429.29461141681452</v>
      </c>
      <c r="I4" s="209">
        <f>H4/G4-1</f>
        <v>2.7514721139907099</v>
      </c>
    </row>
    <row r="5" spans="1:11" ht="15" customHeight="1" thickBot="1">
      <c r="A5" s="552"/>
      <c r="B5" s="557" t="s">
        <v>209</v>
      </c>
      <c r="C5" s="558"/>
      <c r="D5" s="123" t="s">
        <v>468</v>
      </c>
      <c r="E5" s="123" t="s">
        <v>440</v>
      </c>
      <c r="F5" s="123" t="s">
        <v>441</v>
      </c>
      <c r="G5" s="210">
        <f>'Calcul indicateurs'!D15</f>
        <v>0.56438496024877205</v>
      </c>
      <c r="H5" s="209">
        <f>'Calcul indicateurs'!D9</f>
        <v>0.69878703860319935</v>
      </c>
      <c r="I5" s="199">
        <f>H5/G5-1</f>
        <v>0.23813901471645349</v>
      </c>
    </row>
    <row r="6" spans="1:11" ht="14.45" customHeight="1">
      <c r="A6" s="559" t="s">
        <v>210</v>
      </c>
      <c r="B6" s="562" t="s">
        <v>211</v>
      </c>
      <c r="C6" s="563"/>
      <c r="D6" s="123" t="s">
        <v>450</v>
      </c>
      <c r="E6" s="206" t="s">
        <v>270</v>
      </c>
      <c r="F6" s="123" t="s">
        <v>308</v>
      </c>
      <c r="G6" s="123">
        <v>0</v>
      </c>
      <c r="H6" s="208">
        <f>'Puits C'!D22</f>
        <v>0</v>
      </c>
      <c r="I6" s="199">
        <v>0</v>
      </c>
    </row>
    <row r="7" spans="1:11" ht="14.45" customHeight="1">
      <c r="A7" s="560"/>
      <c r="B7" s="564" t="s">
        <v>246</v>
      </c>
      <c r="C7" s="565"/>
      <c r="D7" s="123" t="s">
        <v>450</v>
      </c>
      <c r="E7" s="206" t="s">
        <v>442</v>
      </c>
      <c r="F7" s="123" t="s">
        <v>308</v>
      </c>
      <c r="G7" s="198">
        <v>44.830895244924449</v>
      </c>
      <c r="H7" s="208">
        <f>'Puits C'!D4+'Puits C'!D14+'Puits C'!D19</f>
        <v>45.626305111740194</v>
      </c>
      <c r="I7" s="199">
        <f>H7/G7-1</f>
        <v>1.7742448873041328E-2</v>
      </c>
    </row>
    <row r="8" spans="1:11" ht="15.75" thickBot="1">
      <c r="A8" s="561"/>
      <c r="B8" s="566" t="s">
        <v>212</v>
      </c>
      <c r="C8" s="567"/>
      <c r="D8" s="123" t="s">
        <v>450</v>
      </c>
      <c r="E8" s="206" t="s">
        <v>443</v>
      </c>
      <c r="F8" s="123" t="s">
        <v>308</v>
      </c>
      <c r="G8" s="198">
        <f>G6+G7</f>
        <v>44.830895244924449</v>
      </c>
      <c r="H8" s="208">
        <f>H6+H7</f>
        <v>45.626305111740194</v>
      </c>
      <c r="I8" s="199">
        <f>H8/G8-1</f>
        <v>1.7742448873041328E-2</v>
      </c>
    </row>
    <row r="9" spans="1:11" ht="14.45" customHeight="1" outlineLevel="1">
      <c r="A9" s="568" t="s">
        <v>213</v>
      </c>
      <c r="B9" s="571" t="s">
        <v>214</v>
      </c>
      <c r="C9" s="572"/>
      <c r="D9" s="220" t="s">
        <v>457</v>
      </c>
      <c r="E9" s="130"/>
    </row>
    <row r="10" spans="1:11" ht="14.45" customHeight="1" outlineLevel="1">
      <c r="A10" s="569"/>
      <c r="B10" s="529" t="s">
        <v>215</v>
      </c>
      <c r="C10" s="529"/>
      <c r="D10" s="220" t="s">
        <v>457</v>
      </c>
      <c r="E10" s="130"/>
    </row>
    <row r="11" spans="1:11" ht="15" customHeight="1" outlineLevel="1" thickBot="1">
      <c r="A11" s="570"/>
      <c r="B11" s="529" t="s">
        <v>216</v>
      </c>
      <c r="C11" s="529"/>
      <c r="D11" s="221" t="s">
        <v>456</v>
      </c>
      <c r="E11" s="130"/>
    </row>
    <row r="12" spans="1:11" ht="17.45" customHeight="1" outlineLevel="1" thickBot="1">
      <c r="A12" s="246" t="s">
        <v>217</v>
      </c>
      <c r="B12" s="518" t="s">
        <v>218</v>
      </c>
      <c r="C12" s="519"/>
      <c r="D12" s="221" t="s">
        <v>458</v>
      </c>
      <c r="E12" s="130"/>
    </row>
    <row r="13" spans="1:11" ht="16.149999999999999" customHeight="1" thickBot="1">
      <c r="A13" s="247"/>
      <c r="B13" s="505" t="s">
        <v>219</v>
      </c>
      <c r="C13" s="506"/>
      <c r="D13" s="130"/>
      <c r="E13" s="130"/>
    </row>
    <row r="14" spans="1:11" ht="14.45" customHeight="1">
      <c r="A14" s="515" t="s">
        <v>206</v>
      </c>
      <c r="B14" s="543" t="s">
        <v>220</v>
      </c>
      <c r="C14" s="544"/>
    </row>
    <row r="15" spans="1:11" ht="14.45" customHeight="1">
      <c r="A15" s="516"/>
      <c r="B15" s="511" t="s">
        <v>445</v>
      </c>
      <c r="C15" s="512"/>
      <c r="D15" s="123" t="s">
        <v>450</v>
      </c>
      <c r="E15" s="215" t="s">
        <v>448</v>
      </c>
      <c r="F15" s="123" t="s">
        <v>441</v>
      </c>
      <c r="G15" s="212">
        <v>0.187</v>
      </c>
      <c r="H15" s="213">
        <f>'Calcul indicateurs'!B26</f>
        <v>0.49271360411793996</v>
      </c>
      <c r="I15" s="199">
        <f>H15/G15-1</f>
        <v>1.6348321075825667</v>
      </c>
    </row>
    <row r="16" spans="1:11" ht="15" customHeight="1" thickBot="1">
      <c r="A16" s="517"/>
      <c r="B16" s="513" t="s">
        <v>222</v>
      </c>
      <c r="C16" s="514"/>
      <c r="D16" s="123" t="s">
        <v>467</v>
      </c>
      <c r="E16" s="215" t="s">
        <v>449</v>
      </c>
      <c r="F16" s="123" t="s">
        <v>441</v>
      </c>
      <c r="G16" s="214">
        <v>0.4680309517264955</v>
      </c>
      <c r="H16" s="213">
        <f>('Bilan Energétique'!B6+'Bilan Energétique'!B7)/'Bilan Energétique'!B11</f>
        <v>0.4517287873733678</v>
      </c>
      <c r="I16" s="214">
        <f>H16/G16-1</f>
        <v>-3.4831380901180764E-2</v>
      </c>
    </row>
    <row r="17" spans="1:12" ht="28.9" customHeight="1">
      <c r="A17" s="509" t="s">
        <v>210</v>
      </c>
      <c r="B17" s="116" t="s">
        <v>223</v>
      </c>
      <c r="C17" s="211"/>
      <c r="D17" s="123" t="s">
        <v>450</v>
      </c>
      <c r="E17" s="215" t="s">
        <v>360</v>
      </c>
      <c r="F17" s="123" t="s">
        <v>308</v>
      </c>
      <c r="G17" s="198">
        <v>400.89181830714699</v>
      </c>
      <c r="H17" s="198">
        <f>GES!C27</f>
        <v>280.89648906585921</v>
      </c>
      <c r="I17" s="213">
        <f>H17/G17-1</f>
        <v>-0.29932097329397789</v>
      </c>
      <c r="K17" s="186"/>
      <c r="L17" s="187"/>
    </row>
    <row r="18" spans="1:12" ht="15" customHeight="1" outlineLevel="1" thickBot="1">
      <c r="A18" s="510"/>
      <c r="B18" s="541" t="s">
        <v>224</v>
      </c>
      <c r="C18" s="542"/>
      <c r="D18" s="220" t="s">
        <v>453</v>
      </c>
      <c r="E18" s="130"/>
    </row>
    <row r="19" spans="1:12" ht="14.45" customHeight="1" outlineLevel="1">
      <c r="A19" s="248"/>
      <c r="B19" s="524" t="s">
        <v>225</v>
      </c>
      <c r="C19" s="525"/>
      <c r="D19" s="220" t="s">
        <v>452</v>
      </c>
      <c r="E19" s="130"/>
    </row>
    <row r="20" spans="1:12" ht="14.45" customHeight="1" outlineLevel="1">
      <c r="A20" s="526" t="s">
        <v>213</v>
      </c>
      <c r="B20" s="528" t="s">
        <v>226</v>
      </c>
      <c r="C20" s="529"/>
      <c r="D20" s="221" t="s">
        <v>457</v>
      </c>
      <c r="E20" s="130"/>
    </row>
    <row r="21" spans="1:12" ht="14.45" customHeight="1" outlineLevel="1">
      <c r="A21" s="526"/>
      <c r="B21" s="528" t="s">
        <v>227</v>
      </c>
      <c r="C21" s="529"/>
      <c r="D21" s="221" t="s">
        <v>457</v>
      </c>
      <c r="E21" s="130"/>
    </row>
    <row r="22" spans="1:12" ht="15" customHeight="1" outlineLevel="1" thickBot="1">
      <c r="A22" s="527"/>
      <c r="B22" s="530" t="s">
        <v>228</v>
      </c>
      <c r="C22" s="531"/>
      <c r="D22" s="221" t="s">
        <v>456</v>
      </c>
      <c r="E22" s="130"/>
    </row>
    <row r="23" spans="1:12" ht="14.45" customHeight="1" outlineLevel="1">
      <c r="A23" s="532" t="s">
        <v>229</v>
      </c>
      <c r="B23" s="535" t="s">
        <v>230</v>
      </c>
      <c r="C23" s="536"/>
      <c r="D23" s="220" t="s">
        <v>235</v>
      </c>
      <c r="E23" s="130"/>
    </row>
    <row r="24" spans="1:12" ht="14.45" customHeight="1" outlineLevel="1">
      <c r="A24" s="533"/>
      <c r="B24" s="537" t="s">
        <v>231</v>
      </c>
      <c r="C24" s="538"/>
      <c r="D24" s="220" t="s">
        <v>235</v>
      </c>
      <c r="E24" s="130"/>
    </row>
    <row r="25" spans="1:12" ht="15.75" outlineLevel="1" thickBot="1">
      <c r="A25" s="534"/>
      <c r="B25" s="539" t="s">
        <v>232</v>
      </c>
      <c r="C25" s="540"/>
      <c r="D25" s="220" t="s">
        <v>235</v>
      </c>
      <c r="E25" s="130"/>
    </row>
    <row r="26" spans="1:12" ht="29.45" customHeight="1" outlineLevel="1" thickBot="1">
      <c r="A26" s="520" t="s">
        <v>217</v>
      </c>
      <c r="B26" s="117" t="s">
        <v>233</v>
      </c>
      <c r="C26" s="219"/>
      <c r="D26" s="220" t="s">
        <v>236</v>
      </c>
      <c r="E26" s="130"/>
    </row>
    <row r="27" spans="1:12" ht="15.75" outlineLevel="1" thickBot="1">
      <c r="A27" s="521"/>
      <c r="B27" s="522" t="s">
        <v>234</v>
      </c>
      <c r="C27" s="523"/>
      <c r="D27" s="221" t="s">
        <v>458</v>
      </c>
      <c r="E27" s="130"/>
    </row>
    <row r="28" spans="1:12" ht="15.75" thickBot="1">
      <c r="D28" s="130"/>
      <c r="E28" s="130"/>
    </row>
    <row r="29" spans="1:12" ht="16.5" thickBot="1">
      <c r="B29" s="505" t="s">
        <v>567</v>
      </c>
      <c r="C29" s="506"/>
      <c r="E29" s="146"/>
      <c r="G29" s="221"/>
    </row>
    <row r="30" spans="1:12" ht="28.15" customHeight="1">
      <c r="A30" s="509" t="s">
        <v>210</v>
      </c>
      <c r="B30" s="507" t="s">
        <v>569</v>
      </c>
      <c r="C30" s="508"/>
      <c r="D30" s="123" t="s">
        <v>450</v>
      </c>
      <c r="E30" s="206" t="s">
        <v>568</v>
      </c>
      <c r="F30" s="123"/>
      <c r="G30" s="198">
        <f>'Comparaison AME'!C35/'Comparaison AME'!D35</f>
        <v>1.2116139269756567</v>
      </c>
      <c r="H30" s="208">
        <f>'Comparaison AME'!C35/'Comparaison AME'!F35</f>
        <v>1.675995171872958</v>
      </c>
      <c r="I30" s="199">
        <f>H30/G30-1</f>
        <v>0.38327493152580061</v>
      </c>
    </row>
    <row r="31" spans="1:12" ht="60.6" customHeight="1" thickBot="1">
      <c r="A31" s="510"/>
      <c r="B31" s="507" t="s">
        <v>570</v>
      </c>
      <c r="C31" s="508"/>
      <c r="D31" s="123" t="s">
        <v>450</v>
      </c>
      <c r="E31" s="123" t="s">
        <v>709</v>
      </c>
      <c r="F31" s="123"/>
      <c r="G31" s="199">
        <f>-'Comparaison AME'!$D$32/'Comparaison AME'!$D$35</f>
        <v>0.10058023493498076</v>
      </c>
      <c r="H31" s="363">
        <f>-'Comparaison AME'!$F$32/'Comparaison AME'!$F$35</f>
        <v>0.14159862659062028</v>
      </c>
      <c r="I31" s="199">
        <f>H31/G31-1</f>
        <v>0.40781761627575741</v>
      </c>
    </row>
    <row r="32" spans="1:12">
      <c r="H32" s="146"/>
    </row>
  </sheetData>
  <mergeCells count="37">
    <mergeCell ref="A6:A8"/>
    <mergeCell ref="B6:C6"/>
    <mergeCell ref="B7:C7"/>
    <mergeCell ref="B8:C8"/>
    <mergeCell ref="A9:A11"/>
    <mergeCell ref="B9:C9"/>
    <mergeCell ref="B10:C10"/>
    <mergeCell ref="B11:C11"/>
    <mergeCell ref="A1:C1"/>
    <mergeCell ref="B2:C2"/>
    <mergeCell ref="A3:A5"/>
    <mergeCell ref="B3:C3"/>
    <mergeCell ref="B4:C4"/>
    <mergeCell ref="B5:C5"/>
    <mergeCell ref="B12:C12"/>
    <mergeCell ref="A26:A27"/>
    <mergeCell ref="B27:C27"/>
    <mergeCell ref="B19:C19"/>
    <mergeCell ref="A20:A22"/>
    <mergeCell ref="B20:C20"/>
    <mergeCell ref="B21:C21"/>
    <mergeCell ref="B22:C22"/>
    <mergeCell ref="A23:A25"/>
    <mergeCell ref="B23:C23"/>
    <mergeCell ref="B24:C24"/>
    <mergeCell ref="B25:C25"/>
    <mergeCell ref="A17:A18"/>
    <mergeCell ref="B18:C18"/>
    <mergeCell ref="B13:C13"/>
    <mergeCell ref="B14:C14"/>
    <mergeCell ref="B29:C29"/>
    <mergeCell ref="B30:C30"/>
    <mergeCell ref="A30:A31"/>
    <mergeCell ref="B31:C31"/>
    <mergeCell ref="B15:C15"/>
    <mergeCell ref="B16:C16"/>
    <mergeCell ref="A14:A16"/>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7"/>
  <sheetViews>
    <sheetView topLeftCell="G4" zoomScale="130" zoomScaleNormal="130" workbookViewId="0">
      <selection activeCell="M19" sqref="M19"/>
    </sheetView>
  </sheetViews>
  <sheetFormatPr baseColWidth="10" defaultRowHeight="15"/>
  <cols>
    <col min="1" max="1" width="19.7109375" customWidth="1"/>
    <col min="2" max="2" width="9.85546875" customWidth="1"/>
    <col min="3" max="3" width="11.5703125" customWidth="1"/>
    <col min="8" max="8" width="37.42578125" customWidth="1"/>
    <col min="9" max="9" width="15.140625" customWidth="1"/>
    <col min="10" max="10" width="14.7109375" customWidth="1"/>
    <col min="11" max="11" width="14.140625" customWidth="1"/>
    <col min="13" max="13" width="14" customWidth="1"/>
    <col min="15" max="15" width="25.7109375" customWidth="1"/>
    <col min="21" max="21" width="13.42578125" customWidth="1"/>
    <col min="22" max="22" width="6.7109375" customWidth="1"/>
    <col min="23" max="23" width="6.42578125" customWidth="1"/>
    <col min="24" max="24" width="5.85546875" customWidth="1"/>
    <col min="25" max="25" width="16.28515625" customWidth="1"/>
    <col min="29" max="29" width="22" customWidth="1"/>
    <col min="30" max="32" width="5.140625" bestFit="1" customWidth="1"/>
    <col min="33" max="33" width="18.7109375" customWidth="1"/>
  </cols>
  <sheetData>
    <row r="1" spans="1:14">
      <c r="A1" s="573" t="s">
        <v>616</v>
      </c>
      <c r="B1" s="573"/>
      <c r="C1" s="573"/>
      <c r="D1" s="573"/>
    </row>
    <row r="2" spans="1:14">
      <c r="A2" s="146"/>
      <c r="B2" s="362">
        <v>2015</v>
      </c>
      <c r="C2" s="362">
        <v>2050</v>
      </c>
      <c r="D2" s="360" t="s">
        <v>705</v>
      </c>
    </row>
    <row r="3" spans="1:14" ht="30">
      <c r="A3" s="356" t="str">
        <f>'Bilan Energétique'!A32</f>
        <v>Consommation finale énergétique</v>
      </c>
      <c r="B3" s="190">
        <v>1641.1065518442119</v>
      </c>
      <c r="C3" s="150">
        <f>'Bilan Energétique'!B32</f>
        <v>1573.4066235027612</v>
      </c>
      <c r="D3" s="199">
        <f t="shared" ref="D3:D8" si="0">C3/B3-1</f>
        <v>-4.1252609871901491E-2</v>
      </c>
    </row>
    <row r="4" spans="1:14">
      <c r="A4" s="357" t="str">
        <f>'Bilan Energétique'!A27</f>
        <v>Industrie</v>
      </c>
      <c r="B4" s="189">
        <v>304.54778254147948</v>
      </c>
      <c r="C4" s="223">
        <f>'Bilan Energétique'!B27</f>
        <v>383.37462063362841</v>
      </c>
      <c r="D4" s="199">
        <f t="shared" si="0"/>
        <v>0.25883241517745303</v>
      </c>
    </row>
    <row r="5" spans="1:14">
      <c r="A5" s="357" t="str">
        <f>'Bilan Energétique'!A28</f>
        <v xml:space="preserve">Résidentiel </v>
      </c>
      <c r="B5" s="189">
        <v>490.38232702786451</v>
      </c>
      <c r="C5" s="223">
        <f>'Bilan Energétique'!B28</f>
        <v>409.83913191138544</v>
      </c>
      <c r="D5" s="199">
        <f t="shared" si="0"/>
        <v>-0.16424571334909144</v>
      </c>
    </row>
    <row r="6" spans="1:14">
      <c r="A6" s="357" t="str">
        <f>'Bilan Energétique'!A29</f>
        <v>Tertiaire</v>
      </c>
      <c r="B6" s="189">
        <v>285.00497489584171</v>
      </c>
      <c r="C6" s="223">
        <f>'Bilan Energétique'!B29</f>
        <v>238.90360012465487</v>
      </c>
      <c r="D6" s="199">
        <f t="shared" si="0"/>
        <v>-0.16175638614040022</v>
      </c>
    </row>
    <row r="7" spans="1:14">
      <c r="A7" s="357" t="str">
        <f>'Bilan Energétique'!A30</f>
        <v>Transports</v>
      </c>
      <c r="B7" s="189">
        <v>508.9995429610413</v>
      </c>
      <c r="C7" s="225">
        <f>'Bilan Energétique'!B30</f>
        <v>480.72564142637162</v>
      </c>
      <c r="D7" s="199">
        <f t="shared" si="0"/>
        <v>-5.5547990024096605E-2</v>
      </c>
    </row>
    <row r="8" spans="1:14">
      <c r="A8" s="357" t="str">
        <f>'Bilan Energétique'!A31</f>
        <v>Agriculture</v>
      </c>
      <c r="B8" s="189">
        <v>52.172770750829478</v>
      </c>
      <c r="C8" s="225">
        <f>'Bilan Energétique'!B31</f>
        <v>60.563629406720729</v>
      </c>
      <c r="D8" s="199">
        <f t="shared" si="0"/>
        <v>0.16082831207038861</v>
      </c>
    </row>
    <row r="10" spans="1:14">
      <c r="B10" s="361" t="s">
        <v>706</v>
      </c>
      <c r="C10" s="354" t="s">
        <v>389</v>
      </c>
      <c r="D10" s="353" t="s">
        <v>266</v>
      </c>
      <c r="H10" s="573" t="s">
        <v>708</v>
      </c>
      <c r="I10" s="573"/>
      <c r="J10" s="573"/>
      <c r="K10" s="573"/>
      <c r="L10" s="573"/>
      <c r="M10" s="573"/>
    </row>
    <row r="11" spans="1:14">
      <c r="I11" s="575" t="s">
        <v>416</v>
      </c>
      <c r="J11" s="576"/>
      <c r="K11" s="577"/>
      <c r="L11" s="575" t="s">
        <v>563</v>
      </c>
      <c r="M11" s="577"/>
      <c r="N11" s="146"/>
    </row>
    <row r="12" spans="1:14">
      <c r="H12" s="146"/>
      <c r="I12" s="123">
        <v>1990</v>
      </c>
      <c r="J12" s="123">
        <v>2015</v>
      </c>
      <c r="K12" s="123">
        <v>2050</v>
      </c>
      <c r="L12" s="123">
        <v>1990</v>
      </c>
      <c r="M12" s="123">
        <v>2015</v>
      </c>
    </row>
    <row r="13" spans="1:14" ht="15.75" thickBot="1">
      <c r="H13" s="472" t="s">
        <v>707</v>
      </c>
      <c r="I13" s="473">
        <f>'Comparaison AME'!C19</f>
        <v>511205.56433053385</v>
      </c>
      <c r="J13" s="473">
        <f>'Comparaison AME'!D19</f>
        <v>400891.81830714655</v>
      </c>
      <c r="K13" s="473">
        <f>'Comparaison AME'!F19</f>
        <v>276596.48906585923</v>
      </c>
      <c r="L13" s="284">
        <f>K13/I13-1</f>
        <v>-0.45893294524662442</v>
      </c>
      <c r="M13" s="284">
        <f>K13/J13-1</f>
        <v>-0.31004705899499663</v>
      </c>
    </row>
    <row r="14" spans="1:14">
      <c r="H14" s="265" t="s">
        <v>534</v>
      </c>
      <c r="I14" s="357">
        <f>'Comparaison AME'!C20</f>
        <v>373910.50112322799</v>
      </c>
      <c r="J14" s="357">
        <f>'Comparaison AME'!D20</f>
        <v>309210.74438325135</v>
      </c>
      <c r="K14" s="357">
        <f>'Comparaison AME'!F20</f>
        <v>199718.94873307689</v>
      </c>
      <c r="L14" s="284">
        <f t="shared" ref="L14:L21" si="1">K14/I14-1</f>
        <v>-0.4658642960464584</v>
      </c>
      <c r="M14" s="284">
        <f t="shared" ref="M14:M21" si="2">K14/J14-1</f>
        <v>-0.3541008766321031</v>
      </c>
    </row>
    <row r="15" spans="1:14" ht="15.75" thickBot="1">
      <c r="H15" s="273" t="s">
        <v>553</v>
      </c>
      <c r="I15" s="357">
        <f>'Comparaison AME'!C30</f>
        <v>66991.708049569075</v>
      </c>
      <c r="J15" s="357">
        <f>'Comparaison AME'!D30</f>
        <v>43089.003330372558</v>
      </c>
      <c r="K15" s="357">
        <f>'Comparaison AME'!F30</f>
        <v>26603.832233141202</v>
      </c>
      <c r="L15" s="284">
        <f t="shared" si="1"/>
        <v>-0.60287872920845265</v>
      </c>
      <c r="M15" s="284">
        <f t="shared" si="2"/>
        <v>-0.38258418211338152</v>
      </c>
    </row>
    <row r="16" spans="1:14">
      <c r="H16" s="275" t="s">
        <v>555</v>
      </c>
      <c r="I16" s="357">
        <f>'Comparaison AME'!C31</f>
        <v>82299.682349533105</v>
      </c>
      <c r="J16" s="357">
        <f>'Comparaison AME'!D31</f>
        <v>77302.834172241128</v>
      </c>
      <c r="K16" s="357">
        <f>'Comparaison AME'!F31</f>
        <v>86900</v>
      </c>
      <c r="L16" s="284">
        <f t="shared" si="1"/>
        <v>5.5897149528828072E-2</v>
      </c>
      <c r="M16" s="284">
        <f t="shared" si="2"/>
        <v>0.12415024533738439</v>
      </c>
    </row>
    <row r="17" spans="8:18" ht="15.75" thickBot="1">
      <c r="H17" s="136" t="s">
        <v>702</v>
      </c>
      <c r="I17" s="357">
        <f>'Comparaison AME'!C32</f>
        <v>-28838.282978536707</v>
      </c>
      <c r="J17" s="357">
        <f>'Comparaison AME'!D32</f>
        <v>-44830.895244924439</v>
      </c>
      <c r="K17" s="357">
        <f>'Comparaison AME'!F32</f>
        <v>-45626.305111740192</v>
      </c>
      <c r="L17" s="284">
        <f t="shared" si="1"/>
        <v>0.58214360909414076</v>
      </c>
      <c r="M17" s="284">
        <f t="shared" si="2"/>
        <v>1.774244887304155E-2</v>
      </c>
    </row>
    <row r="18" spans="8:18">
      <c r="H18" s="265" t="s">
        <v>558</v>
      </c>
      <c r="I18" s="357">
        <f>'Comparaison AME'!C33</f>
        <v>16841.955786740367</v>
      </c>
      <c r="J18" s="357">
        <f>'Comparaison AME'!D33</f>
        <v>16120.131666205913</v>
      </c>
      <c r="K18" s="357">
        <f>'Comparaison AME'!F33</f>
        <v>9000.0132113813579</v>
      </c>
      <c r="L18" s="284">
        <f t="shared" si="1"/>
        <v>-0.46561947286032856</v>
      </c>
      <c r="M18" s="284">
        <f t="shared" si="2"/>
        <v>-0.44169108554808534</v>
      </c>
    </row>
    <row r="19" spans="8:18" ht="15.75" thickBot="1">
      <c r="H19" s="146"/>
      <c r="K19" s="127"/>
      <c r="L19" s="284"/>
      <c r="M19" s="284"/>
    </row>
    <row r="20" spans="8:18">
      <c r="H20" s="441" t="s">
        <v>561</v>
      </c>
      <c r="I20" s="474">
        <f>'Comparaison AME'!C35</f>
        <v>540043.84730907052</v>
      </c>
      <c r="J20" s="474">
        <f>'Comparaison AME'!D35</f>
        <v>445722.71355207101</v>
      </c>
      <c r="K20" s="474">
        <f>'Comparaison AME'!F35</f>
        <v>322222.79417759943</v>
      </c>
      <c r="L20" s="284">
        <f t="shared" si="1"/>
        <v>-0.40333956995682752</v>
      </c>
      <c r="M20" s="284">
        <f t="shared" si="2"/>
        <v>-0.27707791328440756</v>
      </c>
    </row>
    <row r="21" spans="8:18" ht="15.75" thickBot="1">
      <c r="H21" s="442" t="s">
        <v>562</v>
      </c>
      <c r="I21" s="475">
        <f>'Comparaison AME'!C36</f>
        <v>511205.56433053379</v>
      </c>
      <c r="J21" s="475">
        <f>'Comparaison AME'!D36</f>
        <v>400891.81830714655</v>
      </c>
      <c r="K21" s="475">
        <f>'Comparaison AME'!F36</f>
        <v>276596.48906585923</v>
      </c>
      <c r="L21" s="284">
        <f t="shared" si="1"/>
        <v>-0.45893294524662431</v>
      </c>
      <c r="M21" s="284">
        <f t="shared" si="2"/>
        <v>-0.31004705899499663</v>
      </c>
    </row>
    <row r="23" spans="8:18" ht="14.45" customHeight="1">
      <c r="O23" s="574" t="s">
        <v>717</v>
      </c>
      <c r="P23" s="574"/>
      <c r="Q23" s="574"/>
      <c r="R23" s="574"/>
    </row>
    <row r="24" spans="8:18">
      <c r="O24" s="260"/>
      <c r="P24" s="362">
        <v>2015</v>
      </c>
      <c r="Q24" s="362">
        <v>2050</v>
      </c>
      <c r="R24" s="359" t="s">
        <v>705</v>
      </c>
    </row>
    <row r="25" spans="8:18" s="146" customFormat="1">
      <c r="O25" s="356" t="s">
        <v>668</v>
      </c>
      <c r="P25" s="356">
        <f>SUM(P26:P31)</f>
        <v>1641.1065518442122</v>
      </c>
      <c r="Q25" s="356">
        <f>SUM(Q26:Q31)</f>
        <v>1573.4066235027612</v>
      </c>
      <c r="R25" s="199">
        <f t="shared" ref="R25:R31" si="3">Q25/P25-1</f>
        <v>-4.1252609871901602E-2</v>
      </c>
    </row>
    <row r="26" spans="8:18">
      <c r="O26" s="357" t="str">
        <f>'Rep Graph'!B20</f>
        <v>Electricité, hors P2X</v>
      </c>
      <c r="P26" s="357">
        <f>'Rep Graph'!C20</f>
        <v>442.89879466849811</v>
      </c>
      <c r="Q26" s="357">
        <f>'Rep Graph'!E20</f>
        <v>608.2081801570414</v>
      </c>
      <c r="R26" s="199">
        <f t="shared" si="3"/>
        <v>0.37324415301756342</v>
      </c>
    </row>
    <row r="27" spans="8:18" ht="30">
      <c r="O27" s="357" t="str">
        <f>'Rep Graph'!B21</f>
        <v>Gaz consommé, yc biogaz, H2 ds GN, P2X (dont GNL)</v>
      </c>
      <c r="P27" s="357">
        <f>'Rep Graph'!C21</f>
        <v>341.8261710564322</v>
      </c>
      <c r="Q27" s="357">
        <f>'Rep Graph'!E21</f>
        <v>322.27126681428626</v>
      </c>
      <c r="R27" s="199">
        <f t="shared" si="3"/>
        <v>-5.7207159363223847E-2</v>
      </c>
    </row>
    <row r="28" spans="8:18">
      <c r="O28" s="357" t="str">
        <f>'Rep Graph'!B22</f>
        <v>H2</v>
      </c>
      <c r="P28" s="357">
        <f>'Rep Graph'!C22</f>
        <v>0</v>
      </c>
      <c r="Q28" s="357">
        <f>'Rep Graph'!E22</f>
        <v>18.934504051973676</v>
      </c>
      <c r="R28" s="372">
        <f>1</f>
        <v>1</v>
      </c>
    </row>
    <row r="29" spans="8:18">
      <c r="O29" s="357" t="str">
        <f>'Rep Graph'!B23</f>
        <v>Carburant liquide</v>
      </c>
      <c r="P29" s="357">
        <f>'Rep Graph'!C23</f>
        <v>642.27105910308751</v>
      </c>
      <c r="Q29" s="357">
        <f>'Rep Graph'!E23</f>
        <v>412.3852767672696</v>
      </c>
      <c r="R29" s="199">
        <f t="shared" si="3"/>
        <v>-0.35792642230656724</v>
      </c>
    </row>
    <row r="30" spans="8:18" ht="30">
      <c r="O30" s="357" t="str">
        <f>'Rep Graph'!B24</f>
        <v>Chaleur commercialisée, EnR thermique et déchets</v>
      </c>
      <c r="P30" s="357">
        <f>'Rep Graph'!C24</f>
        <v>200.95280355083642</v>
      </c>
      <c r="Q30" s="357">
        <f>'Rep Graph'!E24</f>
        <v>211.42587270428331</v>
      </c>
      <c r="R30" s="199">
        <f t="shared" si="3"/>
        <v>5.2117059172043012E-2</v>
      </c>
    </row>
    <row r="31" spans="8:18">
      <c r="O31" s="357" t="str">
        <f>'Rep Graph'!B25</f>
        <v>Charbon</v>
      </c>
      <c r="P31" s="357">
        <f>'Rep Graph'!C25</f>
        <v>13.157723465357719</v>
      </c>
      <c r="Q31" s="357">
        <f>'Rep Graph'!E25</f>
        <v>0.1815230079069215</v>
      </c>
      <c r="R31" s="199">
        <f t="shared" si="3"/>
        <v>-0.98620407182254255</v>
      </c>
    </row>
    <row r="33" spans="8:33" ht="14.45" customHeight="1">
      <c r="U33" s="574" t="s">
        <v>726</v>
      </c>
      <c r="V33" s="574"/>
      <c r="W33" s="574"/>
      <c r="X33" s="574"/>
      <c r="Y33" s="574"/>
    </row>
    <row r="34" spans="8:33" ht="30">
      <c r="U34" s="146"/>
      <c r="V34" s="362">
        <v>2015</v>
      </c>
      <c r="W34" s="362">
        <v>2030</v>
      </c>
      <c r="X34" s="362">
        <v>2050</v>
      </c>
      <c r="Y34" s="358" t="s">
        <v>564</v>
      </c>
    </row>
    <row r="35" spans="8:33">
      <c r="U35" s="356" t="s">
        <v>30</v>
      </c>
      <c r="V35" s="356">
        <f>SUM(V36:V42)</f>
        <v>507.53459888559519</v>
      </c>
      <c r="W35" s="356">
        <f t="shared" ref="W35:X35" si="4">SUM(W36:W42)</f>
        <v>521.56595545407265</v>
      </c>
      <c r="X35" s="356">
        <f t="shared" si="4"/>
        <v>497.0517083104063</v>
      </c>
      <c r="Y35" s="199">
        <f t="shared" ref="Y35:Y42" si="5">X35/V35-1</f>
        <v>-2.0654533894253535E-2</v>
      </c>
    </row>
    <row r="36" spans="8:33">
      <c r="U36" s="355" t="s">
        <v>185</v>
      </c>
      <c r="V36" s="373">
        <v>371.29390644508305</v>
      </c>
      <c r="W36" s="373">
        <v>345.84350467133362</v>
      </c>
      <c r="X36" s="373">
        <v>245.94561783545655</v>
      </c>
      <c r="Y36" s="199">
        <f>X36/V36-1</f>
        <v>-0.33759856123080867</v>
      </c>
    </row>
    <row r="37" spans="8:33">
      <c r="U37" s="355" t="s">
        <v>13</v>
      </c>
      <c r="V37" s="373">
        <v>78.704027961631112</v>
      </c>
      <c r="W37" s="373">
        <v>93.138810535524982</v>
      </c>
      <c r="X37" s="373">
        <v>58.424473575422041</v>
      </c>
      <c r="Y37" s="199">
        <f t="shared" si="5"/>
        <v>-0.25766857061109405</v>
      </c>
    </row>
    <row r="38" spans="8:33">
      <c r="U38" s="135" t="s">
        <v>186</v>
      </c>
      <c r="V38" s="373">
        <v>11.802068923325468</v>
      </c>
      <c r="W38" s="373">
        <v>12.378662235119469</v>
      </c>
      <c r="X38" s="373">
        <v>15.012101577552643</v>
      </c>
      <c r="Y38" s="199">
        <f t="shared" si="5"/>
        <v>0.27198897710916636</v>
      </c>
    </row>
    <row r="39" spans="8:33">
      <c r="H39" s="146"/>
      <c r="I39" s="146"/>
      <c r="U39" s="355" t="s">
        <v>189</v>
      </c>
      <c r="V39" s="373">
        <v>0.46054800000000001</v>
      </c>
      <c r="W39" s="373">
        <v>5.3152837436537546</v>
      </c>
      <c r="X39" s="373">
        <v>24.0662558252608</v>
      </c>
      <c r="Y39" s="199">
        <f t="shared" si="5"/>
        <v>51.255695009555573</v>
      </c>
    </row>
    <row r="40" spans="8:33">
      <c r="U40" s="355" t="s">
        <v>136</v>
      </c>
      <c r="V40" s="373">
        <v>0</v>
      </c>
      <c r="W40" s="373">
        <v>9.5827490801708701E-2</v>
      </c>
      <c r="X40" s="373">
        <v>10.330031251973677</v>
      </c>
      <c r="Y40" s="372">
        <v>1</v>
      </c>
    </row>
    <row r="41" spans="8:33">
      <c r="U41" s="355" t="s">
        <v>19</v>
      </c>
      <c r="V41" s="373">
        <v>10.986999999999998</v>
      </c>
      <c r="W41" s="373">
        <v>31.665154802834628</v>
      </c>
      <c r="X41" s="373">
        <v>102.95967934486593</v>
      </c>
      <c r="Y41" s="199">
        <f t="shared" si="5"/>
        <v>8.3710457217498817</v>
      </c>
    </row>
    <row r="42" spans="8:33">
      <c r="U42" s="207" t="s">
        <v>413</v>
      </c>
      <c r="V42" s="373">
        <v>34.287047555555517</v>
      </c>
      <c r="W42" s="373">
        <v>33.128711974804411</v>
      </c>
      <c r="X42" s="373">
        <v>40.313548899874689</v>
      </c>
      <c r="Y42" s="199">
        <f t="shared" si="5"/>
        <v>0.17576612085232468</v>
      </c>
    </row>
    <row r="43" spans="8:33">
      <c r="U43" s="146"/>
      <c r="V43" s="146"/>
      <c r="W43" s="146"/>
      <c r="X43" s="146"/>
    </row>
    <row r="44" spans="8:33" ht="14.45" customHeight="1">
      <c r="AC44" s="574" t="s">
        <v>727</v>
      </c>
      <c r="AD44" s="574"/>
      <c r="AE44" s="574"/>
      <c r="AF44" s="574"/>
      <c r="AG44" s="574"/>
    </row>
    <row r="45" spans="8:33" ht="30">
      <c r="AD45" s="362">
        <v>2015</v>
      </c>
      <c r="AE45" s="362">
        <v>2030</v>
      </c>
      <c r="AF45" s="362">
        <v>2050</v>
      </c>
      <c r="AG45" s="358" t="s">
        <v>564</v>
      </c>
    </row>
    <row r="46" spans="8:33">
      <c r="AC46" s="440" t="s">
        <v>724</v>
      </c>
      <c r="AD46" s="460">
        <v>278.56068480815941</v>
      </c>
      <c r="AE46" s="460">
        <v>243.1782220398255</v>
      </c>
      <c r="AF46" s="460">
        <v>134.02375957109049</v>
      </c>
      <c r="AG46" s="199">
        <f t="shared" ref="AG46:AG55" si="6">AF46/AD46-1</f>
        <v>-0.51887051231443282</v>
      </c>
    </row>
    <row r="47" spans="8:33">
      <c r="W47" s="146"/>
      <c r="X47" s="146"/>
      <c r="AC47" s="440" t="s">
        <v>788</v>
      </c>
      <c r="AD47" s="460">
        <v>90.208453439842302</v>
      </c>
      <c r="AE47" s="460">
        <v>109.68689146406523</v>
      </c>
      <c r="AF47" s="460">
        <v>141.43147863957529</v>
      </c>
      <c r="AG47" s="199">
        <f>AF47/AD47-1</f>
        <v>0.56782954641709171</v>
      </c>
    </row>
    <row r="48" spans="8:33" s="146" customFormat="1">
      <c r="AC48" s="440" t="s">
        <v>725</v>
      </c>
      <c r="AD48" s="460">
        <v>82.761362009061529</v>
      </c>
      <c r="AE48" s="460">
        <v>110.50277389309076</v>
      </c>
      <c r="AF48" s="460">
        <v>142.26858146139719</v>
      </c>
      <c r="AG48" s="199">
        <f t="shared" si="6"/>
        <v>0.71902175130733381</v>
      </c>
    </row>
    <row r="49" spans="22:33">
      <c r="V49" s="146"/>
      <c r="W49" s="146"/>
      <c r="X49" s="146"/>
      <c r="AC49" s="440" t="s">
        <v>720</v>
      </c>
      <c r="AD49" s="460">
        <v>7.6226627952896369</v>
      </c>
      <c r="AE49" s="460">
        <v>8.1050969731408813</v>
      </c>
      <c r="AF49" s="460">
        <v>8.0737217852328715</v>
      </c>
      <c r="AG49" s="199">
        <f t="shared" si="6"/>
        <v>5.9173415124956552E-2</v>
      </c>
    </row>
    <row r="50" spans="22:33">
      <c r="V50" s="146"/>
      <c r="W50" s="146"/>
      <c r="X50" s="146"/>
      <c r="AC50" s="440" t="s">
        <v>721</v>
      </c>
      <c r="AD50" s="460">
        <v>4.5115212379791032</v>
      </c>
      <c r="AE50" s="460">
        <v>4.7367203655639791</v>
      </c>
      <c r="AF50" s="460">
        <v>3.9239830872499546</v>
      </c>
      <c r="AG50" s="199">
        <f t="shared" si="6"/>
        <v>-0.13023060731336178</v>
      </c>
    </row>
    <row r="51" spans="22:33">
      <c r="V51" s="146"/>
      <c r="W51" s="146"/>
      <c r="X51" s="146"/>
      <c r="AC51" s="440" t="s">
        <v>789</v>
      </c>
      <c r="AD51" s="460">
        <v>14.613640017974875</v>
      </c>
      <c r="AE51" s="460">
        <v>14.724361147931974</v>
      </c>
      <c r="AF51" s="460">
        <v>16.032219978901136</v>
      </c>
      <c r="AG51" s="199">
        <f t="shared" si="6"/>
        <v>9.7072321418989249E-2</v>
      </c>
    </row>
    <row r="52" spans="22:33">
      <c r="V52" s="146"/>
      <c r="W52" s="146"/>
      <c r="X52" s="146"/>
      <c r="AC52" s="440" t="s">
        <v>790</v>
      </c>
      <c r="AD52" s="460">
        <v>1.0272759529020483</v>
      </c>
      <c r="AE52" s="460">
        <v>1.2976451376689369</v>
      </c>
      <c r="AF52" s="460">
        <v>1.7999325925864262</v>
      </c>
      <c r="AG52" s="199">
        <f t="shared" si="6"/>
        <v>0.75214126983273344</v>
      </c>
    </row>
    <row r="53" spans="22:33">
      <c r="V53" s="146"/>
      <c r="W53" s="146"/>
      <c r="X53" s="146"/>
      <c r="AC53" s="440" t="s">
        <v>791</v>
      </c>
      <c r="AD53" s="460">
        <v>13.009509471456456</v>
      </c>
      <c r="AE53" s="460">
        <v>11.023485935300039</v>
      </c>
      <c r="AF53" s="460">
        <v>8.5988094297316913</v>
      </c>
      <c r="AG53" s="199">
        <f t="shared" si="6"/>
        <v>-0.33903661405543928</v>
      </c>
    </row>
    <row r="54" spans="22:33">
      <c r="V54" s="146"/>
      <c r="AC54" s="440" t="s">
        <v>722</v>
      </c>
      <c r="AD54" s="460">
        <v>11.802068923325468</v>
      </c>
      <c r="AE54" s="460">
        <v>12.378662235119469</v>
      </c>
      <c r="AF54" s="460">
        <v>15.611516999171663</v>
      </c>
      <c r="AG54" s="199">
        <f t="shared" si="6"/>
        <v>0.32277798923180723</v>
      </c>
    </row>
    <row r="55" spans="22:33">
      <c r="V55" s="146"/>
      <c r="AC55" s="440" t="s">
        <v>723</v>
      </c>
      <c r="AD55" s="460">
        <v>6.0471860572757219</v>
      </c>
      <c r="AE55" s="460">
        <v>7.5868640311123121</v>
      </c>
      <c r="AF55" s="460">
        <v>9.953742336521243</v>
      </c>
      <c r="AG55" s="199">
        <f t="shared" si="6"/>
        <v>0.64601225135868212</v>
      </c>
    </row>
    <row r="56" spans="22:33">
      <c r="V56" s="146"/>
    </row>
    <row r="57" spans="22:33">
      <c r="AE57" s="146"/>
      <c r="AF57" s="146"/>
    </row>
    <row r="58" spans="22:33">
      <c r="AD58" s="146"/>
      <c r="AE58" s="146"/>
      <c r="AF58" s="146"/>
    </row>
    <row r="59" spans="22:33">
      <c r="AD59" s="146"/>
      <c r="AE59" s="146"/>
      <c r="AF59" s="146"/>
    </row>
    <row r="60" spans="22:33">
      <c r="AD60" s="146"/>
      <c r="AE60" s="146"/>
      <c r="AF60" s="146"/>
    </row>
    <row r="61" spans="22:33">
      <c r="AD61" s="146"/>
      <c r="AE61" s="146"/>
      <c r="AF61" s="146"/>
    </row>
    <row r="62" spans="22:33">
      <c r="AD62" s="146"/>
      <c r="AE62" s="146"/>
      <c r="AF62" s="146"/>
    </row>
    <row r="63" spans="22:33">
      <c r="AD63" s="146"/>
      <c r="AE63" s="146"/>
      <c r="AF63" s="146"/>
    </row>
    <row r="64" spans="22:33">
      <c r="AD64" s="146"/>
      <c r="AE64" s="146"/>
      <c r="AF64" s="146"/>
    </row>
    <row r="65" spans="30:32">
      <c r="AD65" s="146"/>
      <c r="AE65" s="146"/>
      <c r="AF65" s="146"/>
    </row>
    <row r="66" spans="30:32">
      <c r="AD66" s="146"/>
    </row>
    <row r="67" spans="30:32">
      <c r="AD67" s="146"/>
    </row>
  </sheetData>
  <mergeCells count="7">
    <mergeCell ref="A1:D1"/>
    <mergeCell ref="AC44:AG44"/>
    <mergeCell ref="U33:Y33"/>
    <mergeCell ref="I11:K11"/>
    <mergeCell ref="H10:M10"/>
    <mergeCell ref="O23:R23"/>
    <mergeCell ref="L11:M11"/>
  </mergeCells>
  <conditionalFormatting sqref="A3:C8">
    <cfRule type="cellIs" dxfId="44" priority="21" operator="equal">
      <formula>0</formula>
    </cfRule>
  </conditionalFormatting>
  <conditionalFormatting sqref="D3:D8">
    <cfRule type="iconSet" priority="29">
      <iconSet iconSet="3Arrows">
        <cfvo type="percent" val="0"/>
        <cfvo type="num" val="-0.05"/>
        <cfvo type="num" val="0.05"/>
      </iconSet>
    </cfRule>
  </conditionalFormatting>
  <conditionalFormatting sqref="L13:M21">
    <cfRule type="iconSet" priority="30">
      <iconSet iconSet="3Arrows">
        <cfvo type="percent" val="0"/>
        <cfvo type="num" val="-0.05"/>
        <cfvo type="num" val="0.05"/>
      </iconSet>
    </cfRule>
  </conditionalFormatting>
  <conditionalFormatting sqref="O25:Q25">
    <cfRule type="cellIs" dxfId="43" priority="12" operator="equal">
      <formula>0</formula>
    </cfRule>
  </conditionalFormatting>
  <conditionalFormatting sqref="O26:Q30">
    <cfRule type="cellIs" dxfId="42" priority="11" operator="equal">
      <formula>0</formula>
    </cfRule>
  </conditionalFormatting>
  <conditionalFormatting sqref="R25:R31">
    <cfRule type="iconSet" priority="10">
      <iconSet iconSet="3Arrows">
        <cfvo type="percent" val="0"/>
        <cfvo type="num" val="-0.05"/>
        <cfvo type="num" val="0.05"/>
      </iconSet>
    </cfRule>
  </conditionalFormatting>
  <conditionalFormatting sqref="U35">
    <cfRule type="cellIs" dxfId="41" priority="8" operator="equal">
      <formula>0</formula>
    </cfRule>
  </conditionalFormatting>
  <conditionalFormatting sqref="Y35:Y42">
    <cfRule type="iconSet" priority="31">
      <iconSet iconSet="3Arrows">
        <cfvo type="percent" val="0"/>
        <cfvo type="num" val="-0.05"/>
        <cfvo type="num" val="0.05"/>
      </iconSet>
    </cfRule>
  </conditionalFormatting>
  <conditionalFormatting sqref="V35:X35">
    <cfRule type="cellIs" dxfId="40" priority="7" operator="equal">
      <formula>0</formula>
    </cfRule>
  </conditionalFormatting>
  <conditionalFormatting sqref="AG46:AG55">
    <cfRule type="iconSet" priority="6">
      <iconSet iconSet="3Arrows">
        <cfvo type="percent" val="0"/>
        <cfvo type="num" val="-0.05"/>
        <cfvo type="num" val="0.05"/>
      </iconSet>
    </cfRule>
  </conditionalFormatting>
  <conditionalFormatting sqref="O31:Q31">
    <cfRule type="cellIs" dxfId="39" priority="5" operator="equal">
      <formula>0</formula>
    </cfRule>
  </conditionalFormatting>
  <conditionalFormatting sqref="I14:K18">
    <cfRule type="cellIs" dxfId="38" priority="4" operator="equal">
      <formula>0</formula>
    </cfRule>
  </conditionalFormatting>
  <conditionalFormatting sqref="I20:K21">
    <cfRule type="cellIs" dxfId="37" priority="3" operator="equal">
      <formula>0</formula>
    </cfRule>
  </conditionalFormatting>
  <conditionalFormatting sqref="I13:K13">
    <cfRule type="cellIs" dxfId="36" priority="2" operator="equal">
      <formula>0</formula>
    </cfRule>
  </conditionalFormatting>
  <conditionalFormatting sqref="H13">
    <cfRule type="cellIs" dxfId="35" priority="1" operator="equal">
      <formula>0</formula>
    </cfRule>
  </conditionalFormatting>
  <dataValidations disablePrompts="1" count="1">
    <dataValidation allowBlank="1" showInputMessage="1" showErrorMessage="1" sqref="H13:H18"/>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26</vt:i4>
      </vt:variant>
      <vt:variant>
        <vt:lpstr>Plages nommées</vt:lpstr>
      </vt:variant>
      <vt:variant>
        <vt:i4>4</vt:i4>
      </vt:variant>
    </vt:vector>
  </HeadingPairs>
  <TitlesOfParts>
    <vt:vector size="30" baseType="lpstr">
      <vt:lpstr>Suivi intégration</vt:lpstr>
      <vt:lpstr>Notes de version</vt:lpstr>
      <vt:lpstr>ReadMe</vt:lpstr>
      <vt:lpstr>Bilan Energétique</vt:lpstr>
      <vt:lpstr>GES</vt:lpstr>
      <vt:lpstr>Bilan sols</vt:lpstr>
      <vt:lpstr>Rep Graph</vt:lpstr>
      <vt:lpstr>Indicateurs</vt:lpstr>
      <vt:lpstr>Sorties graphiques</vt:lpstr>
      <vt:lpstr>Sorties tableaux</vt:lpstr>
      <vt:lpstr>Comparaison AME</vt:lpstr>
      <vt:lpstr>Valeurs manquantes</vt:lpstr>
      <vt:lpstr>Puits C</vt:lpstr>
      <vt:lpstr>Transformations</vt:lpstr>
      <vt:lpstr>Carburants</vt:lpstr>
      <vt:lpstr>Chaleur</vt:lpstr>
      <vt:lpstr>Electricité</vt:lpstr>
      <vt:lpstr>H2 Industrie</vt:lpstr>
      <vt:lpstr>Calcul indicateurs</vt:lpstr>
      <vt:lpstr>ClimAgri</vt:lpstr>
      <vt:lpstr>Energie BAU</vt:lpstr>
      <vt:lpstr>GEStime STM</vt:lpstr>
      <vt:lpstr>Bilan E - old</vt:lpstr>
      <vt:lpstr>Tableau flux BAU</vt:lpstr>
      <vt:lpstr>Bilan de matière</vt:lpstr>
      <vt:lpstr>Flux Bio - Ressources</vt:lpstr>
      <vt:lpstr>Actuel_2015</vt:lpstr>
      <vt:lpstr>EstDecarbone</vt:lpstr>
      <vt:lpstr>facteur_emmissions_vecteur</vt:lpstr>
      <vt:lpstr>PCI_H2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2020-07-07T16:14:56Z</dcterms:modified>
</cp:coreProperties>
</file>