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7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0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1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omments5.xml" ContentType="application/vnd.openxmlformats-officedocument.spreadsheetml.comments+xml"/>
  <Override PartName="/xl/threadedComments/threadedComment2.xml" ContentType="application/vnd.ms-excel.threadedcomments+xml"/>
  <Override PartName="/xl/drawings/drawing12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Documents\Github\ThreeME\data\calibrations\"/>
    </mc:Choice>
  </mc:AlternateContent>
  <xr:revisionPtr revIDLastSave="0" documentId="13_ncr:1_{3350E56D-B82C-4949-84B8-1378A19E8216}" xr6:coauthVersionLast="47" xr6:coauthVersionMax="47" xr10:uidLastSave="{00000000-0000-0000-0000-000000000000}"/>
  <bookViews>
    <workbookView xWindow="-120" yWindow="-120" windowWidth="20730" windowHeight="11160" firstSheet="2" activeTab="2" xr2:uid="{E9868204-2FCB-48D6-BFD5-D55125BD9B70}"/>
  </bookViews>
  <sheets>
    <sheet name="Analyse ratios d'aide" sheetId="12" r:id="rId1"/>
    <sheet name="FC Ratio aide FC" sheetId="11" r:id="rId2"/>
    <sheet name="FC Prod GWh FC (2)" sheetId="16" r:id="rId3"/>
    <sheet name="FC Prod GWh FC" sheetId="10" r:id="rId4"/>
    <sheet name="FC Aide k€ FC" sheetId="9" r:id="rId5"/>
    <sheet name="FC 2009-2022 Aide k€" sheetId="1" state="hidden" r:id="rId6"/>
    <sheet name="FC 2009-2022 Prod GWh" sheetId="2" state="hidden" r:id="rId7"/>
    <sheet name="FC Nb installations" sheetId="3" r:id="rId8"/>
    <sheet name="FC Invest. k€" sheetId="6" r:id="rId9"/>
    <sheet name="FC 2009-2022 Ratio aide" sheetId="4" state="hidden" r:id="rId10"/>
    <sheet name="FC ml réseaux" sheetId="5" r:id="rId11"/>
    <sheet name="FC taux d'aide" sheetId="7" r:id="rId12"/>
    <sheet name="FC tCO2 évitées" sheetId="8" r:id="rId13"/>
    <sheet name="FC ratio Invest" sheetId="13" r:id="rId14"/>
    <sheet name="Cofinancements projets FC" sheetId="14" r:id="rId15"/>
    <sheet name="Feuil1" sheetId="15" state="hidden" r:id="rId16"/>
  </sheets>
  <externalReferences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6" l="1"/>
  <c r="E6" i="16"/>
  <c r="E7" i="16"/>
  <c r="E8" i="16"/>
  <c r="E9" i="16"/>
  <c r="E10" i="16"/>
  <c r="E11" i="16"/>
  <c r="E12" i="16"/>
  <c r="E13" i="16"/>
  <c r="E14" i="16"/>
  <c r="E16" i="16"/>
  <c r="E17" i="16"/>
  <c r="D5" i="16"/>
  <c r="D6" i="16"/>
  <c r="D7" i="16"/>
  <c r="D8" i="16"/>
  <c r="D9" i="16"/>
  <c r="D10" i="16"/>
  <c r="D11" i="16"/>
  <c r="D12" i="16"/>
  <c r="D13" i="16"/>
  <c r="D14" i="16"/>
  <c r="D16" i="16"/>
  <c r="D17" i="16"/>
  <c r="C14" i="16"/>
  <c r="C38" i="16" s="1"/>
  <c r="C44" i="16" s="1"/>
  <c r="C17" i="16"/>
  <c r="C16" i="16"/>
  <c r="C6" i="16"/>
  <c r="C7" i="16"/>
  <c r="C8" i="16"/>
  <c r="C100" i="16" s="1"/>
  <c r="C9" i="16"/>
  <c r="C10" i="16"/>
  <c r="C11" i="16"/>
  <c r="C12" i="16"/>
  <c r="C104" i="16" s="1"/>
  <c r="C13" i="16"/>
  <c r="C105" i="16" s="1"/>
  <c r="C46" i="16"/>
  <c r="C5" i="16"/>
  <c r="C108" i="16"/>
  <c r="C107" i="16"/>
  <c r="C101" i="16"/>
  <c r="C97" i="16"/>
  <c r="C60" i="16"/>
  <c r="C59" i="16"/>
  <c r="C39" i="16"/>
  <c r="C34" i="16"/>
  <c r="C42" i="16" l="1"/>
  <c r="C43" i="16" s="1"/>
  <c r="C99" i="16"/>
  <c r="C103" i="16"/>
  <c r="C109" i="16"/>
  <c r="C98" i="16"/>
  <c r="C102" i="16"/>
  <c r="C106" i="16"/>
  <c r="C40" i="16"/>
  <c r="C41" i="16"/>
  <c r="Q27" i="6" l="1"/>
  <c r="C23" i="6"/>
  <c r="D16" i="3"/>
  <c r="U16" i="10" l="1"/>
  <c r="U14" i="10"/>
  <c r="U17" i="10" s="1"/>
  <c r="U6" i="10"/>
  <c r="U7" i="10"/>
  <c r="U8" i="10"/>
  <c r="U9" i="10"/>
  <c r="U10" i="10"/>
  <c r="U11" i="10"/>
  <c r="U13" i="10"/>
  <c r="U5" i="10"/>
  <c r="E31" i="3" l="1"/>
  <c r="Q9" i="9"/>
  <c r="J46" i="9"/>
  <c r="J45" i="9"/>
  <c r="L46" i="9"/>
  <c r="S33" i="9"/>
  <c r="S34" i="9"/>
  <c r="S35" i="9"/>
  <c r="S36" i="9"/>
  <c r="S32" i="9"/>
  <c r="S30" i="9"/>
  <c r="P7" i="7"/>
  <c r="S10" i="3"/>
  <c r="S11" i="3"/>
  <c r="S12" i="3"/>
  <c r="T10" i="9" l="1"/>
  <c r="T9" i="9"/>
  <c r="Q17" i="10" l="1"/>
  <c r="D18" i="14" l="1"/>
  <c r="E18" i="14"/>
  <c r="G18" i="14" s="1"/>
  <c r="F18" i="14"/>
  <c r="B18" i="14" l="1"/>
  <c r="P20" i="13"/>
  <c r="Q20" i="13"/>
  <c r="O20" i="13"/>
  <c r="R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C17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C13" i="13"/>
  <c r="C14" i="13"/>
  <c r="C15" i="13"/>
  <c r="C16" i="13"/>
  <c r="C12" i="13"/>
  <c r="Q5" i="13"/>
  <c r="Q6" i="13" s="1"/>
  <c r="P14" i="8"/>
  <c r="Q14" i="8"/>
  <c r="O14" i="8"/>
  <c r="Q5" i="8"/>
  <c r="Q6" i="8" s="1"/>
  <c r="Q7" i="8" s="1"/>
  <c r="Q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P24" i="7"/>
  <c r="O24" i="7"/>
  <c r="C22" i="7"/>
  <c r="D22" i="7"/>
  <c r="G22" i="7"/>
  <c r="H22" i="7"/>
  <c r="I22" i="7"/>
  <c r="J22" i="7"/>
  <c r="K22" i="7"/>
  <c r="L22" i="7"/>
  <c r="M22" i="7"/>
  <c r="N22" i="7"/>
  <c r="O22" i="7"/>
  <c r="P22" i="7"/>
  <c r="Q22" i="7"/>
  <c r="R22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C16" i="7"/>
  <c r="D16" i="7"/>
  <c r="E16" i="7"/>
  <c r="G16" i="7"/>
  <c r="H16" i="7"/>
  <c r="I16" i="7"/>
  <c r="J16" i="7"/>
  <c r="K16" i="7"/>
  <c r="L16" i="7"/>
  <c r="M16" i="7"/>
  <c r="N16" i="7"/>
  <c r="O16" i="7"/>
  <c r="P16" i="7"/>
  <c r="Q16" i="7"/>
  <c r="R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L20" i="7"/>
  <c r="M20" i="7"/>
  <c r="N20" i="7"/>
  <c r="R20" i="7"/>
  <c r="C21" i="7"/>
  <c r="D21" i="7"/>
  <c r="G21" i="7"/>
  <c r="H21" i="7"/>
  <c r="I21" i="7"/>
  <c r="J21" i="7"/>
  <c r="K21" i="7"/>
  <c r="L21" i="7"/>
  <c r="M21" i="7"/>
  <c r="N21" i="7"/>
  <c r="O21" i="7"/>
  <c r="P21" i="7"/>
  <c r="Q21" i="7"/>
  <c r="R21" i="7"/>
  <c r="R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7" i="7"/>
  <c r="R5" i="7"/>
  <c r="Q9" i="8" l="1"/>
  <c r="Q8" i="8"/>
  <c r="Q21" i="8"/>
  <c r="Q15" i="8"/>
  <c r="Q6" i="3"/>
  <c r="S6" i="3" s="1"/>
  <c r="P40" i="9"/>
  <c r="P39" i="9"/>
  <c r="R39" i="9"/>
  <c r="Q40" i="9"/>
  <c r="R13" i="10" l="1"/>
  <c r="D107" i="10"/>
  <c r="E107" i="10"/>
  <c r="F107" i="10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D108" i="10"/>
  <c r="E108" i="10" s="1"/>
  <c r="F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D99" i="10"/>
  <c r="E99" i="10" s="1"/>
  <c r="F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D100" i="10"/>
  <c r="E100" i="10"/>
  <c r="F100" i="10" s="1"/>
  <c r="D101" i="10"/>
  <c r="E101" i="10" s="1"/>
  <c r="D102" i="10"/>
  <c r="E102" i="10" s="1"/>
  <c r="F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D103" i="10"/>
  <c r="E103" i="10"/>
  <c r="F103" i="10" s="1"/>
  <c r="G103" i="10" s="1"/>
  <c r="D104" i="10"/>
  <c r="E104" i="10"/>
  <c r="F104" i="10" s="1"/>
  <c r="D105" i="10"/>
  <c r="E105" i="10" s="1"/>
  <c r="F105" i="10" s="1"/>
  <c r="D98" i="10"/>
  <c r="E98" i="10" s="1"/>
  <c r="F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D97" i="10"/>
  <c r="E97" i="10" s="1"/>
  <c r="F97" i="10" s="1"/>
  <c r="C106" i="10"/>
  <c r="C109" i="10" s="1"/>
  <c r="R108" i="10" l="1"/>
  <c r="G105" i="10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H103" i="10"/>
  <c r="I103" i="10" s="1"/>
  <c r="J103" i="10" s="1"/>
  <c r="K103" i="10" s="1"/>
  <c r="L103" i="10" s="1"/>
  <c r="M103" i="10" s="1"/>
  <c r="N103" i="10" s="1"/>
  <c r="O103" i="10" s="1"/>
  <c r="P103" i="10" s="1"/>
  <c r="Q103" i="10" s="1"/>
  <c r="R99" i="10"/>
  <c r="G104" i="10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G100" i="10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/>
  <c r="F101" i="10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2" i="10"/>
  <c r="R98" i="10"/>
  <c r="G97" i="10"/>
  <c r="R105" i="10" l="1"/>
  <c r="R104" i="10"/>
  <c r="R101" i="10"/>
  <c r="R103" i="10"/>
  <c r="H97" i="10"/>
  <c r="I97" i="10" l="1"/>
  <c r="J97" i="10" l="1"/>
  <c r="K97" i="10" l="1"/>
  <c r="L97" i="10" l="1"/>
  <c r="M97" i="10" l="1"/>
  <c r="R16" i="11"/>
  <c r="N52" i="11"/>
  <c r="O52" i="11"/>
  <c r="P52" i="11"/>
  <c r="Q52" i="11"/>
  <c r="N54" i="11"/>
  <c r="O54" i="11"/>
  <c r="P54" i="11"/>
  <c r="N55" i="11"/>
  <c r="O55" i="11"/>
  <c r="P55" i="11"/>
  <c r="N56" i="11"/>
  <c r="O56" i="11"/>
  <c r="P56" i="11"/>
  <c r="N57" i="11"/>
  <c r="O57" i="11"/>
  <c r="P57" i="11"/>
  <c r="N58" i="11"/>
  <c r="O58" i="11"/>
  <c r="P58" i="11"/>
  <c r="N53" i="11"/>
  <c r="O53" i="11"/>
  <c r="P53" i="11"/>
  <c r="R20" i="6"/>
  <c r="P7" i="6"/>
  <c r="R24" i="6"/>
  <c r="R6" i="6"/>
  <c r="R21" i="6"/>
  <c r="R16" i="6"/>
  <c r="R18" i="6"/>
  <c r="R14" i="6"/>
  <c r="Q32" i="11"/>
  <c r="Q26" i="11"/>
  <c r="R26" i="11" s="1"/>
  <c r="Q25" i="11"/>
  <c r="R25" i="11" s="1"/>
  <c r="Q16" i="11"/>
  <c r="Q53" i="11" s="1"/>
  <c r="Q22" i="11" l="1"/>
  <c r="Q6" i="5" s="1"/>
  <c r="R32" i="11"/>
  <c r="N97" i="10"/>
  <c r="Q58" i="11"/>
  <c r="C113" i="11"/>
  <c r="C110" i="11"/>
  <c r="C114" i="11" s="1"/>
  <c r="C119" i="11" s="1"/>
  <c r="D113" i="11"/>
  <c r="D118" i="11" s="1"/>
  <c r="D110" i="11"/>
  <c r="D111" i="11" s="1"/>
  <c r="D28" i="11" s="1"/>
  <c r="E113" i="11"/>
  <c r="E118" i="11" s="1"/>
  <c r="E110" i="11"/>
  <c r="E111" i="11" s="1"/>
  <c r="E28" i="11" s="1"/>
  <c r="F113" i="11"/>
  <c r="F118" i="11" s="1"/>
  <c r="F110" i="11"/>
  <c r="F114" i="11" s="1"/>
  <c r="G110" i="11"/>
  <c r="G109" i="11"/>
  <c r="G113" i="11" s="1"/>
  <c r="H109" i="11"/>
  <c r="H113" i="11" s="1"/>
  <c r="H110" i="11"/>
  <c r="H114" i="11" s="1"/>
  <c r="H119" i="11" s="1"/>
  <c r="I113" i="11"/>
  <c r="I118" i="11" s="1"/>
  <c r="I110" i="11"/>
  <c r="J113" i="11"/>
  <c r="P118" i="11"/>
  <c r="Q118" i="11"/>
  <c r="O119" i="11"/>
  <c r="P119" i="11"/>
  <c r="Q119" i="11"/>
  <c r="K113" i="11"/>
  <c r="K118" i="11" s="1"/>
  <c r="K110" i="11"/>
  <c r="K111" i="11" s="1"/>
  <c r="K28" i="11" s="1"/>
  <c r="L113" i="11"/>
  <c r="L118" i="11" s="1"/>
  <c r="L114" i="11"/>
  <c r="L119" i="11" s="1"/>
  <c r="M114" i="11"/>
  <c r="M119" i="11" s="1"/>
  <c r="M113" i="11"/>
  <c r="M118" i="11" s="1"/>
  <c r="J110" i="11"/>
  <c r="J111" i="11" s="1"/>
  <c r="J28" i="11" s="1"/>
  <c r="N114" i="11"/>
  <c r="N119" i="11" s="1"/>
  <c r="N113" i="11"/>
  <c r="O113" i="11"/>
  <c r="O118" i="11" s="1"/>
  <c r="L111" i="11"/>
  <c r="L28" i="11" s="1"/>
  <c r="M111" i="11"/>
  <c r="M28" i="11" s="1"/>
  <c r="N111" i="11"/>
  <c r="N28" i="11" s="1"/>
  <c r="O111" i="11"/>
  <c r="O28" i="11" s="1"/>
  <c r="P115" i="11"/>
  <c r="P27" i="11" s="1"/>
  <c r="P111" i="11"/>
  <c r="P28" i="11" s="1"/>
  <c r="P101" i="11"/>
  <c r="Q101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R91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R92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R93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R94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C89" i="11"/>
  <c r="O97" i="10" l="1"/>
  <c r="N115" i="11"/>
  <c r="N27" i="11" s="1"/>
  <c r="M120" i="11"/>
  <c r="C111" i="11"/>
  <c r="C28" i="11" s="1"/>
  <c r="Q120" i="11"/>
  <c r="O120" i="11"/>
  <c r="P120" i="11"/>
  <c r="L120" i="11"/>
  <c r="M115" i="11"/>
  <c r="M27" i="11" s="1"/>
  <c r="R101" i="11"/>
  <c r="O115" i="11"/>
  <c r="O27" i="11" s="1"/>
  <c r="E114" i="11"/>
  <c r="L115" i="11"/>
  <c r="L27" i="11" s="1"/>
  <c r="I114" i="11"/>
  <c r="I119" i="11" s="1"/>
  <c r="I120" i="11" s="1"/>
  <c r="G114" i="11"/>
  <c r="G119" i="11" s="1"/>
  <c r="N118" i="11"/>
  <c r="N120" i="11" s="1"/>
  <c r="D114" i="11"/>
  <c r="D119" i="11" s="1"/>
  <c r="D120" i="11" s="1"/>
  <c r="J114" i="11"/>
  <c r="J115" i="11" s="1"/>
  <c r="J27" i="11" s="1"/>
  <c r="K114" i="11"/>
  <c r="C115" i="11"/>
  <c r="C27" i="11" s="1"/>
  <c r="C118" i="11"/>
  <c r="C120" i="11"/>
  <c r="E115" i="11"/>
  <c r="E27" i="11" s="1"/>
  <c r="E119" i="11"/>
  <c r="E120" i="11" s="1"/>
  <c r="F119" i="11"/>
  <c r="F120" i="11" s="1"/>
  <c r="F115" i="11"/>
  <c r="F27" i="11" s="1"/>
  <c r="F111" i="11"/>
  <c r="F28" i="11" s="1"/>
  <c r="G118" i="11"/>
  <c r="G111" i="11"/>
  <c r="G28" i="11" s="1"/>
  <c r="H115" i="11"/>
  <c r="H27" i="11" s="1"/>
  <c r="H118" i="11"/>
  <c r="H120" i="11" s="1"/>
  <c r="H111" i="11"/>
  <c r="H28" i="11" s="1"/>
  <c r="I111" i="11"/>
  <c r="I28" i="11" s="1"/>
  <c r="J118" i="11"/>
  <c r="P97" i="10" l="1"/>
  <c r="G115" i="11"/>
  <c r="G27" i="11" s="1"/>
  <c r="I115" i="11"/>
  <c r="I27" i="11" s="1"/>
  <c r="D115" i="11"/>
  <c r="D27" i="11" s="1"/>
  <c r="J119" i="11"/>
  <c r="J120" i="11" s="1"/>
  <c r="G120" i="11"/>
  <c r="K115" i="11"/>
  <c r="K27" i="11" s="1"/>
  <c r="K119" i="11"/>
  <c r="K120" i="11" s="1"/>
  <c r="Q97" i="10" l="1"/>
  <c r="R97" i="10" s="1"/>
  <c r="R106" i="10" s="1"/>
  <c r="R109" i="10" s="1"/>
  <c r="P15" i="8"/>
  <c r="P16" i="8" s="1"/>
  <c r="O15" i="8"/>
  <c r="O16" i="8" s="1"/>
  <c r="Q46" i="11" l="1"/>
  <c r="Q47" i="11"/>
  <c r="Q10" i="12" s="1"/>
  <c r="R12" i="3"/>
  <c r="R12" i="10"/>
  <c r="R37" i="9"/>
  <c r="P30" i="9"/>
  <c r="R19" i="9"/>
  <c r="C145" i="15"/>
  <c r="E144" i="15"/>
  <c r="D144" i="15"/>
  <c r="C144" i="15"/>
  <c r="D133" i="15"/>
  <c r="E133" i="15"/>
  <c r="F133" i="15"/>
  <c r="G133" i="15"/>
  <c r="H133" i="15"/>
  <c r="I133" i="15"/>
  <c r="J133" i="15"/>
  <c r="C133" i="15"/>
  <c r="D139" i="15"/>
  <c r="E139" i="15"/>
  <c r="F139" i="15"/>
  <c r="G139" i="15"/>
  <c r="H139" i="15"/>
  <c r="I139" i="15"/>
  <c r="J139" i="15"/>
  <c r="C139" i="15"/>
  <c r="P27" i="15"/>
  <c r="P26" i="15"/>
  <c r="P25" i="15"/>
  <c r="P24" i="15"/>
  <c r="P23" i="15"/>
  <c r="C134" i="15"/>
  <c r="H16" i="15"/>
  <c r="H17" i="15"/>
  <c r="H18" i="15"/>
  <c r="H19" i="15"/>
  <c r="F17" i="15"/>
  <c r="F18" i="15"/>
  <c r="F19" i="15"/>
  <c r="F16" i="15"/>
  <c r="F20" i="15" s="1"/>
  <c r="E17" i="15"/>
  <c r="E18" i="15"/>
  <c r="E19" i="15"/>
  <c r="E16" i="15"/>
  <c r="D17" i="15"/>
  <c r="D18" i="15"/>
  <c r="D19" i="15"/>
  <c r="D16" i="15"/>
  <c r="G26" i="15"/>
  <c r="G27" i="15"/>
  <c r="G28" i="15"/>
  <c r="G29" i="15"/>
  <c r="G34" i="15"/>
  <c r="G35" i="15"/>
  <c r="G36" i="15"/>
  <c r="G37" i="15"/>
  <c r="G38" i="15"/>
  <c r="G42" i="15"/>
  <c r="G43" i="15"/>
  <c r="G44" i="15"/>
  <c r="G45" i="15"/>
  <c r="G46" i="15"/>
  <c r="G50" i="15"/>
  <c r="G51" i="15"/>
  <c r="G52" i="15"/>
  <c r="G53" i="15"/>
  <c r="G54" i="15"/>
  <c r="G58" i="15"/>
  <c r="G59" i="15"/>
  <c r="G60" i="15"/>
  <c r="G61" i="15"/>
  <c r="G62" i="15"/>
  <c r="G66" i="15"/>
  <c r="G67" i="15"/>
  <c r="G68" i="15"/>
  <c r="G69" i="15"/>
  <c r="G70" i="15"/>
  <c r="G74" i="15"/>
  <c r="G75" i="15"/>
  <c r="G76" i="15"/>
  <c r="G77" i="15"/>
  <c r="G78" i="15"/>
  <c r="G82" i="15"/>
  <c r="G83" i="15"/>
  <c r="G84" i="15"/>
  <c r="G85" i="15"/>
  <c r="G86" i="15"/>
  <c r="G25" i="15"/>
  <c r="G20" i="15"/>
  <c r="H20" i="15" s="1"/>
  <c r="C20" i="15"/>
  <c r="Q59" i="10" l="1"/>
  <c r="R6" i="3"/>
  <c r="R10" i="3"/>
  <c r="R31" i="9"/>
  <c r="Q49" i="9"/>
  <c r="R49" i="9" s="1"/>
  <c r="R13" i="9"/>
  <c r="R35" i="9"/>
  <c r="R11" i="3"/>
  <c r="R10" i="10"/>
  <c r="R6" i="10"/>
  <c r="R13" i="13" s="1"/>
  <c r="D20" i="15"/>
  <c r="E20" i="15"/>
  <c r="N2" i="15" l="1"/>
  <c r="M2" i="15"/>
  <c r="L2" i="15"/>
  <c r="K2" i="15"/>
  <c r="J2" i="15"/>
  <c r="D5" i="14" l="1"/>
  <c r="D6" i="14"/>
  <c r="D7" i="14"/>
  <c r="D8" i="14"/>
  <c r="D9" i="14"/>
  <c r="D10" i="14"/>
  <c r="D11" i="14"/>
  <c r="D12" i="14"/>
  <c r="D13" i="14"/>
  <c r="D14" i="14"/>
  <c r="D15" i="14"/>
  <c r="D16" i="14"/>
  <c r="D17" i="14"/>
  <c r="D4" i="14"/>
  <c r="R80" i="9" l="1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C46" i="10"/>
  <c r="C40" i="10"/>
  <c r="D40" i="10"/>
  <c r="E40" i="10"/>
  <c r="F40" i="10"/>
  <c r="G40" i="10"/>
  <c r="H40" i="10"/>
  <c r="I40" i="10"/>
  <c r="J40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C38" i="10"/>
  <c r="C71" i="9"/>
  <c r="D71" i="9"/>
  <c r="E71" i="9"/>
  <c r="F71" i="9"/>
  <c r="G71" i="9"/>
  <c r="H71" i="9"/>
  <c r="I71" i="9"/>
  <c r="J71" i="9"/>
  <c r="K66" i="9"/>
  <c r="K71" i="9" s="1"/>
  <c r="L66" i="9"/>
  <c r="L71" i="9" s="1"/>
  <c r="M34" i="10"/>
  <c r="M40" i="10" s="1"/>
  <c r="N34" i="10"/>
  <c r="N40" i="10" s="1"/>
  <c r="O34" i="10"/>
  <c r="O40" i="10" s="1"/>
  <c r="P34" i="10"/>
  <c r="P40" i="10" s="1"/>
  <c r="L34" i="10"/>
  <c r="L40" i="10" s="1"/>
  <c r="K33" i="10"/>
  <c r="K34" i="10" s="1"/>
  <c r="K40" i="10" s="1"/>
  <c r="N66" i="9"/>
  <c r="N71" i="9" s="1"/>
  <c r="O66" i="9"/>
  <c r="O71" i="9" s="1"/>
  <c r="P66" i="9"/>
  <c r="P71" i="9" s="1"/>
  <c r="M66" i="9"/>
  <c r="M71" i="9" s="1"/>
  <c r="G41" i="10" l="1"/>
  <c r="G44" i="10"/>
  <c r="M41" i="10"/>
  <c r="M44" i="10"/>
  <c r="E41" i="10"/>
  <c r="E44" i="10"/>
  <c r="O41" i="10"/>
  <c r="O44" i="10"/>
  <c r="N41" i="10"/>
  <c r="N44" i="10"/>
  <c r="L41" i="10"/>
  <c r="L44" i="10"/>
  <c r="D41" i="10"/>
  <c r="D44" i="10"/>
  <c r="F41" i="10"/>
  <c r="F44" i="10"/>
  <c r="K41" i="10"/>
  <c r="K44" i="10"/>
  <c r="J41" i="10"/>
  <c r="J44" i="10"/>
  <c r="C41" i="10"/>
  <c r="C44" i="10"/>
  <c r="I41" i="10"/>
  <c r="I44" i="10"/>
  <c r="P41" i="10"/>
  <c r="P44" i="10"/>
  <c r="H41" i="10"/>
  <c r="H44" i="10"/>
  <c r="J40" i="11"/>
  <c r="J5" i="12" s="1"/>
  <c r="I40" i="11"/>
  <c r="I5" i="12" s="1"/>
  <c r="F40" i="11"/>
  <c r="F5" i="12" s="1"/>
  <c r="O40" i="11"/>
  <c r="O5" i="12" s="1"/>
  <c r="R71" i="9"/>
  <c r="N40" i="11"/>
  <c r="N5" i="12" s="1"/>
  <c r="H40" i="11"/>
  <c r="H5" i="12" s="1"/>
  <c r="P40" i="11"/>
  <c r="P5" i="12" s="1"/>
  <c r="M40" i="11"/>
  <c r="M5" i="12" s="1"/>
  <c r="G40" i="11"/>
  <c r="G5" i="12" s="1"/>
  <c r="E40" i="11"/>
  <c r="E5" i="12" s="1"/>
  <c r="K40" i="11"/>
  <c r="K5" i="12" s="1"/>
  <c r="D40" i="11"/>
  <c r="D5" i="12" s="1"/>
  <c r="L40" i="11"/>
  <c r="L5" i="12" s="1"/>
  <c r="C40" i="11"/>
  <c r="C5" i="12" s="1"/>
  <c r="R8" i="11" l="1"/>
  <c r="P8" i="11"/>
  <c r="O8" i="11"/>
  <c r="R60" i="10"/>
  <c r="R59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P43" i="9"/>
  <c r="P21" i="9"/>
  <c r="O21" i="9"/>
  <c r="N21" i="9"/>
  <c r="M21" i="9"/>
  <c r="L21" i="9"/>
  <c r="K21" i="9"/>
  <c r="K24" i="9" s="1"/>
  <c r="J21" i="9"/>
  <c r="J24" i="9" s="1"/>
  <c r="I21" i="9"/>
  <c r="I24" i="9" s="1"/>
  <c r="H21" i="9"/>
  <c r="H24" i="9" s="1"/>
  <c r="G21" i="9"/>
  <c r="G24" i="9" s="1"/>
  <c r="F21" i="9"/>
  <c r="F24" i="9" s="1"/>
  <c r="E21" i="9"/>
  <c r="E24" i="9" s="1"/>
  <c r="D21" i="9"/>
  <c r="D24" i="9" s="1"/>
  <c r="C21" i="9"/>
  <c r="C24" i="9" s="1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P27" i="1"/>
  <c r="O27" i="1"/>
  <c r="O5" i="13" l="1"/>
  <c r="O6" i="13" s="1"/>
  <c r="O5" i="8"/>
  <c r="O6" i="8" s="1"/>
  <c r="O7" i="8" s="1"/>
  <c r="D5" i="13"/>
  <c r="D6" i="13" s="1"/>
  <c r="D106" i="10"/>
  <c r="E106" i="10" s="1"/>
  <c r="F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D5" i="8"/>
  <c r="D6" i="8" s="1"/>
  <c r="D7" i="8" s="1"/>
  <c r="P5" i="13"/>
  <c r="P6" i="13" s="1"/>
  <c r="P5" i="8"/>
  <c r="P6" i="8" s="1"/>
  <c r="P7" i="8" s="1"/>
  <c r="C5" i="13"/>
  <c r="C5" i="8"/>
  <c r="C6" i="8" s="1"/>
  <c r="C7" i="8" s="1"/>
  <c r="E5" i="13"/>
  <c r="E6" i="13" s="1"/>
  <c r="E5" i="8"/>
  <c r="E6" i="8" s="1"/>
  <c r="E7" i="8" s="1"/>
  <c r="F5" i="13"/>
  <c r="F6" i="13" s="1"/>
  <c r="F5" i="8"/>
  <c r="F6" i="8" s="1"/>
  <c r="F7" i="8" s="1"/>
  <c r="L5" i="13"/>
  <c r="L6" i="13" s="1"/>
  <c r="L5" i="8"/>
  <c r="L6" i="8" s="1"/>
  <c r="L7" i="8" s="1"/>
  <c r="G5" i="13"/>
  <c r="G6" i="13" s="1"/>
  <c r="G5" i="8"/>
  <c r="G6" i="8" s="1"/>
  <c r="G7" i="8" s="1"/>
  <c r="J5" i="13"/>
  <c r="J6" i="13" s="1"/>
  <c r="J5" i="8"/>
  <c r="J6" i="8" s="1"/>
  <c r="J7" i="8" s="1"/>
  <c r="M5" i="13"/>
  <c r="M6" i="13" s="1"/>
  <c r="M5" i="8"/>
  <c r="M6" i="8" s="1"/>
  <c r="M7" i="8" s="1"/>
  <c r="H5" i="13"/>
  <c r="H6" i="13" s="1"/>
  <c r="H5" i="8"/>
  <c r="H6" i="8" s="1"/>
  <c r="H7" i="8" s="1"/>
  <c r="K5" i="13"/>
  <c r="K6" i="13" s="1"/>
  <c r="K5" i="8"/>
  <c r="K6" i="8" s="1"/>
  <c r="K7" i="8" s="1"/>
  <c r="N5" i="13"/>
  <c r="N6" i="13" s="1"/>
  <c r="N5" i="8"/>
  <c r="N6" i="8" s="1"/>
  <c r="N7" i="8" s="1"/>
  <c r="I5" i="13"/>
  <c r="I6" i="13" s="1"/>
  <c r="I5" i="8"/>
  <c r="I6" i="8" s="1"/>
  <c r="I7" i="8" s="1"/>
  <c r="J83" i="9"/>
  <c r="J47" i="11" s="1"/>
  <c r="J10" i="12" s="1"/>
  <c r="J78" i="9"/>
  <c r="B11" i="14"/>
  <c r="D83" i="9"/>
  <c r="D47" i="11" s="1"/>
  <c r="D10" i="12" s="1"/>
  <c r="D78" i="9"/>
  <c r="B5" i="14"/>
  <c r="L83" i="9"/>
  <c r="L47" i="11" s="1"/>
  <c r="L10" i="12" s="1"/>
  <c r="L78" i="9"/>
  <c r="B13" i="14"/>
  <c r="H83" i="9"/>
  <c r="H47" i="11" s="1"/>
  <c r="H10" i="12" s="1"/>
  <c r="H78" i="9"/>
  <c r="B9" i="14"/>
  <c r="P83" i="9"/>
  <c r="P47" i="11" s="1"/>
  <c r="P10" i="12" s="1"/>
  <c r="P78" i="9"/>
  <c r="B17" i="14"/>
  <c r="C83" i="9"/>
  <c r="C47" i="11" s="1"/>
  <c r="C10" i="12" s="1"/>
  <c r="C78" i="9"/>
  <c r="B4" i="14"/>
  <c r="N83" i="9"/>
  <c r="N47" i="11" s="1"/>
  <c r="N10" i="12" s="1"/>
  <c r="N78" i="9"/>
  <c r="B15" i="14"/>
  <c r="K83" i="9"/>
  <c r="K47" i="11" s="1"/>
  <c r="K10" i="12" s="1"/>
  <c r="K78" i="9"/>
  <c r="B12" i="14"/>
  <c r="E83" i="9"/>
  <c r="E47" i="11" s="1"/>
  <c r="E10" i="12" s="1"/>
  <c r="E78" i="9"/>
  <c r="B6" i="14"/>
  <c r="M83" i="9"/>
  <c r="M47" i="11" s="1"/>
  <c r="M10" i="12" s="1"/>
  <c r="M78" i="9"/>
  <c r="B14" i="14"/>
  <c r="F83" i="9"/>
  <c r="F47" i="11" s="1"/>
  <c r="F10" i="12" s="1"/>
  <c r="F78" i="9"/>
  <c r="B7" i="14"/>
  <c r="G83" i="9"/>
  <c r="G47" i="11" s="1"/>
  <c r="G10" i="12" s="1"/>
  <c r="G78" i="9"/>
  <c r="B8" i="14"/>
  <c r="O78" i="9"/>
  <c r="B16" i="14"/>
  <c r="I83" i="9"/>
  <c r="I47" i="11" s="1"/>
  <c r="I10" i="12" s="1"/>
  <c r="I78" i="9"/>
  <c r="B10" i="14"/>
  <c r="N39" i="10"/>
  <c r="N42" i="10"/>
  <c r="N43" i="10" s="1"/>
  <c r="G39" i="10"/>
  <c r="G42" i="10"/>
  <c r="G43" i="10" s="1"/>
  <c r="O39" i="10"/>
  <c r="O42" i="10"/>
  <c r="O43" i="10" s="1"/>
  <c r="K6" i="11"/>
  <c r="K42" i="10"/>
  <c r="K43" i="10" s="1"/>
  <c r="K39" i="10"/>
  <c r="L42" i="10"/>
  <c r="L43" i="10" s="1"/>
  <c r="L39" i="10"/>
  <c r="M42" i="10"/>
  <c r="M43" i="10" s="1"/>
  <c r="M39" i="10"/>
  <c r="H6" i="11"/>
  <c r="H39" i="10"/>
  <c r="H42" i="10"/>
  <c r="H43" i="10" s="1"/>
  <c r="P39" i="10"/>
  <c r="P42" i="10"/>
  <c r="P43" i="10" s="1"/>
  <c r="E42" i="10"/>
  <c r="E43" i="10" s="1"/>
  <c r="E39" i="10"/>
  <c r="I42" i="10"/>
  <c r="I43" i="10" s="1"/>
  <c r="I39" i="10"/>
  <c r="C39" i="10"/>
  <c r="C42" i="10"/>
  <c r="C43" i="10" s="1"/>
  <c r="D42" i="10"/>
  <c r="D43" i="10" s="1"/>
  <c r="D39" i="10"/>
  <c r="F39" i="10"/>
  <c r="F42" i="10"/>
  <c r="J42" i="10"/>
  <c r="J43" i="10" s="1"/>
  <c r="J39" i="10"/>
  <c r="D6" i="11"/>
  <c r="F6" i="11"/>
  <c r="E6" i="11"/>
  <c r="G6" i="11"/>
  <c r="I6" i="11"/>
  <c r="C5" i="11"/>
  <c r="C9" i="11" s="1"/>
  <c r="C6" i="11"/>
  <c r="L6" i="11"/>
  <c r="M6" i="11"/>
  <c r="P6" i="11"/>
  <c r="J5" i="11"/>
  <c r="J9" i="11" s="1"/>
  <c r="J6" i="11"/>
  <c r="N6" i="11"/>
  <c r="O6" i="11"/>
  <c r="O83" i="9"/>
  <c r="O47" i="11" s="1"/>
  <c r="O10" i="12" s="1"/>
  <c r="F72" i="9"/>
  <c r="F41" i="11" s="1"/>
  <c r="F6" i="12" s="1"/>
  <c r="F77" i="9"/>
  <c r="H77" i="9"/>
  <c r="H72" i="9"/>
  <c r="H41" i="11" s="1"/>
  <c r="H6" i="12" s="1"/>
  <c r="P77" i="9"/>
  <c r="P72" i="9"/>
  <c r="P41" i="11" s="1"/>
  <c r="P6" i="12" s="1"/>
  <c r="I77" i="9"/>
  <c r="I72" i="9"/>
  <c r="I41" i="11" s="1"/>
  <c r="I6" i="12" s="1"/>
  <c r="E72" i="9"/>
  <c r="E41" i="11" s="1"/>
  <c r="E6" i="12" s="1"/>
  <c r="E77" i="9"/>
  <c r="O72" i="9"/>
  <c r="O41" i="11" s="1"/>
  <c r="O6" i="12" s="1"/>
  <c r="O77" i="9"/>
  <c r="N72" i="9"/>
  <c r="N41" i="11" s="1"/>
  <c r="N6" i="12" s="1"/>
  <c r="N77" i="9"/>
  <c r="J77" i="9"/>
  <c r="J72" i="9"/>
  <c r="J41" i="11" s="1"/>
  <c r="J6" i="12" s="1"/>
  <c r="C77" i="9"/>
  <c r="C72" i="9"/>
  <c r="K77" i="9"/>
  <c r="K72" i="9"/>
  <c r="K41" i="11" s="1"/>
  <c r="K6" i="12" s="1"/>
  <c r="M72" i="9"/>
  <c r="M41" i="11" s="1"/>
  <c r="M6" i="12" s="1"/>
  <c r="M77" i="9"/>
  <c r="G72" i="9"/>
  <c r="G41" i="11" s="1"/>
  <c r="G6" i="12" s="1"/>
  <c r="G77" i="9"/>
  <c r="D77" i="9"/>
  <c r="D72" i="9"/>
  <c r="D41" i="11" s="1"/>
  <c r="D6" i="12" s="1"/>
  <c r="L77" i="9"/>
  <c r="L72" i="9"/>
  <c r="L41" i="11" s="1"/>
  <c r="L6" i="12" s="1"/>
  <c r="E17" i="10"/>
  <c r="F17" i="10"/>
  <c r="F43" i="10"/>
  <c r="H17" i="10"/>
  <c r="I17" i="10"/>
  <c r="D17" i="10"/>
  <c r="D109" i="10" s="1"/>
  <c r="G17" i="10"/>
  <c r="J17" i="10"/>
  <c r="C17" i="10"/>
  <c r="K17" i="10"/>
  <c r="N25" i="9"/>
  <c r="N82" i="9" s="1"/>
  <c r="N46" i="11" s="1"/>
  <c r="N69" i="9"/>
  <c r="N75" i="9" s="1"/>
  <c r="N44" i="11" s="1"/>
  <c r="N9" i="12" s="1"/>
  <c r="G25" i="9"/>
  <c r="G82" i="9" s="1"/>
  <c r="G46" i="11" s="1"/>
  <c r="G69" i="9"/>
  <c r="G75" i="9" s="1"/>
  <c r="G44" i="11" s="1"/>
  <c r="G9" i="12" s="1"/>
  <c r="O25" i="9"/>
  <c r="O82" i="9" s="1"/>
  <c r="O46" i="11" s="1"/>
  <c r="O69" i="9"/>
  <c r="O75" i="9" s="1"/>
  <c r="O44" i="11" s="1"/>
  <c r="O9" i="12" s="1"/>
  <c r="P25" i="9"/>
  <c r="P82" i="9" s="1"/>
  <c r="P46" i="11" s="1"/>
  <c r="P69" i="9"/>
  <c r="P75" i="9" s="1"/>
  <c r="P44" i="11" s="1"/>
  <c r="P9" i="12" s="1"/>
  <c r="I25" i="9"/>
  <c r="I82" i="9" s="1"/>
  <c r="I46" i="11" s="1"/>
  <c r="I69" i="9"/>
  <c r="I75" i="9" s="1"/>
  <c r="I44" i="11" s="1"/>
  <c r="I9" i="12" s="1"/>
  <c r="H25" i="9"/>
  <c r="H82" i="9" s="1"/>
  <c r="H46" i="11" s="1"/>
  <c r="H69" i="9"/>
  <c r="H75" i="9" s="1"/>
  <c r="H44" i="11" s="1"/>
  <c r="H9" i="12" s="1"/>
  <c r="J25" i="9"/>
  <c r="J82" i="9" s="1"/>
  <c r="J46" i="11" s="1"/>
  <c r="J69" i="9"/>
  <c r="J75" i="9" s="1"/>
  <c r="J44" i="11" s="1"/>
  <c r="J9" i="12" s="1"/>
  <c r="C25" i="9"/>
  <c r="C82" i="9" s="1"/>
  <c r="C46" i="11" s="1"/>
  <c r="C69" i="9"/>
  <c r="C75" i="9" s="1"/>
  <c r="C44" i="11" s="1"/>
  <c r="C9" i="12" s="1"/>
  <c r="K25" i="9"/>
  <c r="K82" i="9" s="1"/>
  <c r="K46" i="11" s="1"/>
  <c r="K69" i="9"/>
  <c r="K75" i="9" s="1"/>
  <c r="K44" i="11" s="1"/>
  <c r="K9" i="12" s="1"/>
  <c r="F25" i="9"/>
  <c r="F82" i="9" s="1"/>
  <c r="F46" i="11" s="1"/>
  <c r="F69" i="9"/>
  <c r="F75" i="9" s="1"/>
  <c r="F44" i="11" s="1"/>
  <c r="F9" i="12" s="1"/>
  <c r="D25" i="9"/>
  <c r="D82" i="9" s="1"/>
  <c r="D46" i="11" s="1"/>
  <c r="D69" i="9"/>
  <c r="D75" i="9" s="1"/>
  <c r="D44" i="11" s="1"/>
  <c r="D9" i="12" s="1"/>
  <c r="L25" i="9"/>
  <c r="L82" i="9" s="1"/>
  <c r="L46" i="11" s="1"/>
  <c r="L69" i="9"/>
  <c r="L75" i="9" s="1"/>
  <c r="L44" i="11" s="1"/>
  <c r="L9" i="12" s="1"/>
  <c r="E25" i="9"/>
  <c r="E82" i="9" s="1"/>
  <c r="E46" i="11" s="1"/>
  <c r="E69" i="9"/>
  <c r="E75" i="9" s="1"/>
  <c r="E44" i="11" s="1"/>
  <c r="E9" i="12" s="1"/>
  <c r="M25" i="9"/>
  <c r="M82" i="9" s="1"/>
  <c r="M46" i="11" s="1"/>
  <c r="M69" i="9"/>
  <c r="M75" i="9" s="1"/>
  <c r="M44" i="11" s="1"/>
  <c r="M9" i="12" s="1"/>
  <c r="M24" i="9"/>
  <c r="N24" i="9"/>
  <c r="P24" i="9"/>
  <c r="P26" i="9" s="1"/>
  <c r="O24" i="9"/>
  <c r="O26" i="9" s="1"/>
  <c r="L24" i="9"/>
  <c r="O17" i="10"/>
  <c r="O21" i="13" s="1"/>
  <c r="P17" i="10"/>
  <c r="L17" i="10"/>
  <c r="M17" i="10"/>
  <c r="N17" i="10"/>
  <c r="L5" i="11"/>
  <c r="L9" i="11" s="1"/>
  <c r="D5" i="11"/>
  <c r="D9" i="11" s="1"/>
  <c r="K5" i="11"/>
  <c r="K9" i="11" s="1"/>
  <c r="I5" i="11"/>
  <c r="I9" i="11" s="1"/>
  <c r="P5" i="11"/>
  <c r="H5" i="11"/>
  <c r="H9" i="11" s="1"/>
  <c r="O5" i="11"/>
  <c r="G5" i="11"/>
  <c r="G9" i="11" s="1"/>
  <c r="N5" i="11"/>
  <c r="N9" i="11" s="1"/>
  <c r="F5" i="11"/>
  <c r="F9" i="11" s="1"/>
  <c r="M5" i="11"/>
  <c r="M9" i="11" s="1"/>
  <c r="E5" i="11"/>
  <c r="E9" i="11" s="1"/>
  <c r="Q50" i="1"/>
  <c r="Q49" i="1"/>
  <c r="Q48" i="2"/>
  <c r="Q47" i="2"/>
  <c r="M8" i="8" l="1"/>
  <c r="M9" i="8"/>
  <c r="J8" i="8"/>
  <c r="J9" i="8"/>
  <c r="P9" i="8"/>
  <c r="P8" i="8"/>
  <c r="E109" i="10"/>
  <c r="F109" i="10" s="1"/>
  <c r="G109" i="10" s="1"/>
  <c r="H109" i="10" s="1"/>
  <c r="I109" i="10" s="1"/>
  <c r="J109" i="10" s="1"/>
  <c r="K109" i="10" s="1"/>
  <c r="L109" i="10" s="1"/>
  <c r="M109" i="10" s="1"/>
  <c r="N109" i="10" s="1"/>
  <c r="O109" i="10" s="1"/>
  <c r="P109" i="10" s="1"/>
  <c r="Q109" i="10" s="1"/>
  <c r="H9" i="8"/>
  <c r="H8" i="8"/>
  <c r="I8" i="8"/>
  <c r="I9" i="8"/>
  <c r="G9" i="8"/>
  <c r="G8" i="8"/>
  <c r="D8" i="8"/>
  <c r="D9" i="8"/>
  <c r="C9" i="8"/>
  <c r="C8" i="8"/>
  <c r="R7" i="8"/>
  <c r="N9" i="8"/>
  <c r="N8" i="8"/>
  <c r="L9" i="8"/>
  <c r="L8" i="8"/>
  <c r="Q18" i="10"/>
  <c r="P21" i="13"/>
  <c r="E8" i="8"/>
  <c r="E9" i="8"/>
  <c r="O9" i="8"/>
  <c r="O8" i="8"/>
  <c r="K8" i="8"/>
  <c r="K9" i="8"/>
  <c r="F9" i="8"/>
  <c r="F8" i="8"/>
  <c r="E12" i="14"/>
  <c r="F12" i="14" s="1"/>
  <c r="E17" i="14"/>
  <c r="F17" i="14" s="1"/>
  <c r="E16" i="14"/>
  <c r="F16" i="14" s="1"/>
  <c r="E14" i="14"/>
  <c r="F14" i="14" s="1"/>
  <c r="E5" i="14"/>
  <c r="F5" i="14" s="1"/>
  <c r="E15" i="14"/>
  <c r="F15" i="14" s="1"/>
  <c r="G15" i="14"/>
  <c r="E8" i="14"/>
  <c r="F8" i="14" s="1"/>
  <c r="E9" i="14"/>
  <c r="F9" i="14" s="1"/>
  <c r="E6" i="14"/>
  <c r="F6" i="14" s="1"/>
  <c r="E11" i="14"/>
  <c r="F11" i="14" s="1"/>
  <c r="G11" i="14"/>
  <c r="E4" i="14"/>
  <c r="F4" i="14" s="1"/>
  <c r="G4" i="14"/>
  <c r="E10" i="14"/>
  <c r="F10" i="14" s="1"/>
  <c r="E7" i="14"/>
  <c r="F7" i="14" s="1"/>
  <c r="E13" i="14"/>
  <c r="F13" i="14" s="1"/>
  <c r="E38" i="11"/>
  <c r="E3" i="12" s="1"/>
  <c r="E70" i="9"/>
  <c r="E73" i="9"/>
  <c r="L38" i="11"/>
  <c r="L3" i="12" s="1"/>
  <c r="L70" i="9"/>
  <c r="L39" i="11" s="1"/>
  <c r="L4" i="12" s="1"/>
  <c r="L73" i="9"/>
  <c r="K38" i="11"/>
  <c r="K3" i="12" s="1"/>
  <c r="K70" i="9"/>
  <c r="K39" i="11" s="1"/>
  <c r="K4" i="12" s="1"/>
  <c r="K73" i="9"/>
  <c r="P38" i="11"/>
  <c r="P3" i="12" s="1"/>
  <c r="P70" i="9"/>
  <c r="P73" i="9"/>
  <c r="D38" i="11"/>
  <c r="D3" i="12" s="1"/>
  <c r="D73" i="9"/>
  <c r="D70" i="9"/>
  <c r="J38" i="11"/>
  <c r="J3" i="12" s="1"/>
  <c r="J70" i="9"/>
  <c r="J39" i="11" s="1"/>
  <c r="J4" i="12" s="1"/>
  <c r="J73" i="9"/>
  <c r="O38" i="11"/>
  <c r="O3" i="12" s="1"/>
  <c r="O73" i="9"/>
  <c r="O74" i="9" s="1"/>
  <c r="O43" i="11" s="1"/>
  <c r="O7" i="12" s="1"/>
  <c r="O70" i="9"/>
  <c r="O39" i="11" s="1"/>
  <c r="O4" i="12" s="1"/>
  <c r="I38" i="11"/>
  <c r="I3" i="12" s="1"/>
  <c r="I70" i="9"/>
  <c r="I73" i="9"/>
  <c r="I74" i="9" s="1"/>
  <c r="I43" i="11" s="1"/>
  <c r="I7" i="12" s="1"/>
  <c r="N38" i="11"/>
  <c r="N3" i="12" s="1"/>
  <c r="N70" i="9"/>
  <c r="N39" i="11" s="1"/>
  <c r="N4" i="12" s="1"/>
  <c r="N73" i="9"/>
  <c r="P10" i="11"/>
  <c r="M38" i="11"/>
  <c r="M3" i="12" s="1"/>
  <c r="M70" i="9"/>
  <c r="M39" i="11" s="1"/>
  <c r="M4" i="12" s="1"/>
  <c r="M73" i="9"/>
  <c r="F38" i="11"/>
  <c r="F3" i="12" s="1"/>
  <c r="F70" i="9"/>
  <c r="F73" i="9"/>
  <c r="H38" i="11"/>
  <c r="H3" i="12" s="1"/>
  <c r="H70" i="9"/>
  <c r="H39" i="11" s="1"/>
  <c r="H4" i="12" s="1"/>
  <c r="H73" i="9"/>
  <c r="G38" i="11"/>
  <c r="G3" i="12" s="1"/>
  <c r="G73" i="9"/>
  <c r="G70" i="9"/>
  <c r="C70" i="9"/>
  <c r="C73" i="9"/>
  <c r="C74" i="9" s="1"/>
  <c r="C43" i="11" s="1"/>
  <c r="C7" i="12" s="1"/>
  <c r="I10" i="11"/>
  <c r="J10" i="11"/>
  <c r="N10" i="11"/>
  <c r="C41" i="11"/>
  <c r="C6" i="12" s="1"/>
  <c r="R72" i="9"/>
  <c r="G10" i="11"/>
  <c r="M10" i="11"/>
  <c r="G74" i="9"/>
  <c r="G43" i="11" s="1"/>
  <c r="G7" i="12" s="1"/>
  <c r="G39" i="11"/>
  <c r="G4" i="12" s="1"/>
  <c r="K10" i="11"/>
  <c r="I39" i="11"/>
  <c r="I4" i="12" s="1"/>
  <c r="H10" i="11"/>
  <c r="D39" i="11"/>
  <c r="D4" i="12" s="1"/>
  <c r="P74" i="9"/>
  <c r="P43" i="11" s="1"/>
  <c r="P7" i="12" s="1"/>
  <c r="P39" i="11"/>
  <c r="P4" i="12" s="1"/>
  <c r="C10" i="11"/>
  <c r="C38" i="11"/>
  <c r="C3" i="12" s="1"/>
  <c r="D10" i="11"/>
  <c r="F39" i="11"/>
  <c r="F4" i="12" s="1"/>
  <c r="E39" i="11"/>
  <c r="E4" i="12" s="1"/>
  <c r="E10" i="11"/>
  <c r="F10" i="11"/>
  <c r="O10" i="11"/>
  <c r="L10" i="11"/>
  <c r="O9" i="11"/>
  <c r="P9" i="11"/>
  <c r="T22" i="7"/>
  <c r="R5" i="5"/>
  <c r="R8" i="8" l="1"/>
  <c r="R9" i="8"/>
  <c r="G7" i="14"/>
  <c r="G9" i="14"/>
  <c r="G17" i="14"/>
  <c r="G12" i="14"/>
  <c r="G5" i="14"/>
  <c r="G14" i="14"/>
  <c r="G13" i="14"/>
  <c r="G8" i="14"/>
  <c r="G16" i="14"/>
  <c r="G6" i="14"/>
  <c r="G10" i="14"/>
  <c r="I42" i="11"/>
  <c r="I8" i="12" s="1"/>
  <c r="E42" i="11"/>
  <c r="E8" i="12" s="1"/>
  <c r="E74" i="9"/>
  <c r="E43" i="11" s="1"/>
  <c r="E7" i="12" s="1"/>
  <c r="M42" i="11"/>
  <c r="M8" i="12" s="1"/>
  <c r="M74" i="9"/>
  <c r="M43" i="11" s="1"/>
  <c r="M7" i="12" s="1"/>
  <c r="F42" i="11"/>
  <c r="F8" i="12" s="1"/>
  <c r="F74" i="9"/>
  <c r="F43" i="11" s="1"/>
  <c r="F7" i="12" s="1"/>
  <c r="H42" i="11"/>
  <c r="H8" i="12" s="1"/>
  <c r="H74" i="9"/>
  <c r="H43" i="11" s="1"/>
  <c r="H7" i="12" s="1"/>
  <c r="K42" i="11"/>
  <c r="K8" i="12" s="1"/>
  <c r="K74" i="9"/>
  <c r="K43" i="11" s="1"/>
  <c r="K7" i="12" s="1"/>
  <c r="J42" i="11"/>
  <c r="J8" i="12" s="1"/>
  <c r="J74" i="9"/>
  <c r="J43" i="11" s="1"/>
  <c r="J7" i="12" s="1"/>
  <c r="N42" i="11"/>
  <c r="N8" i="12" s="1"/>
  <c r="N74" i="9"/>
  <c r="N43" i="11" s="1"/>
  <c r="N7" i="12" s="1"/>
  <c r="L42" i="11"/>
  <c r="L8" i="12" s="1"/>
  <c r="L74" i="9"/>
  <c r="L43" i="11" s="1"/>
  <c r="L7" i="12" s="1"/>
  <c r="D42" i="11"/>
  <c r="D8" i="12" s="1"/>
  <c r="D74" i="9"/>
  <c r="D43" i="11" s="1"/>
  <c r="D7" i="12" s="1"/>
  <c r="P42" i="11"/>
  <c r="P8" i="12" s="1"/>
  <c r="O42" i="11"/>
  <c r="O8" i="12" s="1"/>
  <c r="G42" i="11"/>
  <c r="G8" i="12" s="1"/>
  <c r="C39" i="11"/>
  <c r="C4" i="12" s="1"/>
  <c r="C42" i="11"/>
  <c r="C8" i="12" s="1"/>
  <c r="K13" i="6"/>
  <c r="J13" i="6" l="1"/>
  <c r="I13" i="6" l="1"/>
  <c r="H13" i="6" l="1"/>
  <c r="H21" i="6"/>
  <c r="G13" i="6" l="1"/>
  <c r="D13" i="6" l="1"/>
  <c r="C13" i="6"/>
  <c r="U20" i="6"/>
  <c r="V20" i="6" s="1"/>
  <c r="W20" i="6" s="1"/>
  <c r="O24" i="6"/>
  <c r="P24" i="6"/>
  <c r="T22" i="6"/>
  <c r="P13" i="6"/>
  <c r="P17" i="6"/>
  <c r="P15" i="6"/>
  <c r="P18" i="6"/>
  <c r="P19" i="6"/>
  <c r="P21" i="6"/>
  <c r="P16" i="6"/>
  <c r="P14" i="6"/>
  <c r="O13" i="6"/>
  <c r="O17" i="6"/>
  <c r="O15" i="6"/>
  <c r="U16" i="6" l="1"/>
  <c r="V16" i="6" s="1"/>
  <c r="W16" i="6" s="1"/>
  <c r="U17" i="13"/>
  <c r="V17" i="13" s="1"/>
  <c r="W17" i="13" s="1"/>
  <c r="U14" i="6"/>
  <c r="V14" i="6" s="1"/>
  <c r="W14" i="6" s="1"/>
  <c r="U13" i="13"/>
  <c r="V13" i="13" s="1"/>
  <c r="W13" i="13" s="1"/>
  <c r="U21" i="6"/>
  <c r="V21" i="6" s="1"/>
  <c r="W21" i="6" s="1"/>
  <c r="O22" i="6"/>
  <c r="O5" i="6" s="1"/>
  <c r="U18" i="6"/>
  <c r="V18" i="6" s="1"/>
  <c r="W18" i="6" s="1"/>
  <c r="P22" i="6"/>
  <c r="P5" i="6" s="1"/>
  <c r="N13" i="6"/>
  <c r="N17" i="6"/>
  <c r="N15" i="6"/>
  <c r="N22" i="6" l="1"/>
  <c r="N5" i="6" s="1"/>
  <c r="M17" i="6"/>
  <c r="M13" i="6"/>
  <c r="N21" i="13" l="1"/>
  <c r="M22" i="6"/>
  <c r="M5" i="6" s="1"/>
  <c r="C22" i="6"/>
  <c r="D22" i="6"/>
  <c r="D5" i="6" s="1"/>
  <c r="L13" i="6"/>
  <c r="M21" i="13" l="1"/>
  <c r="D21" i="13"/>
  <c r="C5" i="6"/>
  <c r="L17" i="6"/>
  <c r="C6" i="13" l="1"/>
  <c r="C21" i="13" s="1"/>
  <c r="L22" i="6"/>
  <c r="L5" i="6" s="1"/>
  <c r="K15" i="6"/>
  <c r="K22" i="6" s="1"/>
  <c r="K5" i="6" s="1"/>
  <c r="K17" i="6"/>
  <c r="K21" i="13" l="1"/>
  <c r="L21" i="13"/>
  <c r="J17" i="6"/>
  <c r="J22" i="6" l="1"/>
  <c r="J5" i="6" s="1"/>
  <c r="I17" i="6"/>
  <c r="I22" i="6" l="1"/>
  <c r="I5" i="6" s="1"/>
  <c r="J21" i="13"/>
  <c r="H17" i="6"/>
  <c r="H22" i="6" l="1"/>
  <c r="H5" i="6" s="1"/>
  <c r="I21" i="13"/>
  <c r="G17" i="6"/>
  <c r="G22" i="6" l="1"/>
  <c r="H21" i="13"/>
  <c r="G5" i="6"/>
  <c r="F17" i="6"/>
  <c r="F22" i="6" l="1"/>
  <c r="F5" i="6" s="1"/>
  <c r="G21" i="13"/>
  <c r="E17" i="6"/>
  <c r="E22" i="6" l="1"/>
  <c r="F21" i="13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O7" i="6"/>
  <c r="O26" i="6" s="1"/>
  <c r="N7" i="6"/>
  <c r="N26" i="6" s="1"/>
  <c r="M7" i="6"/>
  <c r="M26" i="6" s="1"/>
  <c r="L7" i="6"/>
  <c r="L26" i="6" s="1"/>
  <c r="K7" i="6"/>
  <c r="K26" i="6" s="1"/>
  <c r="J7" i="6"/>
  <c r="J26" i="6" s="1"/>
  <c r="I7" i="6"/>
  <c r="I26" i="6" s="1"/>
  <c r="H7" i="6"/>
  <c r="H26" i="6" s="1"/>
  <c r="G7" i="6"/>
  <c r="G26" i="6" s="1"/>
  <c r="F7" i="6"/>
  <c r="F26" i="6" s="1"/>
  <c r="D7" i="6"/>
  <c r="D26" i="6" s="1"/>
  <c r="C7" i="6"/>
  <c r="C26" i="6" s="1"/>
  <c r="P8" i="4"/>
  <c r="O8" i="4"/>
  <c r="G5" i="4"/>
  <c r="P18" i="3"/>
  <c r="R18" i="3" s="1"/>
  <c r="R15" i="3"/>
  <c r="P13" i="3"/>
  <c r="P16" i="3" s="1"/>
  <c r="J13" i="3"/>
  <c r="J16" i="3" s="1"/>
  <c r="J19" i="3" s="1"/>
  <c r="I13" i="3"/>
  <c r="I16" i="3" s="1"/>
  <c r="I19" i="3" s="1"/>
  <c r="H13" i="3"/>
  <c r="H16" i="3" s="1"/>
  <c r="H19" i="3" s="1"/>
  <c r="G13" i="3"/>
  <c r="G16" i="3" s="1"/>
  <c r="G19" i="3" s="1"/>
  <c r="F13" i="3"/>
  <c r="F16" i="3" s="1"/>
  <c r="F19" i="3" s="1"/>
  <c r="E13" i="3"/>
  <c r="E16" i="3" s="1"/>
  <c r="E19" i="3" s="1"/>
  <c r="D13" i="3"/>
  <c r="D19" i="3" s="1"/>
  <c r="C13" i="3"/>
  <c r="C16" i="3" s="1"/>
  <c r="C19" i="3" s="1"/>
  <c r="O10" i="3"/>
  <c r="N10" i="3"/>
  <c r="M10" i="3"/>
  <c r="L10" i="3"/>
  <c r="K10" i="3"/>
  <c r="O9" i="3"/>
  <c r="N9" i="3"/>
  <c r="M9" i="3"/>
  <c r="L9" i="3"/>
  <c r="K9" i="3"/>
  <c r="O7" i="3"/>
  <c r="N7" i="3"/>
  <c r="M7" i="3"/>
  <c r="L7" i="3"/>
  <c r="K7" i="3"/>
  <c r="O5" i="3"/>
  <c r="N5" i="3"/>
  <c r="N13" i="3" s="1"/>
  <c r="N16" i="3" s="1"/>
  <c r="N19" i="3" s="1"/>
  <c r="M5" i="3"/>
  <c r="M13" i="3" s="1"/>
  <c r="M16" i="3" s="1"/>
  <c r="M19" i="3" s="1"/>
  <c r="L5" i="3"/>
  <c r="K5" i="3"/>
  <c r="Q16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Q13" i="2"/>
  <c r="Q12" i="2"/>
  <c r="Q11" i="2"/>
  <c r="Q10" i="2"/>
  <c r="Q9" i="2"/>
  <c r="Q8" i="2"/>
  <c r="Q7" i="2"/>
  <c r="Q6" i="2"/>
  <c r="Q5" i="2"/>
  <c r="Q42" i="1"/>
  <c r="P40" i="1"/>
  <c r="P43" i="1" s="1"/>
  <c r="Q39" i="1"/>
  <c r="Q38" i="1"/>
  <c r="Q37" i="1"/>
  <c r="Q36" i="1"/>
  <c r="Q35" i="1"/>
  <c r="Q34" i="1"/>
  <c r="Q33" i="1"/>
  <c r="Q32" i="1"/>
  <c r="Q31" i="1"/>
  <c r="Q24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U21" i="7" s="1"/>
  <c r="V21" i="7" s="1"/>
  <c r="W21" i="7" s="1"/>
  <c r="Q20" i="1"/>
  <c r="U20" i="7" s="1"/>
  <c r="V20" i="7" s="1"/>
  <c r="W20" i="7" s="1"/>
  <c r="Q19" i="1"/>
  <c r="Q18" i="1"/>
  <c r="U18" i="7" s="1"/>
  <c r="V18" i="7" s="1"/>
  <c r="W18" i="7" s="1"/>
  <c r="Q17" i="1"/>
  <c r="Q16" i="1"/>
  <c r="U16" i="7" s="1"/>
  <c r="V16" i="7" s="1"/>
  <c r="W16" i="7" s="1"/>
  <c r="Q15" i="1"/>
  <c r="Q14" i="1"/>
  <c r="U14" i="7" s="1"/>
  <c r="V14" i="7" s="1"/>
  <c r="W14" i="7" s="1"/>
  <c r="Q13" i="1"/>
  <c r="P7" i="1"/>
  <c r="O7" i="1"/>
  <c r="O6" i="4" s="1"/>
  <c r="N7" i="1"/>
  <c r="N6" i="4" s="1"/>
  <c r="N9" i="4" s="1"/>
  <c r="M7" i="1"/>
  <c r="M26" i="1" s="1"/>
  <c r="L7" i="1"/>
  <c r="K7" i="1"/>
  <c r="K26" i="1" s="1"/>
  <c r="J7" i="1"/>
  <c r="J26" i="1" s="1"/>
  <c r="I7" i="1"/>
  <c r="I6" i="4" s="1"/>
  <c r="I9" i="4" s="1"/>
  <c r="H7" i="1"/>
  <c r="H26" i="1" s="1"/>
  <c r="G7" i="1"/>
  <c r="G6" i="4" s="1"/>
  <c r="G9" i="4" s="1"/>
  <c r="F7" i="1"/>
  <c r="F6" i="4" s="1"/>
  <c r="F9" i="4" s="1"/>
  <c r="E7" i="1"/>
  <c r="E26" i="1" s="1"/>
  <c r="D7" i="1"/>
  <c r="C7" i="1"/>
  <c r="C26" i="1" s="1"/>
  <c r="Q6" i="1"/>
  <c r="Q5" i="1"/>
  <c r="E5" i="6" l="1"/>
  <c r="O13" i="3"/>
  <c r="O16" i="3" s="1"/>
  <c r="O19" i="3" s="1"/>
  <c r="P19" i="3"/>
  <c r="L13" i="3"/>
  <c r="L16" i="3" s="1"/>
  <c r="L19" i="3" s="1"/>
  <c r="P26" i="1"/>
  <c r="J25" i="1"/>
  <c r="L25" i="1"/>
  <c r="E25" i="1"/>
  <c r="M25" i="1"/>
  <c r="Q7" i="1"/>
  <c r="D25" i="1"/>
  <c r="F25" i="1"/>
  <c r="N25" i="1"/>
  <c r="I25" i="1"/>
  <c r="C25" i="1"/>
  <c r="K25" i="1"/>
  <c r="G25" i="1"/>
  <c r="O25" i="1"/>
  <c r="H25" i="1"/>
  <c r="P25" i="1"/>
  <c r="C5" i="4"/>
  <c r="K5" i="4"/>
  <c r="J21" i="8"/>
  <c r="Q14" i="2"/>
  <c r="F5" i="4"/>
  <c r="N5" i="4"/>
  <c r="I5" i="4"/>
  <c r="D5" i="4"/>
  <c r="E5" i="4"/>
  <c r="G21" i="8"/>
  <c r="O17" i="2"/>
  <c r="O22" i="8"/>
  <c r="J5" i="4"/>
  <c r="H5" i="4"/>
  <c r="P5" i="4"/>
  <c r="P22" i="8"/>
  <c r="O5" i="4"/>
  <c r="L5" i="4"/>
  <c r="M5" i="4"/>
  <c r="D6" i="4"/>
  <c r="D9" i="4" s="1"/>
  <c r="L6" i="4"/>
  <c r="L9" i="4" s="1"/>
  <c r="I21" i="8"/>
  <c r="O26" i="1"/>
  <c r="O10" i="4" s="1"/>
  <c r="D26" i="1"/>
  <c r="Q22" i="1"/>
  <c r="F26" i="1"/>
  <c r="G26" i="1"/>
  <c r="J6" i="4"/>
  <c r="J9" i="4" s="1"/>
  <c r="L26" i="1"/>
  <c r="Q40" i="1"/>
  <c r="Q43" i="1" s="1"/>
  <c r="N26" i="1"/>
  <c r="Q6" i="4"/>
  <c r="C6" i="4"/>
  <c r="C9" i="4" s="1"/>
  <c r="K13" i="3"/>
  <c r="K16" i="3" s="1"/>
  <c r="K19" i="3" s="1"/>
  <c r="Q8" i="4"/>
  <c r="I26" i="1"/>
  <c r="E6" i="4"/>
  <c r="E9" i="4" s="1"/>
  <c r="M6" i="4"/>
  <c r="M9" i="4" s="1"/>
  <c r="P17" i="2"/>
  <c r="P10" i="4" s="1"/>
  <c r="K6" i="4"/>
  <c r="K9" i="4" s="1"/>
  <c r="H6" i="4"/>
  <c r="H9" i="4" s="1"/>
  <c r="P6" i="4"/>
  <c r="O24" i="8" l="1"/>
  <c r="O23" i="8"/>
  <c r="P24" i="8"/>
  <c r="P23" i="8"/>
  <c r="E21" i="13"/>
  <c r="E7" i="6"/>
  <c r="E26" i="6" s="1"/>
  <c r="O9" i="4"/>
  <c r="Q26" i="1"/>
  <c r="Q25" i="1"/>
  <c r="F21" i="8"/>
  <c r="H21" i="8"/>
  <c r="P21" i="8"/>
  <c r="M21" i="8"/>
  <c r="D21" i="8"/>
  <c r="L21" i="8"/>
  <c r="K21" i="8"/>
  <c r="Q17" i="2"/>
  <c r="N21" i="8"/>
  <c r="I23" i="8"/>
  <c r="I22" i="8"/>
  <c r="I24" i="8"/>
  <c r="G22" i="8"/>
  <c r="G23" i="8"/>
  <c r="G24" i="8"/>
  <c r="E21" i="8"/>
  <c r="J22" i="8"/>
  <c r="J23" i="8"/>
  <c r="J24" i="8"/>
  <c r="O21" i="8"/>
  <c r="Q5" i="4"/>
  <c r="C21" i="8"/>
  <c r="P9" i="4"/>
  <c r="Q9" i="4" l="1"/>
  <c r="C22" i="8"/>
  <c r="C24" i="8"/>
  <c r="C23" i="8"/>
  <c r="K22" i="8"/>
  <c r="K23" i="8"/>
  <c r="K24" i="8"/>
  <c r="L22" i="8"/>
  <c r="L23" i="8"/>
  <c r="L24" i="8"/>
  <c r="H22" i="8"/>
  <c r="H24" i="8"/>
  <c r="H23" i="8"/>
  <c r="Q10" i="4"/>
  <c r="D22" i="8"/>
  <c r="D23" i="8"/>
  <c r="D24" i="8"/>
  <c r="F23" i="8"/>
  <c r="F22" i="8"/>
  <c r="F24" i="8"/>
  <c r="M22" i="8"/>
  <c r="M24" i="8"/>
  <c r="M23" i="8"/>
  <c r="E24" i="8"/>
  <c r="E23" i="8"/>
  <c r="E22" i="8"/>
  <c r="N23" i="8"/>
  <c r="N24" i="8"/>
  <c r="N22" i="8"/>
  <c r="Q34" i="10" l="1"/>
  <c r="Q66" i="9" l="1"/>
  <c r="R17" i="9" l="1"/>
  <c r="R8" i="5" s="1"/>
  <c r="R6" i="5" s="1"/>
  <c r="Q8" i="11" l="1"/>
  <c r="Q60" i="10"/>
  <c r="Q8" i="3"/>
  <c r="R8" i="3" l="1"/>
  <c r="S8" i="3"/>
  <c r="Q42" i="9"/>
  <c r="R23" i="9"/>
  <c r="R24" i="7" s="1"/>
  <c r="R16" i="10"/>
  <c r="R20" i="13" l="1"/>
  <c r="R14" i="8"/>
  <c r="R42" i="9"/>
  <c r="Q50" i="9"/>
  <c r="R50" i="9" s="1"/>
  <c r="R15" i="8" l="1"/>
  <c r="R16" i="8" s="1"/>
  <c r="Q16" i="8"/>
  <c r="Q7" i="3" l="1"/>
  <c r="R7" i="3" l="1"/>
  <c r="S7" i="3"/>
  <c r="Q9" i="3"/>
  <c r="Q5" i="3"/>
  <c r="S5" i="3" s="1"/>
  <c r="R9" i="3" l="1"/>
  <c r="S9" i="3"/>
  <c r="R5" i="3"/>
  <c r="R13" i="3" s="1"/>
  <c r="R16" i="3" s="1"/>
  <c r="R19" i="3" s="1"/>
  <c r="Q13" i="3"/>
  <c r="Q16" i="3" s="1"/>
  <c r="Q19" i="3" s="1"/>
  <c r="R38" i="9" l="1"/>
  <c r="R5" i="10" l="1"/>
  <c r="R12" i="13" s="1"/>
  <c r="R8" i="10"/>
  <c r="R15" i="13" s="1"/>
  <c r="U15" i="13" s="1"/>
  <c r="V15" i="13" s="1"/>
  <c r="W15" i="13" s="1"/>
  <c r="R9" i="10"/>
  <c r="R16" i="13" s="1"/>
  <c r="R11" i="10"/>
  <c r="R7" i="10" l="1"/>
  <c r="E146" i="15" l="1"/>
  <c r="E145" i="15" s="1"/>
  <c r="R14" i="13"/>
  <c r="R14" i="10"/>
  <c r="Q42" i="10"/>
  <c r="Q46" i="10"/>
  <c r="Q38" i="10"/>
  <c r="Q39" i="10"/>
  <c r="R39" i="10" s="1"/>
  <c r="R46" i="10" l="1"/>
  <c r="R5" i="8"/>
  <c r="R6" i="8" s="1"/>
  <c r="R21" i="8" s="1"/>
  <c r="R5" i="13"/>
  <c r="R17" i="10"/>
  <c r="R19" i="6"/>
  <c r="R42" i="10"/>
  <c r="Q43" i="10"/>
  <c r="R43" i="10" s="1"/>
  <c r="Q22" i="8"/>
  <c r="R38" i="10"/>
  <c r="Q41" i="10"/>
  <c r="R41" i="10" s="1"/>
  <c r="R41" i="11" s="1"/>
  <c r="R6" i="12" s="1"/>
  <c r="Q44" i="10"/>
  <c r="R44" i="10" s="1"/>
  <c r="Q40" i="10"/>
  <c r="R40" i="10" s="1"/>
  <c r="R40" i="11" s="1"/>
  <c r="R5" i="12" s="1"/>
  <c r="R22" i="8"/>
  <c r="R20" i="9"/>
  <c r="Q31" i="11" l="1"/>
  <c r="Q30" i="11"/>
  <c r="R15" i="6"/>
  <c r="R33" i="9"/>
  <c r="Q29" i="11"/>
  <c r="R17" i="6"/>
  <c r="Q28" i="11"/>
  <c r="R28" i="11" s="1"/>
  <c r="U19" i="6"/>
  <c r="V19" i="6" s="1"/>
  <c r="W19" i="6" s="1"/>
  <c r="U19" i="7"/>
  <c r="V19" i="7" s="1"/>
  <c r="W19" i="7" s="1"/>
  <c r="R18" i="9"/>
  <c r="R36" i="9"/>
  <c r="Q19" i="11" l="1"/>
  <c r="R29" i="11"/>
  <c r="Q20" i="11"/>
  <c r="R30" i="11"/>
  <c r="Q21" i="11"/>
  <c r="Q57" i="11" s="1"/>
  <c r="R31" i="11"/>
  <c r="Q92" i="11"/>
  <c r="Q55" i="11"/>
  <c r="R15" i="9"/>
  <c r="Q93" i="11"/>
  <c r="Q56" i="11"/>
  <c r="Q27" i="11"/>
  <c r="R27" i="11" s="1"/>
  <c r="Q18" i="11"/>
  <c r="U17" i="7"/>
  <c r="V17" i="7" s="1"/>
  <c r="W17" i="7" s="1"/>
  <c r="U17" i="6"/>
  <c r="V17" i="6" s="1"/>
  <c r="W17" i="6" s="1"/>
  <c r="U16" i="13"/>
  <c r="V16" i="13" s="1"/>
  <c r="W16" i="13" s="1"/>
  <c r="U15" i="6"/>
  <c r="V15" i="6" s="1"/>
  <c r="W15" i="6" s="1"/>
  <c r="U14" i="13"/>
  <c r="V14" i="13" s="1"/>
  <c r="W14" i="13" s="1"/>
  <c r="U15" i="7"/>
  <c r="V15" i="7" s="1"/>
  <c r="W15" i="7" s="1"/>
  <c r="R14" i="9"/>
  <c r="D146" i="15" s="1"/>
  <c r="D145" i="15" s="1"/>
  <c r="R16" i="9"/>
  <c r="R34" i="9"/>
  <c r="R12" i="9"/>
  <c r="R30" i="9"/>
  <c r="Q94" i="11" l="1"/>
  <c r="Q91" i="11"/>
  <c r="Q54" i="11"/>
  <c r="R13" i="6"/>
  <c r="Q22" i="6"/>
  <c r="Q21" i="9"/>
  <c r="Q24" i="9" s="1"/>
  <c r="R32" i="9"/>
  <c r="Q43" i="9"/>
  <c r="Q23" i="8" l="1"/>
  <c r="R40" i="9"/>
  <c r="R43" i="9" s="1"/>
  <c r="R21" i="9"/>
  <c r="R24" i="9" s="1"/>
  <c r="R22" i="6"/>
  <c r="Q25" i="6"/>
  <c r="R25" i="6" s="1"/>
  <c r="U12" i="13"/>
  <c r="V12" i="13" s="1"/>
  <c r="W12" i="13" s="1"/>
  <c r="U13" i="6"/>
  <c r="U13" i="7"/>
  <c r="R6" i="9"/>
  <c r="Q5" i="11"/>
  <c r="Q6" i="11"/>
  <c r="Q25" i="7" l="1"/>
  <c r="R9" i="11"/>
  <c r="R25" i="7"/>
  <c r="R23" i="8"/>
  <c r="U22" i="7"/>
  <c r="V22" i="7" s="1"/>
  <c r="W22" i="7" s="1"/>
  <c r="V13" i="7"/>
  <c r="W13" i="7" s="1"/>
  <c r="Q7" i="6"/>
  <c r="Q26" i="6" s="1"/>
  <c r="Q21" i="13" s="1"/>
  <c r="R5" i="6"/>
  <c r="V13" i="6"/>
  <c r="W13" i="6" s="1"/>
  <c r="U22" i="6"/>
  <c r="V22" i="6" s="1"/>
  <c r="W22" i="6" s="1"/>
  <c r="R5" i="9"/>
  <c r="Q7" i="9"/>
  <c r="R6" i="13" l="1"/>
  <c r="Q72" i="9"/>
  <c r="Q41" i="11" s="1"/>
  <c r="Q6" i="12" s="1"/>
  <c r="Q69" i="9"/>
  <c r="Q71" i="9"/>
  <c r="Q40" i="11" s="1"/>
  <c r="Q5" i="12" s="1"/>
  <c r="Q25" i="9"/>
  <c r="Q24" i="8" s="1"/>
  <c r="R5" i="11"/>
  <c r="R7" i="9"/>
  <c r="R78" i="9" l="1"/>
  <c r="R77" i="9"/>
  <c r="R83" i="9"/>
  <c r="R47" i="11" s="1"/>
  <c r="R10" i="12" s="1"/>
  <c r="R6" i="11"/>
  <c r="R25" i="9"/>
  <c r="R24" i="8" s="1"/>
  <c r="Q38" i="11"/>
  <c r="Q3" i="12" s="1"/>
  <c r="Q73" i="9"/>
  <c r="Q75" i="9"/>
  <c r="Q44" i="11" s="1"/>
  <c r="Q9" i="12" s="1"/>
  <c r="Q70" i="9"/>
  <c r="Q39" i="11" s="1"/>
  <c r="Q4" i="12" s="1"/>
  <c r="R69" i="9"/>
  <c r="R82" i="9" l="1"/>
  <c r="R46" i="11" s="1"/>
  <c r="R10" i="11"/>
  <c r="R38" i="11"/>
  <c r="R3" i="12" s="1"/>
  <c r="R73" i="9"/>
  <c r="R70" i="9"/>
  <c r="R39" i="11" s="1"/>
  <c r="R4" i="12" s="1"/>
  <c r="Q74" i="9"/>
  <c r="Q43" i="11" s="1"/>
  <c r="Q7" i="12" s="1"/>
  <c r="Q42" i="11"/>
  <c r="Q8" i="12" s="1"/>
  <c r="R74" i="9" l="1"/>
  <c r="R42" i="11"/>
  <c r="R8" i="12" s="1"/>
  <c r="R75" i="9" l="1"/>
  <c r="R44" i="11" s="1"/>
  <c r="R9" i="12" s="1"/>
  <c r="R43" i="11"/>
  <c r="R7" i="12" s="1"/>
  <c r="R7" i="6"/>
  <c r="P26" i="6"/>
  <c r="P6" i="6"/>
  <c r="P6" i="7"/>
  <c r="R26" i="6" l="1"/>
  <c r="R21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CAIREY-REMONNAY Michel</author>
  </authors>
  <commentList>
    <comment ref="N12" authorId="0" shapeId="0" xr:uid="{111653C3-4AAA-40B2-8909-4A6BED4BE23B}">
      <text>
        <r>
          <rPr>
            <b/>
            <sz val="9"/>
            <color indexed="81"/>
            <rFont val="Tahoma"/>
            <family val="2"/>
          </rPr>
          <t>CAIREY-REMONNAY Michel:</t>
        </r>
        <r>
          <rPr>
            <sz val="9"/>
            <color indexed="81"/>
            <rFont val="Tahoma"/>
            <family val="2"/>
          </rPr>
          <t xml:space="preserve">
Biom Hors BCIAT Collectif + in,dustrie + cot Territ + cot Patrimoin</t>
        </r>
      </text>
    </comment>
    <comment ref="O12" authorId="0" shapeId="0" xr:uid="{1C7743CB-E034-446F-912B-6941FE097D9A}">
      <text>
        <r>
          <rPr>
            <b/>
            <sz val="9"/>
            <color indexed="81"/>
            <rFont val="Tahoma"/>
            <family val="2"/>
          </rPr>
          <t>CAIREY-REMONNAY Michel:</t>
        </r>
        <r>
          <rPr>
            <sz val="9"/>
            <color indexed="81"/>
            <rFont val="Tahoma"/>
            <family val="2"/>
          </rPr>
          <t xml:space="preserve">
Bois hors BCIAT+COT Patri et Terrt + Tremplin</t>
        </r>
      </text>
    </comment>
    <comment ref="N14" authorId="0" shapeId="0" xr:uid="{F558A451-3C57-4895-BCA6-A39FC6B68667}">
      <text>
        <r>
          <rPr>
            <b/>
            <sz val="9"/>
            <color indexed="81"/>
            <rFont val="Tahoma"/>
            <family val="2"/>
          </rPr>
          <t>CAIREY-REMONNAY Michel:</t>
        </r>
        <r>
          <rPr>
            <sz val="9"/>
            <color indexed="81"/>
            <rFont val="Tahoma"/>
            <family val="2"/>
          </rPr>
          <t xml:space="preserve">
Géthermie + géoth CotTerritoire+cot Patrimoine</t>
        </r>
      </text>
    </comment>
    <comment ref="O14" authorId="0" shapeId="0" xr:uid="{65622DA6-A0BD-4D35-87B7-8EAC7F741B64}">
      <text>
        <r>
          <rPr>
            <b/>
            <sz val="9"/>
            <color indexed="81"/>
            <rFont val="Tahoma"/>
            <family val="2"/>
          </rPr>
          <t>CAIREY-REMONNAY Michel: Géoth + COT EnR Patri et Terri + Tremplin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6" authorId="0" shapeId="0" xr:uid="{EC40AC1D-76A4-41A9-8D60-7292F487D252}">
      <text>
        <r>
          <rPr>
            <b/>
            <sz val="9"/>
            <color indexed="81"/>
            <rFont val="Tahoma"/>
            <family val="2"/>
          </rPr>
          <t>CAIREY-REMONNAY Michel:</t>
        </r>
        <r>
          <rPr>
            <sz val="9"/>
            <color indexed="81"/>
            <rFont val="Tahoma"/>
            <family val="2"/>
          </rPr>
          <t xml:space="preserve">
Solaire + Solaire cot Territ +cot Patrimoine</t>
        </r>
      </text>
    </comment>
    <comment ref="O16" authorId="0" shapeId="0" xr:uid="{3D19B06C-9421-4F54-8763-5570CF1F6C92}">
      <text>
        <r>
          <rPr>
            <b/>
            <sz val="9"/>
            <color indexed="81"/>
            <rFont val="Tahoma"/>
            <family val="2"/>
          </rPr>
          <t xml:space="preserve">CAIREY-REMONNAY Michel: Solaire +Cot EnR Patri et Territ +Tremplin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0" shapeId="0" xr:uid="{89448076-890F-4637-AC40-6CAB4DD9890B}">
      <text>
        <r>
          <rPr>
            <b/>
            <sz val="9"/>
            <color indexed="81"/>
            <rFont val="Tahoma"/>
            <family val="2"/>
          </rPr>
          <t>CAIREY-REMONNAY Michel: Réseaux + cot Enr patri et terri + Tremplin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CAIREY-REMONNAY Michel</author>
  </authors>
  <commentList>
    <comment ref="N13" authorId="0" shapeId="0" xr:uid="{7110AAB5-9620-4C99-A157-589DC4D70C46}">
      <text>
        <r>
          <rPr>
            <b/>
            <sz val="9"/>
            <color indexed="81"/>
            <rFont val="Tahoma"/>
            <family val="2"/>
          </rPr>
          <t>CAIREY-REMONNAY Michel:</t>
        </r>
        <r>
          <rPr>
            <sz val="9"/>
            <color indexed="81"/>
            <rFont val="Tahoma"/>
            <family val="2"/>
          </rPr>
          <t xml:space="preserve">
Biom Hors BCIAT Collectif + in,dustrie + cot Territ + cot Patrimoin</t>
        </r>
      </text>
    </comment>
    <comment ref="O13" authorId="0" shapeId="0" xr:uid="{6312F2CF-628C-45D0-AF7B-D52A4C445DD3}">
      <text>
        <r>
          <rPr>
            <b/>
            <sz val="9"/>
            <color indexed="81"/>
            <rFont val="Tahoma"/>
            <family val="2"/>
          </rPr>
          <t>CAIREY-REMONNAY Michel:</t>
        </r>
        <r>
          <rPr>
            <sz val="9"/>
            <color indexed="81"/>
            <rFont val="Tahoma"/>
            <family val="2"/>
          </rPr>
          <t xml:space="preserve">
Bois hors BCIAT+COT Patri et Terrt + Tremplin</t>
        </r>
      </text>
    </comment>
    <comment ref="N15" authorId="0" shapeId="0" xr:uid="{04F2CA4E-8D40-4127-A325-BD163D814FBC}">
      <text>
        <r>
          <rPr>
            <b/>
            <sz val="9"/>
            <color indexed="81"/>
            <rFont val="Tahoma"/>
            <family val="2"/>
          </rPr>
          <t>CAIREY-REMONNAY Michel:</t>
        </r>
        <r>
          <rPr>
            <sz val="9"/>
            <color indexed="81"/>
            <rFont val="Tahoma"/>
            <family val="2"/>
          </rPr>
          <t xml:space="preserve">
Géthermie + géoth CotTerritoire+cot Patrimoine</t>
        </r>
      </text>
    </comment>
    <comment ref="O15" authorId="0" shapeId="0" xr:uid="{C9D9EB49-CD12-4C61-938E-6DAE86EB4109}">
      <text>
        <r>
          <rPr>
            <b/>
            <sz val="9"/>
            <color indexed="81"/>
            <rFont val="Tahoma"/>
            <family val="2"/>
          </rPr>
          <t>CAIREY-REMONNAY Michel: Géoth + COT EnR Patri et Terri + Tremplin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7" authorId="0" shapeId="0" xr:uid="{E20BD88B-95E0-4ECF-A24A-CD0686293174}">
      <text>
        <r>
          <rPr>
            <b/>
            <sz val="9"/>
            <color indexed="81"/>
            <rFont val="Tahoma"/>
            <family val="2"/>
          </rPr>
          <t>CAIREY-REMONNAY Michel:</t>
        </r>
        <r>
          <rPr>
            <sz val="9"/>
            <color indexed="81"/>
            <rFont val="Tahoma"/>
            <family val="2"/>
          </rPr>
          <t xml:space="preserve">
Solaire + Solaire cot Territ +cot Patrimoine</t>
        </r>
      </text>
    </comment>
    <comment ref="O17" authorId="0" shapeId="0" xr:uid="{C4694258-7C6B-4F9E-BAF8-85E074327B9B}">
      <text>
        <r>
          <rPr>
            <b/>
            <sz val="9"/>
            <color indexed="81"/>
            <rFont val="Tahoma"/>
            <family val="2"/>
          </rPr>
          <t xml:space="preserve">CAIREY-REMONNAY Michel: Solaire +Cot EnR Patri et Territ +Tremplin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 shapeId="0" xr:uid="{84A1788A-9336-49BA-ABB3-849FD11B68D5}">
      <text>
        <r>
          <rPr>
            <b/>
            <sz val="9"/>
            <color indexed="81"/>
            <rFont val="Tahoma"/>
            <family val="2"/>
          </rPr>
          <t>CAIREY-REMONNAY Michel: Réseaux + cot Enr patri et terri + Tremplin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Cairey-remonnaym</author>
  </authors>
  <commentList>
    <comment ref="E6" authorId="0" shapeId="0" xr:uid="{14C3B5DF-2A17-49CF-90CF-A3CE73C884CB}">
      <text>
        <r>
          <rPr>
            <b/>
            <sz val="8"/>
            <color indexed="81"/>
            <rFont val="Tahoma"/>
            <family val="2"/>
          </rPr>
          <t>Cairey-remonnaym:</t>
        </r>
        <r>
          <rPr>
            <sz val="8"/>
            <color indexed="81"/>
            <rFont val="Tahoma"/>
            <family val="2"/>
          </rPr>
          <t xml:space="preserve">
hors 2 dossiers biogaz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tc={4104F230-0D9F-4D60-86A7-6D1A303DA5E8}</author>
    <author>tc={6819901B-99F8-48FB-A5F4-55A5F7CB7288}</author>
    <author>tc={1CDBA388-E5ED-48D6-9BBC-85B365908572}</author>
    <author>tc={7169B445-7C6F-485F-B457-A6140BB777B3}</author>
    <author>tc={25BD3206-4F58-45CD-9053-4F69A9A7F92F}</author>
    <author>tc={5FCA73FF-CD74-43BF-A87B-F9A7C371E564}</author>
    <author>tc={C81E9F96-AFA8-46E4-A2F1-929ABE2FE9AE}</author>
    <author>tc={47454F98-1C68-4284-915C-B1C04796C542}</author>
    <author>tc={D6ECD674-C451-469F-B90E-D1BB07AF5826}</author>
    <author>tc={829F7BD8-1A7A-443A-91D5-775E565D5613}</author>
    <author>tc={25C2363A-AB83-4BEE-A10D-78E1EFB96E0B}</author>
    <author>tc={86D2BB3C-87B6-469B-9D8A-D7C4F8F7A4FC}</author>
    <author>tc={9195B4DB-9B83-48A5-8FB7-B12C47E53B24}</author>
  </authors>
  <commentList>
    <comment ref="K12" authorId="0" shapeId="0" xr:uid="{4104F230-0D9F-4D60-86A7-6D1A303DA5E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CCR patri au prorata des MWh</t>
      </text>
    </comment>
    <comment ref="L12" authorId="1" shapeId="0" xr:uid="{6819901B-99F8-48FB-A5F4-55A5F7CB728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CCR patri au prorata des MWh</t>
      </text>
    </comment>
    <comment ref="M12" authorId="2" shapeId="0" xr:uid="{1CDBA388-E5ED-48D6-9BBC-85B36590857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CCR patri au prorata des MWh</t>
      </text>
    </comment>
    <comment ref="N12" authorId="3" shapeId="0" xr:uid="{7169B445-7C6F-485F-B457-A6140BB777B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CCR patri au prorata des MWh</t>
      </text>
    </comment>
    <comment ref="O12" authorId="4" shapeId="0" xr:uid="{25BD3206-4F58-45CD-9053-4F69A9A7F92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CCR patri au prorata des MWh</t>
      </text>
    </comment>
    <comment ref="P12" authorId="5" shapeId="0" xr:uid="{5FCA73FF-CD74-43BF-A87B-F9A7C371E56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CCR patri au prorata des aides
Une analyse plus précise des investissements sur les CCR en conventions de mandat mériterait d'être réalisée</t>
      </text>
    </comment>
    <comment ref="K13" authorId="6" shapeId="0" xr:uid="{C81E9F96-AFA8-46E4-A2F1-929ABE2FE9A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CCR patri au prorata des MWh</t>
      </text>
    </comment>
    <comment ref="L13" authorId="7" shapeId="0" xr:uid="{47454F98-1C68-4284-915C-B1C04796C54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CCR patri au prorata des MWh</t>
      </text>
    </comment>
    <comment ref="M13" authorId="8" shapeId="0" xr:uid="{D6ECD674-C451-469F-B90E-D1BB07AF582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CCR patri au prorata des MWh</t>
      </text>
    </comment>
    <comment ref="N13" authorId="9" shapeId="0" xr:uid="{829F7BD8-1A7A-443A-91D5-775E565D561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CCR patri au prorata des MWh</t>
      </text>
    </comment>
    <comment ref="O13" authorId="10" shapeId="0" xr:uid="{25C2363A-AB83-4BEE-A10D-78E1EFB96E0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CCR patri au prorata des MWh</t>
      </text>
    </comment>
    <comment ref="P13" authorId="11" shapeId="0" xr:uid="{86D2BB3C-87B6-469B-9D8A-D7C4F8F7A4F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CCR patri au prorata des aides
Une analyse plus précise des investissements sur les CCR en conventions de mandat mériterait d'être réalisée</t>
      </text>
    </comment>
    <comment ref="C14" authorId="12" shapeId="0" xr:uid="{9195B4DB-9B83-48A5-8FB7-B12C47E53B2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Pourquoi ce montant ne correspond pas aux 93M€ d’investissement repertorié dans le tableur BCIAT/BCIB 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tc={B749D099-17E1-4F41-9898-7AD44BB5DE5D}</author>
    <author>tc={69F2F2C7-E4C8-4E71-8F17-B3AF60FC205A}</author>
    <author>tc={F34EF407-4B76-4490-9A1E-E071D1B564BE}</author>
    <author>tc={9D03B59A-163B-4A17-B491-E6023915138E}</author>
    <author>tc={3DEB4E59-EF9C-4E60-9018-A7809ECE93E5}</author>
    <author>tc={8DA1B865-D128-45CE-92F3-C9CDF57C7F47}</author>
    <author>tc={5DD8910B-1990-4A9E-8235-20AC2CD0FFDD}</author>
    <author>tc={B4996AFA-6382-4191-9C59-5E998F3C2A1C}</author>
    <author>tc={3D0C21CD-7906-443F-89A4-275D6D19479E}</author>
    <author>tc={CF1D57A5-5B10-475A-B58A-23DAFDA94B2D}</author>
    <author>tc={7CCAB2D5-43BF-495C-A787-3EDF30C0159E}</author>
    <author>tc={9C550DB9-FA80-4AD6-B023-A9029C815EA4}</author>
  </authors>
  <commentList>
    <comment ref="K12" authorId="0" shapeId="0" xr:uid="{B749D099-17E1-4F41-9898-7AD44BB5DE5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CCR patri au prorata des MWh</t>
      </text>
    </comment>
    <comment ref="L12" authorId="1" shapeId="0" xr:uid="{69F2F2C7-E4C8-4E71-8F17-B3AF60FC205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CCR patri au prorata des MWh</t>
      </text>
    </comment>
    <comment ref="M12" authorId="2" shapeId="0" xr:uid="{F34EF407-4B76-4490-9A1E-E071D1B564B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CCR patri au prorata des MWh</t>
      </text>
    </comment>
    <comment ref="N12" authorId="3" shapeId="0" xr:uid="{9D03B59A-163B-4A17-B491-E6023915138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CCR patri au prorata des MWh</t>
      </text>
    </comment>
    <comment ref="O12" authorId="4" shapeId="0" xr:uid="{3DEB4E59-EF9C-4E60-9018-A7809ECE93E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CCR patri au prorata des MWh</t>
      </text>
    </comment>
    <comment ref="P12" authorId="5" shapeId="0" xr:uid="{8DA1B865-D128-45CE-92F3-C9CDF57C7F4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CCR patri au prorata des aides
Une analyse plus précise des investissements sur les CCR en conventions de mandat mériterait d'être réalisée</t>
      </text>
    </comment>
    <comment ref="K13" authorId="6" shapeId="0" xr:uid="{5DD8910B-1990-4A9E-8235-20AC2CD0FFD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CCR patri au prorata des MWh</t>
      </text>
    </comment>
    <comment ref="L13" authorId="7" shapeId="0" xr:uid="{B4996AFA-6382-4191-9C59-5E998F3C2A1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CCR patri au prorata des MWh</t>
      </text>
    </comment>
    <comment ref="M13" authorId="8" shapeId="0" xr:uid="{3D0C21CD-7906-443F-89A4-275D6D19479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CCR patri au prorata des MWh</t>
      </text>
    </comment>
    <comment ref="N13" authorId="9" shapeId="0" xr:uid="{CF1D57A5-5B10-475A-B58A-23DAFDA94B2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CCR patri au prorata des MWh</t>
      </text>
    </comment>
    <comment ref="O13" authorId="10" shapeId="0" xr:uid="{7CCAB2D5-43BF-495C-A787-3EDF30C0159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CCR patri au prorata des MWh</t>
      </text>
    </comment>
    <comment ref="P13" authorId="11" shapeId="0" xr:uid="{9C550DB9-FA80-4AD6-B023-A9029C815EA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CCR patri au prorata des aides
Une analyse plus précise des investissements sur les CCR en conventions de mandat mériterait d'être réalisée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Cairey-remonnaym</author>
    <author>CAIREY-REMONNAY Michel</author>
  </authors>
  <commentList>
    <comment ref="D3" authorId="0" shapeId="0" xr:uid="{55D88837-4E8A-4792-B6F9-E530C81E494B}">
      <text>
        <r>
          <rPr>
            <b/>
            <sz val="8"/>
            <color indexed="81"/>
            <rFont val="Tahoma"/>
            <family val="2"/>
          </rPr>
          <t>Cairey-remonnaym:</t>
        </r>
        <r>
          <rPr>
            <sz val="8"/>
            <color indexed="81"/>
            <rFont val="Tahoma"/>
            <family val="2"/>
          </rPr>
          <t xml:space="preserve">
hors 2 dossiers biogaz</t>
        </r>
      </text>
    </comment>
    <comment ref="O111" authorId="1" shapeId="0" xr:uid="{AD7C72F6-1A3C-4FD7-BAFE-E07B0BA6D3BA}">
      <text>
        <r>
          <rPr>
            <b/>
            <sz val="9"/>
            <color indexed="81"/>
            <rFont val="Tahoma"/>
            <family val="2"/>
          </rPr>
          <t>CAIREY-REMONNAY Michel:</t>
        </r>
        <r>
          <rPr>
            <sz val="9"/>
            <color indexed="81"/>
            <rFont val="Tahoma"/>
            <family val="2"/>
          </rPr>
          <t xml:space="preserve">
Géthermie + géoth CotTerritoire+cot Patrimoine</t>
        </r>
      </text>
    </comment>
    <comment ref="O118" authorId="1" shapeId="0" xr:uid="{232A8C55-171C-4C4A-9994-0C721F463231}">
      <text>
        <r>
          <rPr>
            <b/>
            <sz val="9"/>
            <color indexed="81"/>
            <rFont val="Tahoma"/>
            <family val="2"/>
          </rPr>
          <t>CAIREY-REMONNAY Michel: Géoth + COT EnR Patri et Terri + Tremplin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<sst xmlns="http://schemas.openxmlformats.org/spreadsheetml/2006/main" count="652" uniqueCount="198">
  <si>
    <t>Fonds Chaleur - Budget Fonds Chaleur k€</t>
  </si>
  <si>
    <t>TOTAL</t>
  </si>
  <si>
    <t>Aide FC Investissement k€</t>
  </si>
  <si>
    <t>Aide hors Investissement EnR&amp;R k€</t>
  </si>
  <si>
    <t>Budget FC k€</t>
  </si>
  <si>
    <t>Budget FC + FDI BCIAT k€</t>
  </si>
  <si>
    <t>Fonds Chaleur - Aide à l'investissement Fonds Chaleur k€</t>
  </si>
  <si>
    <t>Bois Hors BCIAT</t>
  </si>
  <si>
    <t>BCIAT/BCIB</t>
  </si>
  <si>
    <t>Géothermie et PAC</t>
  </si>
  <si>
    <t>Biométhane</t>
  </si>
  <si>
    <t>Solaire</t>
  </si>
  <si>
    <t>Réseau de chaleur</t>
  </si>
  <si>
    <t>Récup Chaleur Fatale</t>
  </si>
  <si>
    <t>Froid EnR</t>
  </si>
  <si>
    <t xml:space="preserve">Approv Bois </t>
  </si>
  <si>
    <t>TOTAL Fonds Chaleur</t>
  </si>
  <si>
    <t>Aide BCIAT FDI CAPEX</t>
  </si>
  <si>
    <t>TOTAL Fonds Chaleur + FDI</t>
  </si>
  <si>
    <t>Fonds Chaleur - Aide à l'investissement Fonds Chaleur k€ (réseaux de distribution de chaleur répartis dans chaque filière)</t>
  </si>
  <si>
    <t>Biomasse hors BCIAT</t>
  </si>
  <si>
    <t>Biomasse BCIAT/BCIB</t>
  </si>
  <si>
    <t>UIOM</t>
  </si>
  <si>
    <t>Récup Process</t>
  </si>
  <si>
    <t xml:space="preserve">Mélange EnR </t>
  </si>
  <si>
    <t>BCIAT FDI</t>
  </si>
  <si>
    <t>TOTAL Fonds Chaleur/FDI</t>
  </si>
  <si>
    <t>Fonds Chaleur - Production GWh/an EnR&amp;R</t>
  </si>
  <si>
    <t>Fonds Chaleur - Nbre  Installations</t>
  </si>
  <si>
    <t>BCIAT</t>
  </si>
  <si>
    <t>Réseaux de chaleur</t>
  </si>
  <si>
    <t>Récup Chaleur</t>
  </si>
  <si>
    <t>Total installation prod. FC EnR&amp;R</t>
  </si>
  <si>
    <t>Total  installation prod. EnR&amp;R</t>
  </si>
  <si>
    <t>Total</t>
  </si>
  <si>
    <t>Fonds Chaleur - ratio €/MWh/20ans</t>
  </si>
  <si>
    <t>Ratio FC aide investissement EnR&amp;R €/MWh/20ans</t>
  </si>
  <si>
    <t>Ratio FC global €/MWh/20ans</t>
  </si>
  <si>
    <t>Ratio aide FDI BCIAT</t>
  </si>
  <si>
    <t>Ratio FC aide investissement et FDI BCIAT €/MWh/20ans</t>
  </si>
  <si>
    <t>Ratio Budget FC + FDI BCIAT</t>
  </si>
  <si>
    <t>Fonds Chaleur - ratio €/MWh/20ans - Installation production et réseaux de chaleur €/ml</t>
  </si>
  <si>
    <t>Bois Hors BCIAT/BCIB</t>
  </si>
  <si>
    <t>Fonds Chaleur - Métrés réseaux de chaleur</t>
  </si>
  <si>
    <t>Fonds Chaleur - Investissements éligibles k€</t>
  </si>
  <si>
    <t>Investissements éligibles aide Invest. Installation EnR&amp;R k€</t>
  </si>
  <si>
    <t>Investissements éligibles aide hors Investissement EnR&amp;R k€</t>
  </si>
  <si>
    <t>Travail à réaliser sur les années antérieures à 2022</t>
  </si>
  <si>
    <t>Investissements éligibles FC k€</t>
  </si>
  <si>
    <t>Investissements éligibles FC + FDI BCIAT k€</t>
  </si>
  <si>
    <t>ml de réseaux</t>
  </si>
  <si>
    <t>Taux d'aide - aide Invest. Installation EnR&amp;R %</t>
  </si>
  <si>
    <t>Fonds Chaleur - Taux d'aide %</t>
  </si>
  <si>
    <t>Taux d'aide - aide hors Investissement EnR&amp;R %</t>
  </si>
  <si>
    <t>Taux d'aide FC %</t>
  </si>
  <si>
    <t>Fonds Chaleur - Taux d'aide - aide Invest. Installation EnR&amp;R %</t>
  </si>
  <si>
    <t>Ratio €/tCO2 évités sur 20 ans</t>
  </si>
  <si>
    <t>Estimation GWh gaz évités</t>
  </si>
  <si>
    <t>Estimation tonnes CO2 évitées / an</t>
  </si>
  <si>
    <t>Ratio €/tCO2 évités sur 20 ans (aide à l'investissement)</t>
  </si>
  <si>
    <t>Ratio €/tCO2 évités sur 20 ans (budget FC)</t>
  </si>
  <si>
    <t xml:space="preserve"> </t>
  </si>
  <si>
    <t>Ratio FC global €/MWh/20ans (hors métha)</t>
  </si>
  <si>
    <t>Tremplin bois</t>
  </si>
  <si>
    <t>Tremplin solaire</t>
  </si>
  <si>
    <t>Tremplin géothermie</t>
  </si>
  <si>
    <t>CCR Biomasse</t>
  </si>
  <si>
    <t>CCR Solaire</t>
  </si>
  <si>
    <t>CCR Géothermie</t>
  </si>
  <si>
    <t>CCR Chaleur Fatale</t>
  </si>
  <si>
    <t>CCR Réseau de chaleur</t>
  </si>
  <si>
    <t>CCR (2021)</t>
  </si>
  <si>
    <t>CCR (2020)</t>
  </si>
  <si>
    <t>CCR (2019)</t>
  </si>
  <si>
    <t>CCR (2018)</t>
  </si>
  <si>
    <t>TOTAL Fonds Chaleur (hors métha)</t>
  </si>
  <si>
    <t>TOTAL Fonds Chaleur (hors métha, hors CCR)</t>
  </si>
  <si>
    <t>Ratio FC global €/MWh/20ans (hors métha, hors CCR)</t>
  </si>
  <si>
    <t>CCR (2017)</t>
  </si>
  <si>
    <t>Ratio FC global €/MWh/20ans (hors CCR)</t>
  </si>
  <si>
    <t>TOTAL Fonds Chaleur (hors CCR)</t>
  </si>
  <si>
    <t>Ratio FC global €/MWh/20ans (hors BCIAT)</t>
  </si>
  <si>
    <t>TOTAL Fonds Chaleur (hors BCIAT)</t>
  </si>
  <si>
    <t>TOTAL Fonds Chaleur (hors métha, hors CCR, hors BCIAT)</t>
  </si>
  <si>
    <t>Ratio FC global €/MWh/20ans (hors métha, hors CCR, hors BCIAT)</t>
  </si>
  <si>
    <t>Part BCIAT/BCIB (GWh/an)</t>
  </si>
  <si>
    <t>Part du BCIAT/BCIB (aide k€)</t>
  </si>
  <si>
    <t>Ratio FC + Cofinancement</t>
  </si>
  <si>
    <t>TOTAL aide (FC/FDI/cofinancement)</t>
  </si>
  <si>
    <t>TOTAL aide (FC+cofinancement)</t>
  </si>
  <si>
    <t>Ratio FC global + cofinancement €/MWh/20ans</t>
  </si>
  <si>
    <t>Ratio FC €/MWh/20ans</t>
  </si>
  <si>
    <t>Détails CCR</t>
  </si>
  <si>
    <t>Ratio FC+FDI+Cofinancement</t>
  </si>
  <si>
    <t>Aide cofinancement (Région, FEDER, Département)</t>
  </si>
  <si>
    <t>Fonds Chaleur - Investissements éligibles €/MWh/20ans</t>
  </si>
  <si>
    <t>Ratio Investissements éligibles aide Invest. Installation EnR&amp;R €/MWh/20ans</t>
  </si>
  <si>
    <t>Ratio Investissements éligibles FC €/MWh/20ans</t>
  </si>
  <si>
    <t>Fonds Chaleur - Ratio Investissements éligibles €/MWh/20ans (€/ml pour les RC)</t>
  </si>
  <si>
    <t>Ratio global</t>
  </si>
  <si>
    <t>Bilans FC (GWh/an)</t>
  </si>
  <si>
    <t>Bilan FC aide k€</t>
  </si>
  <si>
    <t>Cofinancements</t>
  </si>
  <si>
    <t>Année</t>
  </si>
  <si>
    <t>Part aide ADEME sur l'aide publique totale</t>
  </si>
  <si>
    <t>Montant d'aide ADEME k€</t>
  </si>
  <si>
    <t>Montant d'aide FEDER, Région ou département M€</t>
  </si>
  <si>
    <t>Montant d'aide FEDER, Région ou département k€ sur projets FC</t>
  </si>
  <si>
    <t>Montant d'aide publique projets FC</t>
  </si>
  <si>
    <t>Part aide FEDER, Région ou département sur l'aide publique totale projets FC</t>
  </si>
  <si>
    <t>Part du biométhanie (aide k€)</t>
  </si>
  <si>
    <t>TOTAL Fonds Chaleur (hors métha, hors BCIAT)</t>
  </si>
  <si>
    <t>Ratio FC global €/MWh/20ans (hors métha, hors BCIAT)</t>
  </si>
  <si>
    <t>Géothermie profonde</t>
  </si>
  <si>
    <t>Type</t>
  </si>
  <si>
    <t>Tep/an</t>
  </si>
  <si>
    <t>Total Opération sur aquifère profond  &gt; 200 m</t>
  </si>
  <si>
    <t>Total Opération sur aquifère superficiel &lt; 200 m</t>
  </si>
  <si>
    <t>Total PAC sur champs de sondes</t>
  </si>
  <si>
    <t>Total PAC sur eau de mer ou eaux usées</t>
  </si>
  <si>
    <t>Nature LISA</t>
  </si>
  <si>
    <t>Coût de l'opération</t>
  </si>
  <si>
    <t>Aide ADEME (engt juridique)</t>
  </si>
  <si>
    <t>Aide Partenaire (engt juridique)</t>
  </si>
  <si>
    <t>Aide totale (engt juridique)</t>
  </si>
  <si>
    <t>Libellé du statut du contrat dans LOCO</t>
  </si>
  <si>
    <t>Production géothermale entrée PAC MWH</t>
  </si>
  <si>
    <t>Production géothermale MWH</t>
  </si>
  <si>
    <t>Nbre Installation</t>
  </si>
  <si>
    <t xml:space="preserve">FONDS CHALEUR </t>
  </si>
  <si>
    <t>Nbre Installations</t>
  </si>
  <si>
    <t>Assiette aide k€</t>
  </si>
  <si>
    <t>Aide ADEME k€</t>
  </si>
  <si>
    <t>Aide partenaires k€ (non exhaustive)</t>
  </si>
  <si>
    <t>Aquifère profond</t>
  </si>
  <si>
    <t>Aquifère superficiel</t>
  </si>
  <si>
    <t>Champ de sondes</t>
  </si>
  <si>
    <t>Eaux usées</t>
  </si>
  <si>
    <t xml:space="preserve">Aide ADEME €/tep an </t>
  </si>
  <si>
    <t xml:space="preserve">Aide ADEME €/tep 20 ans </t>
  </si>
  <si>
    <t xml:space="preserve">Eaux usées et mer </t>
  </si>
  <si>
    <t xml:space="preserve">MWh/an </t>
  </si>
  <si>
    <t xml:space="preserve">Aide ADEME €/MWh 20 ans </t>
  </si>
  <si>
    <t>Projets Fonds Chaleur Géothermie</t>
  </si>
  <si>
    <t>Assiette aide €</t>
  </si>
  <si>
    <t>Aide ADEME €</t>
  </si>
  <si>
    <t>MWh/an</t>
  </si>
  <si>
    <t>MWh / Installation</t>
  </si>
  <si>
    <t xml:space="preserve">Aide ADEME         € / MWh 20 ans </t>
  </si>
  <si>
    <t>Taux aide ADEME</t>
  </si>
  <si>
    <t>Eaux usées et mer</t>
  </si>
  <si>
    <t>Sous-total</t>
  </si>
  <si>
    <t>Géothermie - CCRt gestion délégué + CCRp</t>
  </si>
  <si>
    <t>Géothermie - TREMPLIN</t>
  </si>
  <si>
    <t>MWh</t>
  </si>
  <si>
    <t>Géothermie de surface</t>
  </si>
  <si>
    <t>Nombre d'installations</t>
  </si>
  <si>
    <t>Aide Fonds Chaleur k€</t>
  </si>
  <si>
    <t>Aide BCIAT FDI/FRANCE2023 CAPEX</t>
  </si>
  <si>
    <t>Budget FC + FDI FRANCE2030 BCIAT BCIB k€</t>
  </si>
  <si>
    <t xml:space="preserve">TOTAL Fonds Chaleur + FDI FRANCE2030 </t>
  </si>
  <si>
    <t>BCIAT BCIB FDI-FRANCE2030</t>
  </si>
  <si>
    <t>BCIAT/BCIB FC</t>
  </si>
  <si>
    <t>Aide BCIAT BCIB FDI-FRANCE2030 CAPEX</t>
  </si>
  <si>
    <t>TOTAL Fonds Chaleur/BCIAT BCIB FDI-FRANCE2030</t>
  </si>
  <si>
    <t>BCIAT BCIB</t>
  </si>
  <si>
    <t>TOTAL Fonds Chaleur (hors BCIAT BCIB)</t>
  </si>
  <si>
    <t>Ratio FC global €/MWh/20ans (hors BCIAT BCIB)</t>
  </si>
  <si>
    <t>Ratio aide F2030 BCIAT BCIB</t>
  </si>
  <si>
    <t>Ratio Budget FC + F2030 BCIAT BCIB</t>
  </si>
  <si>
    <t>Aide BCIAT BCIB FDI/FRANCE2023 CAPEX</t>
  </si>
  <si>
    <t>Ratio FC global €/MWh/20ans (hors métha, hors BCIAT BCIB)</t>
  </si>
  <si>
    <t>Ratio FC global €/MWh/20ans (hors métha, hors CCR, hors BCIAT BCIB)</t>
  </si>
  <si>
    <r>
      <t xml:space="preserve">Fonds Chaleur - tonnes CO2 évitées </t>
    </r>
    <r>
      <rPr>
        <b/>
        <sz val="11"/>
        <color rgb="FFFF0000"/>
        <rFont val="Arial"/>
        <family val="2"/>
      </rPr>
      <t>(Estimation tCO2 évitées sur la base d'une consommation gaz évitée (facteur d'émission 0,201tCO2/MWh))</t>
    </r>
  </si>
  <si>
    <t>FC</t>
  </si>
  <si>
    <t>CCR</t>
  </si>
  <si>
    <t>Aide</t>
  </si>
  <si>
    <t>Prod</t>
  </si>
  <si>
    <t>Ratio</t>
  </si>
  <si>
    <t>ratio d'aide €/ml</t>
  </si>
  <si>
    <t>BCIAT BCIB F2030</t>
  </si>
  <si>
    <t>Fonds Chaleur + BCIAT BCIB F2030</t>
  </si>
  <si>
    <t>Ratio €/tCO2 évités sur 20 ans (aide à l'investissement FC + BCIAT BCIB F2030)</t>
  </si>
  <si>
    <t>Ratio €/tCO2 évités sur 20 ans (budget FC + BCIAT BCIB F2030)</t>
  </si>
  <si>
    <t>Ratio FC aide investissement et F2030 BCIAT BCIB €/MWh/20ans</t>
  </si>
  <si>
    <t>Détails CCR TREMPLIN</t>
  </si>
  <si>
    <t>TOTAL Engagement de production Fonds Chaleur (TWh/an)</t>
  </si>
  <si>
    <t>TOTAL Engagement de production Fonds Chaleur et BCIAT BCIB FDI-FRANCE2030 (TWh/an)</t>
  </si>
  <si>
    <t>Approv Bois</t>
  </si>
  <si>
    <t>Production de chaleur</t>
  </si>
  <si>
    <t>Aide BCIAT BCIB FDI/FRANCE2023</t>
  </si>
  <si>
    <t>TOTAL Fonds Chaleur + BCIAT BCIB FDI/FRANCE2023</t>
  </si>
  <si>
    <t>Réseau de chaleur (€/ml)</t>
  </si>
  <si>
    <t>Géothermie surface</t>
  </si>
  <si>
    <t xml:space="preserve">en k tep </t>
  </si>
  <si>
    <t>Production GWh/an EnR&amp;R</t>
  </si>
  <si>
    <t>Aide en k€</t>
  </si>
  <si>
    <t>Investissement en k€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</si>
</sst>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_-"/>
    <numFmt numFmtId="166" formatCode="_-* #,##0.00\ _€_-;\-* #,##0.00\ _€_-;_-* &quot;-&quot;??\ _€_-;_-@_-"/>
    <numFmt numFmtId="167" formatCode="_-* #,##0.0_-;\-* #,##0.0_-;_-* &quot;-&quot;??_-;_-@_-"/>
    <numFmt numFmtId="168" formatCode="_-* #,##0\ &quot;€&quot;_-;\-* #,##0\ &quot;€&quot;_-;_-* &quot;-&quot;??\ &quot;€&quot;_-;_-@_-"/>
    <numFmt numFmtId="169" formatCode="_-* #,##0.0\ _€_-;\-* #,##0.0\ _€_-;_-* &quot;-&quot;?\ _€_-;_-@_-"/>
    <numFmt numFmtId="170" formatCode="0.0%"/>
    <numFmt numFmtId="171" formatCode="_-* #,##0.000_-;\-* #,##0.00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sz val="10"/>
      <color theme="1"/>
      <name val="Arial"/>
      <family val="2"/>
    </font>
    <font>
      <i/>
      <sz val="11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b/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4">
    <xf numFmtId="0" fontId="0" fillId="0" borderId="0" xfId="0"/>
    <xf numFmtId="0" fontId="4" fillId="2" borderId="0" xfId="3" applyFont="1" applyFill="1"/>
    <xf numFmtId="0" fontId="0" fillId="2" borderId="0" xfId="0" applyFill="1"/>
    <xf numFmtId="0" fontId="5" fillId="3" borderId="1" xfId="3" applyFont="1" applyFill="1" applyBorder="1"/>
    <xf numFmtId="0" fontId="5" fillId="3" borderId="1" xfId="3" applyFont="1" applyFill="1" applyBorder="1" applyAlignment="1">
      <alignment horizontal="center" vertical="center"/>
    </xf>
    <xf numFmtId="0" fontId="5" fillId="3" borderId="1" xfId="3" applyFont="1" applyFill="1" applyBorder="1" applyAlignment="1">
      <alignment horizontal="center" wrapText="1"/>
    </xf>
    <xf numFmtId="0" fontId="6" fillId="2" borderId="1" xfId="3" applyFont="1" applyFill="1" applyBorder="1"/>
    <xf numFmtId="164" fontId="6" fillId="2" borderId="1" xfId="1" applyNumberFormat="1" applyFont="1" applyFill="1" applyBorder="1" applyAlignment="1">
      <alignment horizontal="center" vertical="center"/>
    </xf>
    <xf numFmtId="164" fontId="6" fillId="2" borderId="1" xfId="1" applyNumberFormat="1" applyFont="1" applyFill="1" applyBorder="1"/>
    <xf numFmtId="0" fontId="7" fillId="4" borderId="1" xfId="3" applyFont="1" applyFill="1" applyBorder="1"/>
    <xf numFmtId="164" fontId="7" fillId="4" borderId="1" xfId="1" applyNumberFormat="1" applyFont="1" applyFill="1" applyBorder="1" applyAlignment="1">
      <alignment horizontal="center" vertical="center"/>
    </xf>
    <xf numFmtId="0" fontId="3" fillId="0" borderId="1" xfId="3" applyBorder="1"/>
    <xf numFmtId="164" fontId="7" fillId="4" borderId="1" xfId="1" applyNumberFormat="1" applyFont="1" applyFill="1" applyBorder="1"/>
    <xf numFmtId="165" fontId="0" fillId="2" borderId="0" xfId="0" applyNumberFormat="1" applyFill="1"/>
    <xf numFmtId="0" fontId="5" fillId="5" borderId="1" xfId="3" applyFont="1" applyFill="1" applyBorder="1"/>
    <xf numFmtId="0" fontId="5" fillId="5" borderId="1" xfId="3" applyFont="1" applyFill="1" applyBorder="1" applyAlignment="1">
      <alignment horizontal="center" vertical="center"/>
    </xf>
    <xf numFmtId="0" fontId="5" fillId="5" borderId="1" xfId="3" applyFont="1" applyFill="1" applyBorder="1" applyAlignment="1">
      <alignment horizontal="center" wrapText="1"/>
    </xf>
    <xf numFmtId="0" fontId="3" fillId="2" borderId="0" xfId="3" applyFill="1"/>
    <xf numFmtId="0" fontId="10" fillId="2" borderId="0" xfId="3" applyFont="1" applyFill="1"/>
    <xf numFmtId="0" fontId="3" fillId="6" borderId="1" xfId="3" applyFill="1" applyBorder="1"/>
    <xf numFmtId="0" fontId="5" fillId="6" borderId="1" xfId="3" applyFont="1" applyFill="1" applyBorder="1" applyAlignment="1">
      <alignment horizontal="center" vertical="center"/>
    </xf>
    <xf numFmtId="0" fontId="5" fillId="6" borderId="1" xfId="3" applyFont="1" applyFill="1" applyBorder="1" applyAlignment="1">
      <alignment horizontal="center" wrapText="1"/>
    </xf>
    <xf numFmtId="165" fontId="5" fillId="2" borderId="1" xfId="4" applyNumberFormat="1" applyFont="1" applyFill="1" applyBorder="1" applyAlignment="1">
      <alignment horizontal="center" vertical="center"/>
    </xf>
    <xf numFmtId="0" fontId="7" fillId="7" borderId="1" xfId="3" applyFont="1" applyFill="1" applyBorder="1" applyAlignment="1">
      <alignment horizontal="left" wrapText="1"/>
    </xf>
    <xf numFmtId="0" fontId="7" fillId="7" borderId="1" xfId="3" applyFont="1" applyFill="1" applyBorder="1" applyAlignment="1">
      <alignment horizontal="center" vertical="center"/>
    </xf>
    <xf numFmtId="165" fontId="5" fillId="7" borderId="1" xfId="4" applyNumberFormat="1" applyFont="1" applyFill="1" applyBorder="1" applyAlignment="1">
      <alignment horizontal="center" vertical="center"/>
    </xf>
    <xf numFmtId="0" fontId="6" fillId="2" borderId="0" xfId="3" applyFont="1" applyFill="1"/>
    <xf numFmtId="165" fontId="7" fillId="7" borderId="1" xfId="3" applyNumberFormat="1" applyFont="1" applyFill="1" applyBorder="1" applyAlignment="1">
      <alignment horizontal="center" vertical="center"/>
    </xf>
    <xf numFmtId="43" fontId="6" fillId="2" borderId="1" xfId="1" applyFont="1" applyFill="1" applyBorder="1" applyAlignment="1">
      <alignment horizontal="center" vertical="center"/>
    </xf>
    <xf numFmtId="43" fontId="7" fillId="4" borderId="1" xfId="1" applyFont="1" applyFill="1" applyBorder="1" applyAlignment="1">
      <alignment horizontal="center" vertical="center"/>
    </xf>
    <xf numFmtId="167" fontId="6" fillId="2" borderId="1" xfId="1" applyNumberFormat="1" applyFont="1" applyFill="1" applyBorder="1" applyAlignment="1">
      <alignment horizontal="center" vertical="center"/>
    </xf>
    <xf numFmtId="167" fontId="6" fillId="2" borderId="1" xfId="1" applyNumberFormat="1" applyFont="1" applyFill="1" applyBorder="1"/>
    <xf numFmtId="164" fontId="0" fillId="2" borderId="0" xfId="1" applyNumberFormat="1" applyFont="1" applyFill="1"/>
    <xf numFmtId="164" fontId="13" fillId="4" borderId="1" xfId="1" applyNumberFormat="1" applyFont="1" applyFill="1" applyBorder="1" applyAlignment="1">
      <alignment horizontal="center" vertical="center"/>
    </xf>
    <xf numFmtId="0" fontId="14" fillId="2" borderId="0" xfId="0" applyFont="1" applyFill="1"/>
    <xf numFmtId="164" fontId="14" fillId="2" borderId="0" xfId="0" applyNumberFormat="1" applyFont="1" applyFill="1"/>
    <xf numFmtId="167" fontId="14" fillId="2" borderId="0" xfId="0" applyNumberFormat="1" applyFont="1" applyFill="1"/>
    <xf numFmtId="0" fontId="2" fillId="2" borderId="0" xfId="0" applyFont="1" applyFill="1"/>
    <xf numFmtId="0" fontId="15" fillId="2" borderId="0" xfId="0" applyFont="1" applyFill="1"/>
    <xf numFmtId="0" fontId="7" fillId="3" borderId="1" xfId="1" applyNumberFormat="1" applyFont="1" applyFill="1" applyBorder="1" applyAlignment="1">
      <alignment horizontal="center"/>
    </xf>
    <xf numFmtId="164" fontId="7" fillId="7" borderId="1" xfId="1" applyNumberFormat="1" applyFont="1" applyFill="1" applyBorder="1" applyAlignment="1">
      <alignment horizontal="left" wrapText="1"/>
    </xf>
    <xf numFmtId="164" fontId="3" fillId="2" borderId="0" xfId="1" applyNumberFormat="1" applyFont="1" applyFill="1"/>
    <xf numFmtId="0" fontId="13" fillId="4" borderId="1" xfId="3" applyFont="1" applyFill="1" applyBorder="1"/>
    <xf numFmtId="9" fontId="6" fillId="2" borderId="1" xfId="2" applyFont="1" applyFill="1" applyBorder="1"/>
    <xf numFmtId="164" fontId="7" fillId="2" borderId="1" xfId="1" applyNumberFormat="1" applyFont="1" applyFill="1" applyBorder="1" applyAlignment="1">
      <alignment horizontal="left" wrapText="1"/>
    </xf>
    <xf numFmtId="164" fontId="5" fillId="2" borderId="1" xfId="1" applyNumberFormat="1" applyFont="1" applyFill="1" applyBorder="1" applyAlignment="1">
      <alignment horizontal="center" vertical="center"/>
    </xf>
    <xf numFmtId="0" fontId="3" fillId="2" borderId="1" xfId="3" applyFill="1" applyBorder="1" applyAlignment="1">
      <alignment wrapText="1"/>
    </xf>
    <xf numFmtId="0" fontId="3" fillId="4" borderId="1" xfId="3" applyFill="1" applyBorder="1" applyAlignment="1">
      <alignment wrapText="1"/>
    </xf>
    <xf numFmtId="167" fontId="7" fillId="4" borderId="1" xfId="1" applyNumberFormat="1" applyFont="1" applyFill="1" applyBorder="1" applyAlignment="1">
      <alignment horizontal="left" wrapText="1"/>
    </xf>
    <xf numFmtId="167" fontId="5" fillId="4" borderId="1" xfId="1" applyNumberFormat="1" applyFont="1" applyFill="1" applyBorder="1" applyAlignment="1">
      <alignment horizontal="center" vertical="center"/>
    </xf>
    <xf numFmtId="164" fontId="0" fillId="2" borderId="0" xfId="0" applyNumberFormat="1" applyFill="1"/>
    <xf numFmtId="0" fontId="0" fillId="2" borderId="1" xfId="0" applyFill="1" applyBorder="1"/>
    <xf numFmtId="164" fontId="7" fillId="2" borderId="1" xfId="1" applyNumberFormat="1" applyFont="1" applyFill="1" applyBorder="1" applyAlignment="1">
      <alignment horizontal="center" vertical="center" wrapText="1"/>
    </xf>
    <xf numFmtId="43" fontId="0" fillId="2" borderId="1" xfId="1" applyFont="1" applyFill="1" applyBorder="1"/>
    <xf numFmtId="164" fontId="0" fillId="2" borderId="1" xfId="1" applyNumberFormat="1" applyFont="1" applyFill="1" applyBorder="1"/>
    <xf numFmtId="43" fontId="0" fillId="2" borderId="0" xfId="1" applyFont="1" applyFill="1"/>
    <xf numFmtId="164" fontId="17" fillId="2" borderId="1" xfId="1" applyNumberFormat="1" applyFont="1" applyFill="1" applyBorder="1"/>
    <xf numFmtId="43" fontId="17" fillId="2" borderId="1" xfId="1" applyFont="1" applyFill="1" applyBorder="1"/>
    <xf numFmtId="2" fontId="0" fillId="2" borderId="1" xfId="0" applyNumberFormat="1" applyFill="1" applyBorder="1"/>
    <xf numFmtId="9" fontId="7" fillId="4" borderId="1" xfId="2" applyFont="1" applyFill="1" applyBorder="1" applyAlignment="1">
      <alignment horizontal="center" vertical="center"/>
    </xf>
    <xf numFmtId="9" fontId="7" fillId="4" borderId="1" xfId="2" applyFont="1" applyFill="1" applyBorder="1"/>
    <xf numFmtId="0" fontId="7" fillId="2" borderId="1" xfId="3" applyFont="1" applyFill="1" applyBorder="1"/>
    <xf numFmtId="43" fontId="7" fillId="2" borderId="1" xfId="1" applyFont="1" applyFill="1" applyBorder="1" applyAlignment="1">
      <alignment horizontal="center" vertical="center"/>
    </xf>
    <xf numFmtId="167" fontId="7" fillId="4" borderId="1" xfId="1" applyNumberFormat="1" applyFont="1" applyFill="1" applyBorder="1" applyAlignment="1">
      <alignment horizontal="center" vertical="center"/>
    </xf>
    <xf numFmtId="0" fontId="18" fillId="2" borderId="0" xfId="0" applyFont="1" applyFill="1"/>
    <xf numFmtId="167" fontId="7" fillId="4" borderId="1" xfId="1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9" fontId="0" fillId="0" borderId="1" xfId="2" applyFont="1" applyBorder="1"/>
    <xf numFmtId="164" fontId="0" fillId="0" borderId="1" xfId="1" applyNumberFormat="1" applyFont="1" applyBorder="1"/>
    <xf numFmtId="167" fontId="0" fillId="0" borderId="1" xfId="0" applyNumberFormat="1" applyBorder="1"/>
    <xf numFmtId="164" fontId="0" fillId="0" borderId="1" xfId="0" applyNumberFormat="1" applyBorder="1"/>
    <xf numFmtId="164" fontId="3" fillId="2" borderId="0" xfId="3" applyNumberFormat="1" applyFill="1"/>
    <xf numFmtId="3" fontId="19" fillId="8" borderId="2" xfId="0" applyNumberFormat="1" applyFont="1" applyFill="1" applyBorder="1" applyAlignment="1">
      <alignment horizontal="left" vertical="center"/>
    </xf>
    <xf numFmtId="3" fontId="19" fillId="8" borderId="3" xfId="0" applyNumberFormat="1" applyFont="1" applyFill="1" applyBorder="1" applyAlignment="1">
      <alignment horizontal="center" vertical="center"/>
    </xf>
    <xf numFmtId="3" fontId="19" fillId="8" borderId="3" xfId="0" applyNumberFormat="1" applyFont="1" applyFill="1" applyBorder="1" applyAlignment="1">
      <alignment horizontal="center" vertical="center" wrapText="1"/>
    </xf>
    <xf numFmtId="3" fontId="19" fillId="8" borderId="4" xfId="0" applyNumberFormat="1" applyFont="1" applyFill="1" applyBorder="1" applyAlignment="1">
      <alignment horizontal="center" vertical="center"/>
    </xf>
    <xf numFmtId="3" fontId="19" fillId="9" borderId="2" xfId="0" applyNumberFormat="1" applyFont="1" applyFill="1" applyBorder="1" applyAlignment="1">
      <alignment horizontal="left" vertical="center"/>
    </xf>
    <xf numFmtId="3" fontId="19" fillId="9" borderId="3" xfId="0" applyNumberFormat="1" applyFont="1" applyFill="1" applyBorder="1" applyAlignment="1">
      <alignment horizontal="center" vertical="center"/>
    </xf>
    <xf numFmtId="3" fontId="19" fillId="9" borderId="3" xfId="0" applyNumberFormat="1" applyFont="1" applyFill="1" applyBorder="1" applyAlignment="1">
      <alignment horizontal="center" vertical="center" wrapText="1"/>
    </xf>
    <xf numFmtId="3" fontId="19" fillId="9" borderId="4" xfId="0" applyNumberFormat="1" applyFont="1" applyFill="1" applyBorder="1" applyAlignment="1">
      <alignment horizontal="center" vertical="center"/>
    </xf>
    <xf numFmtId="3" fontId="20" fillId="10" borderId="2" xfId="0" applyNumberFormat="1" applyFont="1" applyFill="1" applyBorder="1" applyAlignment="1">
      <alignment horizontal="left" vertical="center"/>
    </xf>
    <xf numFmtId="3" fontId="20" fillId="10" borderId="3" xfId="0" applyNumberFormat="1" applyFont="1" applyFill="1" applyBorder="1" applyAlignment="1">
      <alignment horizontal="center" vertical="center"/>
    </xf>
    <xf numFmtId="3" fontId="20" fillId="10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wrapText="1"/>
    </xf>
    <xf numFmtId="4" fontId="21" fillId="0" borderId="0" xfId="0" applyNumberFormat="1" applyFont="1" applyAlignment="1">
      <alignment wrapText="1"/>
    </xf>
    <xf numFmtId="164" fontId="0" fillId="0" borderId="0" xfId="1" applyNumberFormat="1" applyFont="1"/>
    <xf numFmtId="164" fontId="6" fillId="11" borderId="1" xfId="1" applyNumberFormat="1" applyFont="1" applyFill="1" applyBorder="1" applyAlignment="1">
      <alignment horizontal="center" vertical="center"/>
    </xf>
    <xf numFmtId="164" fontId="10" fillId="2" borderId="1" xfId="1" applyNumberFormat="1" applyFont="1" applyFill="1" applyBorder="1" applyAlignment="1">
      <alignment horizontal="center" vertical="center"/>
    </xf>
    <xf numFmtId="164" fontId="10" fillId="11" borderId="1" xfId="1" applyNumberFormat="1" applyFont="1" applyFill="1" applyBorder="1" applyAlignment="1">
      <alignment horizontal="center" vertical="center"/>
    </xf>
    <xf numFmtId="164" fontId="0" fillId="0" borderId="0" xfId="0" applyNumberFormat="1"/>
    <xf numFmtId="9" fontId="0" fillId="2" borderId="0" xfId="2" applyFont="1" applyFill="1"/>
    <xf numFmtId="0" fontId="22" fillId="2" borderId="0" xfId="3" applyFont="1" applyFill="1"/>
    <xf numFmtId="168" fontId="0" fillId="2" borderId="1" xfId="5" applyNumberFormat="1" applyFont="1" applyFill="1" applyBorder="1"/>
    <xf numFmtId="168" fontId="0" fillId="2" borderId="1" xfId="0" applyNumberFormat="1" applyFill="1" applyBorder="1"/>
    <xf numFmtId="43" fontId="0" fillId="0" borderId="1" xfId="1" applyFont="1" applyBorder="1"/>
    <xf numFmtId="0" fontId="0" fillId="6" borderId="1" xfId="0" applyFill="1" applyBorder="1"/>
    <xf numFmtId="0" fontId="18" fillId="6" borderId="1" xfId="0" applyFont="1" applyFill="1" applyBorder="1" applyAlignment="1">
      <alignment horizontal="center"/>
    </xf>
    <xf numFmtId="164" fontId="0" fillId="2" borderId="1" xfId="0" applyNumberFormat="1" applyFill="1" applyBorder="1"/>
    <xf numFmtId="167" fontId="0" fillId="2" borderId="1" xfId="1" applyNumberFormat="1" applyFont="1" applyFill="1" applyBorder="1"/>
    <xf numFmtId="169" fontId="0" fillId="2" borderId="0" xfId="0" applyNumberFormat="1" applyFill="1"/>
    <xf numFmtId="0" fontId="5" fillId="2" borderId="1" xfId="3" applyFont="1" applyFill="1" applyBorder="1"/>
    <xf numFmtId="0" fontId="5" fillId="2" borderId="1" xfId="3" applyFont="1" applyFill="1" applyBorder="1" applyAlignment="1">
      <alignment horizontal="center" vertical="center"/>
    </xf>
    <xf numFmtId="0" fontId="5" fillId="2" borderId="1" xfId="3" applyFont="1" applyFill="1" applyBorder="1" applyAlignment="1">
      <alignment horizontal="center" wrapText="1"/>
    </xf>
    <xf numFmtId="0" fontId="7" fillId="13" borderId="1" xfId="3" applyFont="1" applyFill="1" applyBorder="1"/>
    <xf numFmtId="43" fontId="7" fillId="13" borderId="1" xfId="1" applyFont="1" applyFill="1" applyBorder="1" applyAlignment="1">
      <alignment horizontal="center" vertical="center"/>
    </xf>
    <xf numFmtId="0" fontId="7" fillId="12" borderId="1" xfId="3" applyFont="1" applyFill="1" applyBorder="1"/>
    <xf numFmtId="43" fontId="7" fillId="12" borderId="1" xfId="1" applyFont="1" applyFill="1" applyBorder="1" applyAlignment="1">
      <alignment horizontal="center" vertical="center"/>
    </xf>
    <xf numFmtId="170" fontId="6" fillId="11" borderId="1" xfId="2" applyNumberFormat="1" applyFont="1" applyFill="1" applyBorder="1"/>
    <xf numFmtId="164" fontId="0" fillId="0" borderId="1" xfId="1" applyNumberFormat="1" applyFont="1" applyFill="1" applyBorder="1"/>
    <xf numFmtId="167" fontId="0" fillId="0" borderId="1" xfId="1" applyNumberFormat="1" applyFont="1" applyFill="1" applyBorder="1"/>
    <xf numFmtId="43" fontId="7" fillId="4" borderId="1" xfId="1" applyFont="1" applyFill="1" applyBorder="1" applyAlignment="1">
      <alignment horizontal="left" wrapText="1"/>
    </xf>
    <xf numFmtId="167" fontId="0" fillId="2" borderId="0" xfId="0" applyNumberFormat="1" applyFill="1"/>
    <xf numFmtId="0" fontId="5" fillId="5" borderId="0" xfId="3" applyFont="1" applyFill="1" applyAlignment="1">
      <alignment horizontal="center" wrapText="1"/>
    </xf>
    <xf numFmtId="164" fontId="6" fillId="2" borderId="0" xfId="1" applyNumberFormat="1" applyFont="1" applyFill="1" applyBorder="1" applyAlignment="1">
      <alignment horizontal="center" vertical="center"/>
    </xf>
    <xf numFmtId="164" fontId="7" fillId="4" borderId="0" xfId="1" applyNumberFormat="1" applyFont="1" applyFill="1" applyBorder="1" applyAlignment="1">
      <alignment horizontal="center" vertical="center"/>
    </xf>
    <xf numFmtId="164" fontId="0" fillId="2" borderId="0" xfId="1" applyNumberFormat="1" applyFont="1" applyFill="1" applyBorder="1"/>
    <xf numFmtId="164" fontId="7" fillId="2" borderId="0" xfId="1" applyNumberFormat="1" applyFont="1" applyFill="1" applyBorder="1" applyAlignment="1">
      <alignment horizontal="center" vertical="center" wrapText="1"/>
    </xf>
    <xf numFmtId="9" fontId="7" fillId="4" borderId="0" xfId="2" applyFont="1" applyFill="1" applyBorder="1" applyAlignment="1">
      <alignment horizontal="center" vertical="center"/>
    </xf>
    <xf numFmtId="0" fontId="5" fillId="0" borderId="0" xfId="3" applyFont="1" applyAlignment="1">
      <alignment horizontal="center" wrapText="1"/>
    </xf>
    <xf numFmtId="164" fontId="7" fillId="0" borderId="0" xfId="1" applyNumberFormat="1" applyFont="1" applyFill="1" applyBorder="1" applyAlignment="1">
      <alignment horizontal="center" vertical="center"/>
    </xf>
    <xf numFmtId="164" fontId="7" fillId="2" borderId="0" xfId="1" applyNumberFormat="1" applyFont="1" applyFill="1" applyBorder="1" applyAlignment="1">
      <alignment horizontal="center" vertical="center"/>
    </xf>
    <xf numFmtId="164" fontId="7" fillId="4" borderId="5" xfId="1" applyNumberFormat="1" applyFont="1" applyFill="1" applyBorder="1" applyAlignment="1">
      <alignment horizontal="center" vertical="center"/>
    </xf>
    <xf numFmtId="1" fontId="0" fillId="0" borderId="1" xfId="1" applyNumberFormat="1" applyFont="1" applyFill="1" applyBorder="1"/>
    <xf numFmtId="164" fontId="18" fillId="4" borderId="1" xfId="0" applyNumberFormat="1" applyFont="1" applyFill="1" applyBorder="1"/>
    <xf numFmtId="0" fontId="18" fillId="14" borderId="1" xfId="0" applyFont="1" applyFill="1" applyBorder="1"/>
    <xf numFmtId="164" fontId="6" fillId="11" borderId="1" xfId="1" applyNumberFormat="1" applyFont="1" applyFill="1" applyBorder="1"/>
    <xf numFmtId="171" fontId="0" fillId="2" borderId="0" xfId="1" applyNumberFormat="1" applyFont="1" applyFill="1"/>
    <xf numFmtId="0" fontId="5" fillId="5" borderId="1" xfId="3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wrapText="1"/>
    </xf>
    <xf numFmtId="164" fontId="7" fillId="4" borderId="1" xfId="1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164" fontId="7" fillId="4" borderId="1" xfId="1" applyNumberFormat="1" applyFont="1" applyFill="1" applyBorder="1" applyAlignment="1">
      <alignment horizontal="center" vertical="center" wrapText="1"/>
    </xf>
  </cellXfs>
  <cellStyles count="6">
    <cellStyle name="Milliers" xfId="1" builtinId="3"/>
    <cellStyle name="Milliers 2" xfId="4" xr:uid="{73F48560-4583-4D2A-ADD7-E77CE668FDE7}"/>
    <cellStyle name="Monétaire" xfId="5" builtinId="4"/>
    <cellStyle name="Normal" xfId="0" builtinId="0"/>
    <cellStyle name="Normal 2" xfId="3" xr:uid="{3357C962-8951-4BE9-A04C-C4A852F9A360}"/>
    <cellStyle name="Pourcentage" xfId="2" builtinId="5"/>
  </cellStyles>
  <dxfs count="0"/>
  <tableStyles count="0" defaultTableStyle="TableStyleMedium2" defaultPivotStyle="PivotStyleLight16"/>
  <colors>
    <mruColors>
      <color rgb="FFE2A2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'Analyse ratios d''aide'!$B$3</c:f>
              <c:strCache>
                <c:ptCount val="1"/>
                <c:pt idx="0">
                  <c:v>Ratio FC global €/MWh/20ans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'Analyse ratios d''aide'!$C$2:$Q$2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'Analyse ratios d''aide'!$C$3:$Q$3</c:f>
              <c:numCache>
                <c:formatCode>_(* #,##0.00_);_(* \(#,##0.00\);_(* "-"??_);_(@_)</c:formatCode>
                <c:ptCount val="15"/>
                <c:pt idx="0">
                  <c:v>3.7042782848537819</c:v>
                </c:pt>
                <c:pt idx="1">
                  <c:v>3.3909570541907081</c:v>
                </c:pt>
                <c:pt idx="2">
                  <c:v>3.669643847781991</c:v>
                </c:pt>
                <c:pt idx="3">
                  <c:v>3.3243281759936529</c:v>
                </c:pt>
                <c:pt idx="4">
                  <c:v>3.654243425308259</c:v>
                </c:pt>
                <c:pt idx="5">
                  <c:v>3.7036546743998251</c:v>
                </c:pt>
                <c:pt idx="6">
                  <c:v>3.6890555294540497</c:v>
                </c:pt>
                <c:pt idx="7">
                  <c:v>5.1127826811337327</c:v>
                </c:pt>
                <c:pt idx="8">
                  <c:v>4.9176501580561256</c:v>
                </c:pt>
                <c:pt idx="9">
                  <c:v>4.9473246290452035</c:v>
                </c:pt>
                <c:pt idx="10">
                  <c:v>3.7988714436031281</c:v>
                </c:pt>
                <c:pt idx="11">
                  <c:v>4.4262933804017122</c:v>
                </c:pt>
                <c:pt idx="12">
                  <c:v>5.2200628567196041</c:v>
                </c:pt>
                <c:pt idx="13">
                  <c:v>7.0890867296352225</c:v>
                </c:pt>
                <c:pt idx="14">
                  <c:v>10.662617429904401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8-47F6-AE26-162A7C99B1A2}"/>
            </c:ext>
          </c:extLst>
        </c:ser>
        <c:ser>
          <c:idx val="1"/>
          <c:order val="1"/>
          <c:tx>
            <c:strRef>
              <c:f>'Analyse ratios d''aide'!$B$4</c:f>
              <c:strCache>
                <c:ptCount val="1"/>
                <c:pt idx="0">
                  <c:v>Ratio FC global €/MWh/20ans (hors métha)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'Analyse ratios d''aide'!$C$2:$Q$2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'Analyse ratios d''aide'!$C$4:$Q$4</c:f>
              <c:numCache>
                <c:formatCode>_(* #,##0.00_);_(* \(#,##0.00\);_(* "-"??_);_(@_)</c:formatCode>
                <c:ptCount val="15"/>
                <c:pt idx="0">
                  <c:v>3.723158477331546</c:v>
                </c:pt>
                <c:pt idx="1">
                  <c:v>3.4160313826605355</c:v>
                </c:pt>
                <c:pt idx="2">
                  <c:v>3.7549612735491045</c:v>
                </c:pt>
                <c:pt idx="3">
                  <c:v>3.4914579510560699</c:v>
                </c:pt>
                <c:pt idx="4">
                  <c:v>3.7823029394193375</c:v>
                </c:pt>
                <c:pt idx="5">
                  <c:v>4.0587854674206145</c:v>
                </c:pt>
                <c:pt idx="6">
                  <c:v>3.8331621267141913</c:v>
                </c:pt>
                <c:pt idx="7">
                  <c:v>5.6439092778600539</c:v>
                </c:pt>
                <c:pt idx="8">
                  <c:v>5.224099512766867</c:v>
                </c:pt>
                <c:pt idx="9">
                  <c:v>5.9453339379856027</c:v>
                </c:pt>
                <c:pt idx="10">
                  <c:v>4.3459618082748985</c:v>
                </c:pt>
                <c:pt idx="11">
                  <c:v>5.2611134461890057</c:v>
                </c:pt>
                <c:pt idx="12">
                  <c:v>7.7141172693507993</c:v>
                </c:pt>
                <c:pt idx="13">
                  <c:v>7.7424374995932554</c:v>
                </c:pt>
                <c:pt idx="14">
                  <c:v>11.660917262071168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8-47F6-AE26-162A7C99B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887391"/>
        <c:axId val="831912351"/>
      </c:barChart>
      <c:catAx>
        <c:axId val="83188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1912351"/>
        <c:crosses val="autoZero"/>
        <c:auto val="1"/>
        <c:lblAlgn val="ctr"/>
        <c:lblOffset val="100"/>
        <c:noMultiLvlLbl val="0"/>
      </c:catAx>
      <c:valAx>
        <c:axId val="83191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188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Bilan Fonds Chaleur- Ratio d'efficience installation production €/MWh/20ans et réseau de chaleur €/ml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'FC Ratio aide FC'!$B$25</c:f>
              <c:strCache>
                <c:ptCount val="1"/>
                <c:pt idx="0">
                  <c:v> Bois Hors BCIAT/BCIB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 Ratio aide FC'!$C$24:$Q$24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Ratio aide FC'!$C$25:$Q$25</c:f>
              <c:numCache>
                <c:formatCode>_-* #\ ##0.0_-;\-* #\ ##0.0_-;_-* "-"??_-;_-@_-</c:formatCode>
                <c:ptCount val="15"/>
                <c:pt idx="0">
                  <c:v>3.981083404987102</c:v>
                </c:pt>
                <c:pt idx="1">
                  <c:v>3.7317282889079961</c:v>
                </c:pt>
                <c:pt idx="2">
                  <c:v>2.2527944969905414</c:v>
                </c:pt>
                <c:pt idx="3">
                  <c:v>2.0464316423043853</c:v>
                </c:pt>
                <c:pt idx="4">
                  <c:v>2.287188306104901</c:v>
                </c:pt>
                <c:pt idx="5">
                  <c:v>2.7411865864144453</c:v>
                </c:pt>
                <c:pt idx="6">
                  <c:v>2.4110060189165949</c:v>
                </c:pt>
                <c:pt idx="7">
                  <c:v>3.7644024075666378</c:v>
                </c:pt>
                <c:pt idx="8">
                  <c:v>3.5511607910576091</c:v>
                </c:pt>
                <c:pt idx="9">
                  <c:v>3.5795356835769563</c:v>
                </c:pt>
                <c:pt idx="10">
                  <c:v>2.6208082545141873</c:v>
                </c:pt>
                <c:pt idx="11">
                  <c:v>5.3138435081685289</c:v>
                </c:pt>
                <c:pt idx="12">
                  <c:v>5.26</c:v>
                </c:pt>
                <c:pt idx="13">
                  <c:v>8.4991654021338583</c:v>
                </c:pt>
                <c:pt idx="14">
                  <c:v>10.968184136695681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2-45C7-9A93-5432CB0C2991}"/>
            </c:ext>
          </c:extLst>
        </c:ser>
        <c:ser>
          <c:idx val="1"/>
          <c:order val="1"/>
          <c:tx>
            <c:strRef>
              <c:f>'FC Ratio aide FC'!$B$26</c:f>
              <c:strCache>
                <c:ptCount val="1"/>
                <c:pt idx="0">
                  <c:v> BCIAT/BCIB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'FC Ratio aide FC'!$C$24:$Q$24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Ratio aide FC'!$C$26:$Q$26</c:f>
              <c:numCache>
                <c:formatCode>_-* #\ ##0.0_-;\-* #\ ##0.0_-;_-* "-"??_-;_-@_-</c:formatCode>
                <c:ptCount val="15"/>
                <c:pt idx="0">
                  <c:v>1.8311340504280953</c:v>
                </c:pt>
                <c:pt idx="1">
                  <c:v>1.7310294947836564</c:v>
                </c:pt>
                <c:pt idx="2">
                  <c:v>1.5192273651849009</c:v>
                </c:pt>
                <c:pt idx="3">
                  <c:v>1.6722206543208074</c:v>
                </c:pt>
                <c:pt idx="4">
                  <c:v>1.5927656415955866</c:v>
                </c:pt>
                <c:pt idx="5">
                  <c:v>1.5314676955940274</c:v>
                </c:pt>
                <c:pt idx="6">
                  <c:v>2.6475899326311367</c:v>
                </c:pt>
                <c:pt idx="7">
                  <c:v>2.5758525909392316</c:v>
                </c:pt>
                <c:pt idx="8">
                  <c:v>3.2129661337784214</c:v>
                </c:pt>
                <c:pt idx="9">
                  <c:v>3.1872971428139776</c:v>
                </c:pt>
                <c:pt idx="10">
                  <c:v>2.0199379249358858</c:v>
                </c:pt>
                <c:pt idx="11">
                  <c:v>2.2200570672976547</c:v>
                </c:pt>
                <c:pt idx="12">
                  <c:v>2.5133708232299781</c:v>
                </c:pt>
                <c:pt idx="13">
                  <c:v>3.8532021411514199</c:v>
                </c:pt>
                <c:pt idx="14">
                  <c:v>5.2854286894560385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2-45C7-9A93-5432CB0C2991}"/>
            </c:ext>
          </c:extLst>
        </c:ser>
        <c:ser>
          <c:idx val="2"/>
          <c:order val="2"/>
          <c:tx>
            <c:strRef>
              <c:f>'FC Ratio aide FC'!$B$27</c:f>
              <c:strCache>
                <c:ptCount val="1"/>
                <c:pt idx="0">
                  <c:v> Géothermie surface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'FC Ratio aide FC'!$C$24:$Q$24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Ratio aide FC'!$C$27:$Q$27</c:f>
              <c:numCache>
                <c:formatCode>_-* #\ ##0.0_-;\-* #\ ##0.0_-;_-* "-"??_-;_-@_-</c:formatCode>
                <c:ptCount val="15"/>
                <c:pt idx="0">
                  <c:v>18.57469809736919</c:v>
                </c:pt>
                <c:pt idx="1">
                  <c:v>13.560961633457577</c:v>
                </c:pt>
                <c:pt idx="2">
                  <c:v>11.072579168801377</c:v>
                </c:pt>
                <c:pt idx="3">
                  <c:v>9.859940882056808</c:v>
                </c:pt>
                <c:pt idx="4">
                  <c:v>8.7886835236914056</c:v>
                </c:pt>
                <c:pt idx="5">
                  <c:v>19.949960303650421</c:v>
                </c:pt>
                <c:pt idx="6">
                  <c:v>21.895976419717684</c:v>
                </c:pt>
                <c:pt idx="7">
                  <c:v>10.825703743529328</c:v>
                </c:pt>
                <c:pt idx="8">
                  <c:v>14.875710926250141</c:v>
                </c:pt>
                <c:pt idx="9">
                  <c:v>6.967662166644887</c:v>
                </c:pt>
                <c:pt idx="10">
                  <c:v>10.985888125136626</c:v>
                </c:pt>
                <c:pt idx="11">
                  <c:v>15.475484309668833</c:v>
                </c:pt>
                <c:pt idx="12">
                  <c:v>12.281729131175469</c:v>
                </c:pt>
                <c:pt idx="13">
                  <c:v>31.894835219568886</c:v>
                </c:pt>
                <c:pt idx="14">
                  <c:v>18.028260313456336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52-45C7-9A93-5432CB0C2991}"/>
            </c:ext>
          </c:extLst>
        </c:ser>
        <c:ser>
          <c:idx val="3"/>
          <c:order val="3"/>
          <c:tx>
            <c:strRef>
              <c:f>'FC Ratio aide FC'!$B$28</c:f>
              <c:strCache>
                <c:ptCount val="1"/>
                <c:pt idx="0">
                  <c:v> Géothermie profonde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'FC Ratio aide FC'!$C$24:$Q$24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Ratio aide FC'!$C$28:$Q$28</c:f>
              <c:numCache>
                <c:formatCode>_-* #\ ##0.0_-;\-* #\ ##0.0_-;_-* "-"??_-;_-@_-</c:formatCode>
                <c:ptCount val="15"/>
                <c:pt idx="0">
                  <c:v>3.9158379601526319</c:v>
                </c:pt>
                <c:pt idx="1">
                  <c:v>5.1219175610118572</c:v>
                </c:pt>
                <c:pt idx="2">
                  <c:v>2.3795849161373797</c:v>
                </c:pt>
                <c:pt idx="3">
                  <c:v>3.4217724840821795</c:v>
                </c:pt>
                <c:pt idx="4">
                  <c:v>1.2385630195310529</c:v>
                </c:pt>
                <c:pt idx="5">
                  <c:v>2.0137218606208176</c:v>
                </c:pt>
                <c:pt idx="6">
                  <c:v>1.7091009797767291</c:v>
                </c:pt>
                <c:pt idx="7">
                  <c:v>6.3702278860927342</c:v>
                </c:pt>
                <c:pt idx="8">
                  <c:v>4.6885942261286955</c:v>
                </c:pt>
                <c:pt idx="9">
                  <c:v>2.3757665759150788</c:v>
                </c:pt>
                <c:pt idx="10">
                  <c:v>4.6733798687312698</c:v>
                </c:pt>
                <c:pt idx="11">
                  <c:v>1.8999132890907373</c:v>
                </c:pt>
                <c:pt idx="12">
                  <c:v>1.7960984046140056</c:v>
                </c:pt>
                <c:pt idx="13">
                  <c:v>2.864771920142668</c:v>
                </c:pt>
                <c:pt idx="14">
                  <c:v>3.9691427346972565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52-45C7-9A93-5432CB0C2991}"/>
            </c:ext>
          </c:extLst>
        </c:ser>
        <c:ser>
          <c:idx val="4"/>
          <c:order val="4"/>
          <c:tx>
            <c:strRef>
              <c:f>'FC Ratio aide FC'!$B$29</c:f>
              <c:strCache>
                <c:ptCount val="1"/>
                <c:pt idx="0">
                  <c:v> Biométhane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'FC Ratio aide FC'!$C$24:$Q$24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Ratio aide FC'!$C$29:$Q$29</c:f>
              <c:numCache>
                <c:formatCode>_-* #\ ##0.0_-;\-* #\ ##0.0_-;_-* "-"??_-;_-@_-</c:formatCode>
                <c:ptCount val="15"/>
                <c:pt idx="0">
                  <c:v>2.1840068787618225</c:v>
                </c:pt>
                <c:pt idx="1">
                  <c:v>1.4445399828030954</c:v>
                </c:pt>
                <c:pt idx="2">
                  <c:v>0.81685296646603611</c:v>
                </c:pt>
                <c:pt idx="4">
                  <c:v>0.83404987102321571</c:v>
                </c:pt>
                <c:pt idx="5">
                  <c:v>0.87704213241616502</c:v>
                </c:pt>
                <c:pt idx="6">
                  <c:v>3.1427343078245911</c:v>
                </c:pt>
                <c:pt idx="7">
                  <c:v>2.6758383490971624</c:v>
                </c:pt>
                <c:pt idx="8">
                  <c:v>3.2674118658641444</c:v>
                </c:pt>
                <c:pt idx="9">
                  <c:v>1.7901977644024074</c:v>
                </c:pt>
                <c:pt idx="10">
                  <c:v>2.4548581255374033</c:v>
                </c:pt>
                <c:pt idx="11">
                  <c:v>2.3301805674978504</c:v>
                </c:pt>
                <c:pt idx="12">
                  <c:v>1.54</c:v>
                </c:pt>
                <c:pt idx="13">
                  <c:v>3.0344026243229165</c:v>
                </c:pt>
                <c:pt idx="14">
                  <c:v>1.5434408598282789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52-45C7-9A93-5432CB0C2991}"/>
            </c:ext>
          </c:extLst>
        </c:ser>
        <c:ser>
          <c:idx val="5"/>
          <c:order val="5"/>
          <c:tx>
            <c:strRef>
              <c:f>'FC Ratio aide FC'!$B$30</c:f>
              <c:strCache>
                <c:ptCount val="1"/>
                <c:pt idx="0">
                  <c:v> Solaire 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'FC Ratio aide FC'!$C$24:$Q$24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Ratio aide FC'!$C$30:$Q$30</c:f>
              <c:numCache>
                <c:formatCode>_-* #\ ##0.0_-;\-* #\ ##0.0_-;_-* "-"??_-;_-@_-</c:formatCode>
                <c:ptCount val="15"/>
                <c:pt idx="0">
                  <c:v>51.83614998776909</c:v>
                </c:pt>
                <c:pt idx="1">
                  <c:v>50.44721895281004</c:v>
                </c:pt>
                <c:pt idx="2">
                  <c:v>44.080570522431586</c:v>
                </c:pt>
                <c:pt idx="3">
                  <c:v>45.200794998807424</c:v>
                </c:pt>
                <c:pt idx="4">
                  <c:v>44.552659907139812</c:v>
                </c:pt>
                <c:pt idx="5">
                  <c:v>45.888773918999661</c:v>
                </c:pt>
                <c:pt idx="6">
                  <c:v>50.673875820507924</c:v>
                </c:pt>
                <c:pt idx="7">
                  <c:v>47.29148753224419</c:v>
                </c:pt>
                <c:pt idx="8">
                  <c:v>33.135593220338976</c:v>
                </c:pt>
                <c:pt idx="9">
                  <c:v>23.823657411437026</c:v>
                </c:pt>
                <c:pt idx="10">
                  <c:v>24.215002103813639</c:v>
                </c:pt>
                <c:pt idx="11">
                  <c:v>29.148753224419604</c:v>
                </c:pt>
                <c:pt idx="12">
                  <c:v>23</c:v>
                </c:pt>
                <c:pt idx="13">
                  <c:v>26.254536637582248</c:v>
                </c:pt>
                <c:pt idx="14">
                  <c:v>22.919786458876189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52-45C7-9A93-5432CB0C2991}"/>
            </c:ext>
          </c:extLst>
        </c:ser>
        <c:ser>
          <c:idx val="6"/>
          <c:order val="6"/>
          <c:tx>
            <c:strRef>
              <c:f>'FC Ratio aide FC'!$B$31</c:f>
              <c:strCache>
                <c:ptCount val="1"/>
                <c:pt idx="0">
                  <c:v> Récup Chaleur Fatale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Ratio aide FC'!$C$24:$Q$24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Ratio aide FC'!$C$31:$Q$31</c:f>
              <c:numCache>
                <c:formatCode>_-* #\ ##0.0_-;\-* #\ ##0.0_-;_-* "-"??_-;_-@_-</c:formatCode>
                <c:ptCount val="15"/>
                <c:pt idx="6">
                  <c:v>1.4015477214101462</c:v>
                </c:pt>
                <c:pt idx="7">
                  <c:v>0.51074806534823736</c:v>
                </c:pt>
                <c:pt idx="8">
                  <c:v>0.65348237317282887</c:v>
                </c:pt>
                <c:pt idx="9">
                  <c:v>0.69372312983662932</c:v>
                </c:pt>
                <c:pt idx="10">
                  <c:v>1.1255374032674117</c:v>
                </c:pt>
                <c:pt idx="11">
                  <c:v>1.1797076526225279</c:v>
                </c:pt>
                <c:pt idx="12">
                  <c:v>2.4500000000000002</c:v>
                </c:pt>
                <c:pt idx="13">
                  <c:v>4.0579169813060219</c:v>
                </c:pt>
                <c:pt idx="14">
                  <c:v>3.9553070941802515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52-45C7-9A93-5432CB0C2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46333696"/>
        <c:axId val="179453856"/>
      </c:barChart>
      <c:lineChart>
        <c:grouping val="stacked"/>
        <c:varyColors val="0"/>
        <c:ser>
          <c:idx val="7"/>
          <c:order val="7"/>
          <c:tx>
            <c:strRef>
              <c:f>'FC Ratio aide FC'!$B$32</c:f>
              <c:strCache>
                <c:ptCount val="1"/>
                <c:pt idx="0">
                  <c:v> Réseaux de chaleur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'FC Ratio aide FC'!$C$24:$Q$24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Ratio aide FC'!$C$32:$Q$32</c:f>
              <c:numCache>
                <c:formatCode>_-* #\ ##0_-;\-* #\ ##0_-;_-* "-"??_-;_-@_-</c:formatCode>
                <c:ptCount val="15"/>
                <c:pt idx="0">
                  <c:v>604</c:v>
                </c:pt>
                <c:pt idx="1">
                  <c:v>426</c:v>
                </c:pt>
                <c:pt idx="2">
                  <c:v>357</c:v>
                </c:pt>
                <c:pt idx="3">
                  <c:v>254</c:v>
                </c:pt>
                <c:pt idx="4">
                  <c:v>276</c:v>
                </c:pt>
                <c:pt idx="5">
                  <c:v>250</c:v>
                </c:pt>
                <c:pt idx="6">
                  <c:v>278</c:v>
                </c:pt>
                <c:pt idx="7">
                  <c:v>403.78</c:v>
                </c:pt>
                <c:pt idx="8">
                  <c:v>379</c:v>
                </c:pt>
                <c:pt idx="9">
                  <c:v>313.24</c:v>
                </c:pt>
                <c:pt idx="10">
                  <c:v>326</c:v>
                </c:pt>
                <c:pt idx="11">
                  <c:v>342</c:v>
                </c:pt>
                <c:pt idx="12">
                  <c:v>522</c:v>
                </c:pt>
                <c:pt idx="13">
                  <c:v>580.40793128214568</c:v>
                </c:pt>
                <c:pt idx="14">
                  <c:v>586.38338148890375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52-45C7-9A93-5432CB0C2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552719"/>
        <c:axId val="249245680"/>
      </c:lineChart>
      <c:catAx>
        <c:axId val="2463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453856"/>
        <c:crosses val="autoZero"/>
        <c:auto val="1"/>
        <c:lblAlgn val="ctr"/>
        <c:lblOffset val="100"/>
        <c:noMultiLvlLbl val="0"/>
      </c:catAx>
      <c:valAx>
        <c:axId val="1794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_-;\-* #\ 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333696"/>
        <c:crosses val="autoZero"/>
        <c:crossBetween val="between"/>
      </c:valAx>
      <c:valAx>
        <c:axId val="249245680"/>
        <c:scaling>
          <c:orientation val="minMax"/>
        </c:scaling>
        <c:delete val="0"/>
        <c:axPos val="r"/>
        <c:numFmt formatCode="_-* #\ ##0_-;\-* #\ 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5552719"/>
        <c:crosses val="max"/>
        <c:crossBetween val="between"/>
      </c:valAx>
      <c:catAx>
        <c:axId val="565552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245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Engagement GWh/an BCIAT/BCIB - FC et FDI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'FC Prod GWh FC (2)'!$B$59</c:f>
              <c:strCache>
                <c:ptCount val="1"/>
                <c:pt idx="0">
                  <c:v>Biomasse BCIAT/BCIB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 Prod GWh FC (2)'!$C$58:$C$58</c:f>
              <c:numCache>
                <c:formatCode>General</c:formatCode>
                <c:ptCount val="1"/>
                <c:pt idx="0">
                  <c:v>2023</c:v>
                </c:pt>
              </c:numCache>
            </c:numRef>
          </c:cat>
          <c:val>
            <c:numRef>
              <c:f>'FC Prod GWh FC (2)'!$C$59:$C$59</c:f>
              <c:numCache>
                <c:formatCode>_-* #\ ##0_-;\-* #\ ##0_-;_-* "-"??_-;_-@_-</c:formatCode>
                <c:ptCount val="1"/>
                <c:pt idx="0">
                  <c:v>354.63900000000001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E-44E3-8C25-684DA016C9F6}"/>
            </c:ext>
          </c:extLst>
        </c:ser>
        <c:ser>
          <c:idx val="1"/>
          <c:order val="1"/>
          <c:tx>
            <c:strRef>
              <c:f>'FC Prod GWh FC (2)'!$B$60</c:f>
              <c:strCache>
                <c:ptCount val="1"/>
                <c:pt idx="0">
                  <c:v>BCIAT FDI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'FC Prod GWh FC (2)'!$C$58:$C$58</c:f>
              <c:numCache>
                <c:formatCode>General</c:formatCode>
                <c:ptCount val="1"/>
                <c:pt idx="0">
                  <c:v>2023</c:v>
                </c:pt>
              </c:numCache>
            </c:numRef>
          </c:cat>
          <c:val>
            <c:numRef>
              <c:f>'FC Prod GWh FC (2)'!$C$60:$C$60</c:f>
              <c:numCache>
                <c:formatCode>_-* #\ ##0_-;\-* #\ ##0_-;_-* "-"??_-;_-@_-</c:formatCode>
                <c:ptCount val="1"/>
                <c:pt idx="0">
                  <c:v>2396.335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E-44E3-8C25-684DA016C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3786671"/>
        <c:axId val="498639007"/>
      </c:barChart>
      <c:catAx>
        <c:axId val="50378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8639007"/>
        <c:crosses val="autoZero"/>
        <c:auto val="1"/>
        <c:lblAlgn val="ctr"/>
        <c:lblOffset val="100"/>
        <c:noMultiLvlLbl val="0"/>
      </c:catAx>
      <c:valAx>
        <c:axId val="49863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378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Engagements production</a:t>
            </a:r>
            <a:r>
              <a:rPr lang="fr-FR" baseline="0"/>
              <a:t> cumulés TWh/an - par année d'Engagement Juridique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'FC Prod GWh FC (2)'!$B$106</c:f>
              <c:strCache>
                <c:ptCount val="1"/>
                <c:pt idx="0">
                  <c:v>TOTAL Engagement de production Fonds Chaleur (TWh/an)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 Prod GWh FC (2)'!$C$96:$C$96</c:f>
              <c:numCache>
                <c:formatCode>General</c:formatCode>
                <c:ptCount val="1"/>
                <c:pt idx="0">
                  <c:v>2023</c:v>
                </c:pt>
              </c:numCache>
            </c:numRef>
          </c:cat>
          <c:val>
            <c:numRef>
              <c:f>'FC Prod GWh FC (2)'!$C$106:$C$106</c:f>
              <c:numCache>
                <c:formatCode>_-* #\ ##0_-;\-* #\ ##0_-;_-* "-"??_-;_-@_-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9-4E2E-9421-31CA717882D4}"/>
            </c:ext>
          </c:extLst>
        </c:ser>
        <c:ser>
          <c:idx val="1"/>
          <c:order val="1"/>
          <c:tx>
            <c:strRef>
              <c:f>'FC Prod GWh FC (2)'!$B$109</c:f>
              <c:strCache>
                <c:ptCount val="1"/>
                <c:pt idx="0">
                  <c:v>TOTAL Engagement de production Fonds Chaleur et BCIAT BCIB FDI-FRANCE2030 (TWh/an)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'FC Prod GWh FC (2)'!$C$96:$C$96</c:f>
              <c:numCache>
                <c:formatCode>General</c:formatCode>
                <c:ptCount val="1"/>
                <c:pt idx="0">
                  <c:v>2023</c:v>
                </c:pt>
              </c:numCache>
            </c:numRef>
          </c:cat>
          <c:val>
            <c:numRef>
              <c:f>'FC Prod GWh FC (2)'!$C$109:$C$109</c:f>
              <c:numCache>
                <c:formatCode>_-* #\ ##0_-;\-* #\ ##0_-;_-* "-"??_-;_-@_-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A9-4E2E-9421-31CA71788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987727"/>
        <c:axId val="1931988207"/>
      </c:barChart>
      <c:catAx>
        <c:axId val="193198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1988207"/>
        <c:crosses val="autoZero"/>
        <c:auto val="1"/>
        <c:lblAlgn val="ctr"/>
        <c:lblOffset val="100"/>
        <c:noMultiLvlLbl val="0"/>
      </c:catAx>
      <c:valAx>
        <c:axId val="193198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19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000" b="1" i="0" baseline="0">
                <a:effectLst/>
              </a:rPr>
              <a:t>Bilan Fonds Chaleur 2009/2022- </a:t>
            </a:r>
          </a:p>
          <a:p>
            <a:pPr>
              <a:defRPr sz="1000"/>
            </a:pPr>
            <a:r>
              <a:rPr lang="fr-FR" sz="1000" b="1" i="0" baseline="0">
                <a:effectLst/>
              </a:rPr>
              <a:t>repartition des Engagements production 45,5 TWh/an</a:t>
            </a:r>
            <a:endParaRPr lang="fr-FR" sz="10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'FC Prod GWh FC'!$R$4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57D-4931-BB4B-E504288E14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7D-4931-BB4B-E504288E14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57D-4931-BB4B-E504288E14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57D-4931-BB4B-E504288E14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57D-4931-BB4B-E504288E14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57D-4931-BB4B-E504288E14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57D-4931-BB4B-E504288E144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1F0-4B70-97D4-2F0C9519AE1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57D-4931-BB4B-E504288E144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57D-4931-BB4B-E504288E144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57D-4931-BB4B-E504288E144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657D-4931-BB4B-E504288E144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657D-4931-BB4B-E504288E144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657D-4931-BB4B-E504288E144B}"/>
                </c:ext>
              </c:extLst>
            </c:dLbl>
            <c:dLbl>
              <c:idx val="6"/>
              <c:layout>
                <c:manualLayout>
                  <c:x val="-2.1225277375783922E-2"/>
                  <c:y val="3.093580066236701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57D-4931-BB4B-E504288E144B}"/>
                </c:ext>
              </c:extLst>
            </c:dLbl>
            <c:dLbl>
              <c:idx val="7"/>
              <c:layout>
                <c:manualLayout>
                  <c:x val="9.2619392185238777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1F0-4B70-97D4-2F0C9519AE1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'FC Prod GWh FC'!$B$5:$B$13</c15:sqref>
                  </c15:fullRef>
                </c:ext>
              </c:extLst>
              <c:f>('FC Prod GWh FC'!$B$5:$B$11,'FC Prod GWh FC'!$B$13)</c:f>
              <c:strCache>
                <c:ptCount val="8"/>
                <c:pt idx="0">
                  <c:v>Biomasse hors BCIAT</c:v>
                </c:pt>
                <c:pt idx="1">
                  <c:v>Biomasse BCIAT/BCIB</c:v>
                </c:pt>
                <c:pt idx="2">
                  <c:v>Géothermie et PAC</c:v>
                </c:pt>
                <c:pt idx="3">
                  <c:v>Biométhane</c:v>
                </c:pt>
                <c:pt idx="4">
                  <c:v>Solaire</c:v>
                </c:pt>
                <c:pt idx="5">
                  <c:v>UIOM</c:v>
                </c:pt>
                <c:pt idx="6">
                  <c:v>Récup Process</c:v>
                </c:pt>
                <c:pt idx="7">
                  <c:v>Mélange EnR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'FC Prod GWh FC'!$R$5:$R$13</c15:sqref>
                  </c15:fullRef>
                </c:ext>
              </c:extLst>
              <c:f>('FC Prod GWh FC'!$R$5:$R$11,'FC Prod GWh FC'!$R$13)</c:f>
              <c:numCache>
                <c:formatCode>_-* #\ ##0_-;\-* #\ ##0_-;_-* "-"??_-;_-@_-</c:formatCode>
                <c:ptCount val="8"/>
                <c:pt idx="0">
                  <c:v>11650.52272304952</c:v>
                </c:pt>
                <c:pt idx="1">
                  <c:v>14882.03607</c:v>
                </c:pt>
                <c:pt idx="2">
                  <c:v>3729.4432088492622</c:v>
                </c:pt>
                <c:pt idx="3">
                  <c:v>6749.2066999999997</c:v>
                </c:pt>
                <c:pt idx="4">
                  <c:v>207.44324187814016</c:v>
                </c:pt>
                <c:pt idx="5">
                  <c:v>4736.0141300000005</c:v>
                </c:pt>
                <c:pt idx="6">
                  <c:v>2646.1219498500004</c:v>
                </c:pt>
                <c:pt idx="7">
                  <c:v>568.46998999999994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'FC Prod GWh FC'!$R$12</c15:sqref>
                  <c15:spPr xmlns:c15="http://schemas.microsoft.com/office/drawing/2012/chart"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6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1-CA19-4A81-86E1-85D27482926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2-657D-4931-BB4B-E504288E144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'FC Prod GWh FC'!$R$4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9AC-44F2-B0F7-DD5740D284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9AC-44F2-B0F7-DD5740D284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9AC-44F2-B0F7-DD5740D284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9AC-44F2-B0F7-DD5740D284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9AC-44F2-B0F7-DD5740D284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9AC-44F2-B0F7-DD5740D2844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9AC-44F2-B0F7-DD5740D2844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9AC-44F2-B0F7-DD5740D2844A}"/>
              </c:ext>
            </c:extLst>
          </c:dPt>
          <c:dPt>
            <c:idx val="8"/>
            <c:bubble3D val="0"/>
            <c:spPr>
              <a:solidFill>
                <a:srgbClr val="E2A2A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921-4CF0-B94B-C9AA4CC5D829}"/>
              </c:ext>
            </c:extLst>
          </c:dPt>
          <c:dLbls>
            <c:dLbl>
              <c:idx val="0"/>
              <c:layout>
                <c:manualLayout>
                  <c:x val="0.125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AC-44F2-B0F7-DD5740D2844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9AC-44F2-B0F7-DD5740D2844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9AC-44F2-B0F7-DD5740D2844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A9AC-44F2-B0F7-DD5740D2844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A9AC-44F2-B0F7-DD5740D2844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A9AC-44F2-B0F7-DD5740D2844A}"/>
                </c:ext>
              </c:extLst>
            </c:dLbl>
            <c:dLbl>
              <c:idx val="6"/>
              <c:layout>
                <c:manualLayout>
                  <c:x val="-0.13055555555555559"/>
                  <c:y val="1.38888888888888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9AC-44F2-B0F7-DD5740D2844A}"/>
                </c:ext>
              </c:extLst>
            </c:dLbl>
            <c:dLbl>
              <c:idx val="7"/>
              <c:layout>
                <c:manualLayout>
                  <c:x val="4.3441368656943731E-3"/>
                  <c:y val="-8.38841669093170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9AC-44F2-B0F7-DD5740D2844A}"/>
                </c:ext>
              </c:extLst>
            </c:dLbl>
            <c:dLbl>
              <c:idx val="8"/>
              <c:layout>
                <c:manualLayout>
                  <c:x val="8.6614932304943187E-2"/>
                  <c:y val="5.855884829961473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921-4CF0-B94B-C9AA4CC5D82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('FC Prod GWh FC'!$B$5:$B$13,'FC Prod GWh FC'!$B$16)</c15:sqref>
                  </c15:fullRef>
                </c:ext>
              </c:extLst>
              <c:f>('FC Prod GWh FC'!$B$5:$B$11,'FC Prod GWh FC'!$B$13,'FC Prod GWh FC'!$B$16)</c:f>
              <c:strCache>
                <c:ptCount val="9"/>
                <c:pt idx="0">
                  <c:v>Biomasse hors BCIAT</c:v>
                </c:pt>
                <c:pt idx="1">
                  <c:v>Biomasse BCIAT/BCIB</c:v>
                </c:pt>
                <c:pt idx="2">
                  <c:v>Géothermie et PAC</c:v>
                </c:pt>
                <c:pt idx="3">
                  <c:v>Biométhane</c:v>
                </c:pt>
                <c:pt idx="4">
                  <c:v>Solaire</c:v>
                </c:pt>
                <c:pt idx="5">
                  <c:v>UIOM</c:v>
                </c:pt>
                <c:pt idx="6">
                  <c:v>Récup Process</c:v>
                </c:pt>
                <c:pt idx="7">
                  <c:v>Mélange EnR </c:v>
                </c:pt>
                <c:pt idx="8">
                  <c:v>BCIAT BCIB FDI-FRANCE2030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('FC Prod GWh FC'!$R$5:$R$13,'FC Prod GWh FC'!$R$16)</c15:sqref>
                  </c15:fullRef>
                </c:ext>
              </c:extLst>
              <c:f>('FC Prod GWh FC'!$R$5:$R$11,'FC Prod GWh FC'!$R$13,'FC Prod GWh FC'!$R$16)</c:f>
              <c:numCache>
                <c:formatCode>_-* #\ ##0_-;\-* #\ ##0_-;_-* "-"??_-;_-@_-</c:formatCode>
                <c:ptCount val="9"/>
                <c:pt idx="0">
                  <c:v>11650.52272304952</c:v>
                </c:pt>
                <c:pt idx="1">
                  <c:v>14882.03607</c:v>
                </c:pt>
                <c:pt idx="2">
                  <c:v>3729.4432088492622</c:v>
                </c:pt>
                <c:pt idx="3">
                  <c:v>6749.2066999999997</c:v>
                </c:pt>
                <c:pt idx="4">
                  <c:v>207.44324187814016</c:v>
                </c:pt>
                <c:pt idx="5">
                  <c:v>4736.0141300000005</c:v>
                </c:pt>
                <c:pt idx="6">
                  <c:v>2646.1219498500004</c:v>
                </c:pt>
                <c:pt idx="7">
                  <c:v>568.46998999999994</c:v>
                </c:pt>
                <c:pt idx="8">
                  <c:v>6587.5819999999994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'FC Prod GWh FC'!$R$12</c15:sqref>
                  <c15:spPr xmlns:c15="http://schemas.microsoft.com/office/drawing/2012/chart"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6"/>
                    <c:layout>
                      <c:manualLayout>
                        <c:x val="-6.6666666666666693E-2"/>
                        <c:y val="-1.3888888888888895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3-AD84-4477-B8A8-2948369055F6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4-A9AC-44F2-B0F7-DD5740D2844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Engagement GWh/an BCIAT/BCIB - FC et FDI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'FC Prod GWh FC'!$B$59</c:f>
              <c:strCache>
                <c:ptCount val="1"/>
                <c:pt idx="0">
                  <c:v>Biomasse BCIAT/BCIB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 Prod GWh FC'!$C$58:$Q$58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FC'!$C$59:$Q$59</c:f>
              <c:numCache>
                <c:formatCode>_-* #\ ##0_-;\-* #\ ##0_-;_-* "-"??_-;_-@_-</c:formatCode>
                <c:ptCount val="15"/>
                <c:pt idx="0">
                  <c:v>1714.3201500000002</c:v>
                </c:pt>
                <c:pt idx="1">
                  <c:v>2629.1126899999999</c:v>
                </c:pt>
                <c:pt idx="2">
                  <c:v>1259.9825700000001</c:v>
                </c:pt>
                <c:pt idx="3">
                  <c:v>1211.0667900000001</c:v>
                </c:pt>
                <c:pt idx="4">
                  <c:v>851.52534000000003</c:v>
                </c:pt>
                <c:pt idx="5">
                  <c:v>842.88424999999995</c:v>
                </c:pt>
                <c:pt idx="6">
                  <c:v>896.13801999999998</c:v>
                </c:pt>
                <c:pt idx="7">
                  <c:v>605.4694300000001</c:v>
                </c:pt>
                <c:pt idx="8">
                  <c:v>116.77683</c:v>
                </c:pt>
                <c:pt idx="9">
                  <c:v>397.13899999999995</c:v>
                </c:pt>
                <c:pt idx="10">
                  <c:v>860.57100000000003</c:v>
                </c:pt>
                <c:pt idx="11">
                  <c:v>1149.52</c:v>
                </c:pt>
                <c:pt idx="12">
                  <c:v>814.08600000000001</c:v>
                </c:pt>
                <c:pt idx="13">
                  <c:v>1178.8050000000001</c:v>
                </c:pt>
                <c:pt idx="14">
                  <c:v>354.63900000000001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8-4D14-868B-7F7FD33AF52C}"/>
            </c:ext>
          </c:extLst>
        </c:ser>
        <c:ser>
          <c:idx val="1"/>
          <c:order val="1"/>
          <c:tx>
            <c:strRef>
              <c:f>'FC Prod GWh FC'!$B$60</c:f>
              <c:strCache>
                <c:ptCount val="1"/>
                <c:pt idx="0">
                  <c:v>BCIAT FDI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'FC Prod GWh FC'!$C$58:$Q$58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FC'!$C$60:$Q$60</c:f>
              <c:numCache>
                <c:formatCode>_-* #\ ##0_-;\-* #\ ##0_-;_-* "-"??_-;_-@_-</c:formatCode>
                <c:ptCount val="15"/>
                <c:pt idx="12">
                  <c:v>1558.453</c:v>
                </c:pt>
                <c:pt idx="13">
                  <c:v>2632.7939999999999</c:v>
                </c:pt>
                <c:pt idx="14">
                  <c:v>2396.335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8-4D14-868B-7F7FD33AF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3786671"/>
        <c:axId val="498639007"/>
      </c:barChart>
      <c:catAx>
        <c:axId val="50378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8639007"/>
        <c:crosses val="autoZero"/>
        <c:auto val="1"/>
        <c:lblAlgn val="ctr"/>
        <c:lblOffset val="100"/>
        <c:noMultiLvlLbl val="0"/>
      </c:catAx>
      <c:valAx>
        <c:axId val="49863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378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Bilan FC - engagement production</a:t>
            </a:r>
            <a:r>
              <a:rPr lang="fr-FR" baseline="0"/>
              <a:t> GWh/an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4553578224955971E-2"/>
          <c:y val="0.14105816306332397"/>
          <c:w val="0.91288388932688358"/>
          <c:h val="0.683718672449423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'FC Prod GWh FC'!$B$5</c:f>
              <c:strCache>
                <c:ptCount val="1"/>
                <c:pt idx="0">
                  <c:v>Biomasse hors BCIAT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FC'!$C$5:$Q$5</c:f>
              <c:numCache>
                <c:formatCode>_-* #\ ##0_-;\-* #\ ##0_-;_-* "-"??_-;_-@_-</c:formatCode>
                <c:ptCount val="15"/>
                <c:pt idx="0">
                  <c:v>457.57072000000005</c:v>
                </c:pt>
                <c:pt idx="1">
                  <c:v>730.52682000000004</c:v>
                </c:pt>
                <c:pt idx="2">
                  <c:v>1363.71054</c:v>
                </c:pt>
                <c:pt idx="3">
                  <c:v>1471.57879</c:v>
                </c:pt>
                <c:pt idx="4">
                  <c:v>1228.17452</c:v>
                </c:pt>
                <c:pt idx="5">
                  <c:v>811.3204300000001</c:v>
                </c:pt>
                <c:pt idx="6">
                  <c:v>514.30186000000003</c:v>
                </c:pt>
                <c:pt idx="7">
                  <c:v>371.78784000000002</c:v>
                </c:pt>
                <c:pt idx="8">
                  <c:v>617.45996000000002</c:v>
                </c:pt>
                <c:pt idx="9">
                  <c:v>582.42200000000003</c:v>
                </c:pt>
                <c:pt idx="10">
                  <c:v>694.76400000000001</c:v>
                </c:pt>
                <c:pt idx="11">
                  <c:v>621.90200000000004</c:v>
                </c:pt>
                <c:pt idx="12">
                  <c:v>537.95500000000004</c:v>
                </c:pt>
                <c:pt idx="13">
                  <c:v>666.06799999999998</c:v>
                </c:pt>
                <c:pt idx="14">
                  <c:v>980.98024304952241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F-4C2F-BD84-20FA335276D9}"/>
            </c:ext>
          </c:extLst>
        </c:ser>
        <c:ser>
          <c:idx val="1"/>
          <c:order val="1"/>
          <c:tx>
            <c:strRef>
              <c:f>'FC Prod GWh FC'!$B$6</c:f>
              <c:strCache>
                <c:ptCount val="1"/>
                <c:pt idx="0">
                  <c:v>Biomasse BCIAT/BCIB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FC'!$C$6:$Q$6</c:f>
              <c:numCache>
                <c:formatCode>_-* #\ ##0_-;\-* #\ ##0_-;_-* "-"??_-;_-@_-</c:formatCode>
                <c:ptCount val="15"/>
                <c:pt idx="0">
                  <c:v>1714.3201500000002</c:v>
                </c:pt>
                <c:pt idx="1">
                  <c:v>2629.1126899999999</c:v>
                </c:pt>
                <c:pt idx="2">
                  <c:v>1259.9825700000001</c:v>
                </c:pt>
                <c:pt idx="3">
                  <c:v>1211.0667900000001</c:v>
                </c:pt>
                <c:pt idx="4">
                  <c:v>851.52534000000003</c:v>
                </c:pt>
                <c:pt idx="5">
                  <c:v>842.88424999999995</c:v>
                </c:pt>
                <c:pt idx="6">
                  <c:v>896.13801999999998</c:v>
                </c:pt>
                <c:pt idx="7">
                  <c:v>605.4694300000001</c:v>
                </c:pt>
                <c:pt idx="8">
                  <c:v>116.77683</c:v>
                </c:pt>
                <c:pt idx="9">
                  <c:v>397.13899999999995</c:v>
                </c:pt>
                <c:pt idx="10">
                  <c:v>860.57100000000003</c:v>
                </c:pt>
                <c:pt idx="11">
                  <c:v>1149.52</c:v>
                </c:pt>
                <c:pt idx="12">
                  <c:v>814.08600000000001</c:v>
                </c:pt>
                <c:pt idx="13">
                  <c:v>1178.8050000000001</c:v>
                </c:pt>
                <c:pt idx="14">
                  <c:v>354.63900000000001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F-4C2F-BD84-20FA335276D9}"/>
            </c:ext>
          </c:extLst>
        </c:ser>
        <c:ser>
          <c:idx val="2"/>
          <c:order val="2"/>
          <c:tx>
            <c:strRef>
              <c:f>'FC Prod GWh FC'!$B$7</c:f>
              <c:strCache>
                <c:ptCount val="1"/>
                <c:pt idx="0">
                  <c:v>Géothermie et PAC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FC'!$C$7:$Q$7</c:f>
              <c:numCache>
                <c:formatCode>_-* #\ ##0_-;\-* #\ ##0_-;_-* "-"??_-;_-@_-</c:formatCode>
                <c:ptCount val="15"/>
                <c:pt idx="0">
                  <c:v>39.914160000000003</c:v>
                </c:pt>
                <c:pt idx="1">
                  <c:v>149.82929000000001</c:v>
                </c:pt>
                <c:pt idx="2">
                  <c:v>353.93579000000005</c:v>
                </c:pt>
                <c:pt idx="3">
                  <c:v>160.82686100000001</c:v>
                </c:pt>
                <c:pt idx="4">
                  <c:v>232.87619899999993</c:v>
                </c:pt>
                <c:pt idx="5">
                  <c:v>199.11723000000001</c:v>
                </c:pt>
                <c:pt idx="6">
                  <c:v>412.2835</c:v>
                </c:pt>
                <c:pt idx="7">
                  <c:v>179.52068000000003</c:v>
                </c:pt>
                <c:pt idx="8">
                  <c:v>142.73499000000001</c:v>
                </c:pt>
                <c:pt idx="9">
                  <c:v>343.41500000000002</c:v>
                </c:pt>
                <c:pt idx="10">
                  <c:v>257.87599999999998</c:v>
                </c:pt>
                <c:pt idx="11">
                  <c:v>352.12200000000001</c:v>
                </c:pt>
                <c:pt idx="12">
                  <c:v>332.03</c:v>
                </c:pt>
                <c:pt idx="13">
                  <c:v>231.93916000000002</c:v>
                </c:pt>
                <c:pt idx="14">
                  <c:v>341.02234884926185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F-4C2F-BD84-20FA335276D9}"/>
            </c:ext>
          </c:extLst>
        </c:ser>
        <c:ser>
          <c:idx val="3"/>
          <c:order val="3"/>
          <c:tx>
            <c:strRef>
              <c:f>'FC Prod GWh FC'!$B$8</c:f>
              <c:strCache>
                <c:ptCount val="1"/>
                <c:pt idx="0">
                  <c:v>Biométhane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FC'!$C$8:$Q$8</c:f>
              <c:numCache>
                <c:formatCode>_-* #\ ##0_-;\-* #\ ##0_-;_-* "-"??_-;_-@_-</c:formatCode>
                <c:ptCount val="15"/>
                <c:pt idx="0">
                  <c:v>16.386670000000002</c:v>
                </c:pt>
                <c:pt idx="1">
                  <c:v>36.390270000000001</c:v>
                </c:pt>
                <c:pt idx="2">
                  <c:v>93.388900000000007</c:v>
                </c:pt>
                <c:pt idx="3">
                  <c:v>166.58400999999998</c:v>
                </c:pt>
                <c:pt idx="4">
                  <c:v>117.28499999999998</c:v>
                </c:pt>
                <c:pt idx="5">
                  <c:v>241.81096000000002</c:v>
                </c:pt>
                <c:pt idx="6">
                  <c:v>417.59841000000006</c:v>
                </c:pt>
                <c:pt idx="7">
                  <c:v>343.60835000000003</c:v>
                </c:pt>
                <c:pt idx="8">
                  <c:v>298.32112999999998</c:v>
                </c:pt>
                <c:pt idx="9">
                  <c:v>628.61500000000001</c:v>
                </c:pt>
                <c:pt idx="10">
                  <c:v>1122.0540000000001</c:v>
                </c:pt>
                <c:pt idx="11">
                  <c:v>1125.9190000000001</c:v>
                </c:pt>
                <c:pt idx="12">
                  <c:v>1352.59</c:v>
                </c:pt>
                <c:pt idx="13">
                  <c:v>510.64600000000002</c:v>
                </c:pt>
                <c:pt idx="14">
                  <c:v>278.00900000000001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1F-4C2F-BD84-20FA335276D9}"/>
            </c:ext>
          </c:extLst>
        </c:ser>
        <c:ser>
          <c:idx val="4"/>
          <c:order val="4"/>
          <c:tx>
            <c:strRef>
              <c:f>'FC Prod GWh FC'!$B$9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FC'!$C$9:$Q$9</c:f>
              <c:numCache>
                <c:formatCode>_-* #\ ##0_-;\-* #\ ##0_-;_-* "-"??_-;_-@_-</c:formatCode>
                <c:ptCount val="15"/>
                <c:pt idx="0">
                  <c:v>12.223130000000001</c:v>
                </c:pt>
                <c:pt idx="1">
                  <c:v>19.108090000000001</c:v>
                </c:pt>
                <c:pt idx="2">
                  <c:v>18.514960000000002</c:v>
                </c:pt>
                <c:pt idx="3">
                  <c:v>11.211086000000002</c:v>
                </c:pt>
                <c:pt idx="4">
                  <c:v>6.8817440000000003</c:v>
                </c:pt>
                <c:pt idx="5">
                  <c:v>5.4893600000000005</c:v>
                </c:pt>
                <c:pt idx="6">
                  <c:v>4.0356100000000001</c:v>
                </c:pt>
                <c:pt idx="7">
                  <c:v>2.8958700000000004</c:v>
                </c:pt>
                <c:pt idx="8">
                  <c:v>6.8617000000000008</c:v>
                </c:pt>
                <c:pt idx="9">
                  <c:v>11.489000000000001</c:v>
                </c:pt>
                <c:pt idx="10">
                  <c:v>26.143000000000001</c:v>
                </c:pt>
                <c:pt idx="11">
                  <c:v>7.8109999999999999</c:v>
                </c:pt>
                <c:pt idx="12">
                  <c:v>8.1319999999999997</c:v>
                </c:pt>
                <c:pt idx="13">
                  <c:v>19.031496000000001</c:v>
                </c:pt>
                <c:pt idx="14">
                  <c:v>47.615195878140142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1F-4C2F-BD84-20FA335276D9}"/>
            </c:ext>
          </c:extLst>
        </c:ser>
        <c:ser>
          <c:idx val="5"/>
          <c:order val="5"/>
          <c:tx>
            <c:strRef>
              <c:f>'FC Prod GWh FC'!$B$10</c:f>
              <c:strCache>
                <c:ptCount val="1"/>
                <c:pt idx="0">
                  <c:v>UIOM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FC'!$C$10:$Q$10</c:f>
              <c:numCache>
                <c:formatCode>_-* #\ ##0_-;\-* #\ ##0_-;_-* "-"??_-;_-@_-</c:formatCode>
                <c:ptCount val="15"/>
                <c:pt idx="0">
                  <c:v>34.994670000000006</c:v>
                </c:pt>
                <c:pt idx="1">
                  <c:v>240.36884000000003</c:v>
                </c:pt>
                <c:pt idx="2">
                  <c:v>189.74345000000002</c:v>
                </c:pt>
                <c:pt idx="3">
                  <c:v>312.61200000000002</c:v>
                </c:pt>
                <c:pt idx="4">
                  <c:v>229.39149999999998</c:v>
                </c:pt>
                <c:pt idx="5">
                  <c:v>98.889889999999994</c:v>
                </c:pt>
                <c:pt idx="6">
                  <c:v>425.87897000000004</c:v>
                </c:pt>
                <c:pt idx="7">
                  <c:v>253.91779</c:v>
                </c:pt>
                <c:pt idx="8">
                  <c:v>721.68802000000005</c:v>
                </c:pt>
                <c:pt idx="9">
                  <c:v>505.91199999999998</c:v>
                </c:pt>
                <c:pt idx="10">
                  <c:v>395.97699999999998</c:v>
                </c:pt>
                <c:pt idx="11">
                  <c:v>508.26999999999992</c:v>
                </c:pt>
                <c:pt idx="12">
                  <c:v>225.78299999999999</c:v>
                </c:pt>
                <c:pt idx="13">
                  <c:v>309.47500000000002</c:v>
                </c:pt>
                <c:pt idx="14">
                  <c:v>283.11200000000002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1F-4C2F-BD84-20FA335276D9}"/>
            </c:ext>
          </c:extLst>
        </c:ser>
        <c:ser>
          <c:idx val="6"/>
          <c:order val="6"/>
          <c:tx>
            <c:strRef>
              <c:f>'FC Prod GWh FC'!$B$11</c:f>
              <c:strCache>
                <c:ptCount val="1"/>
                <c:pt idx="0">
                  <c:v>Récup Process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FC'!$C$11:$Q$11</c:f>
              <c:numCache>
                <c:formatCode>_-* #\ ##0_-;\-* #\ ##0_-;_-* "-"??_-;_-@_-</c:formatCode>
                <c:ptCount val="15"/>
                <c:pt idx="0">
                  <c:v>0</c:v>
                </c:pt>
                <c:pt idx="1">
                  <c:v>52.009360000000001</c:v>
                </c:pt>
                <c:pt idx="2">
                  <c:v>33.23854</c:v>
                </c:pt>
                <c:pt idx="3">
                  <c:v>146.17699999999999</c:v>
                </c:pt>
                <c:pt idx="4">
                  <c:v>32.812529999999995</c:v>
                </c:pt>
                <c:pt idx="5">
                  <c:v>25.772080000000003</c:v>
                </c:pt>
                <c:pt idx="6">
                  <c:v>246.31177000000002</c:v>
                </c:pt>
                <c:pt idx="7">
                  <c:v>319.09231</c:v>
                </c:pt>
                <c:pt idx="8">
                  <c:v>90.388360000000006</c:v>
                </c:pt>
                <c:pt idx="9">
                  <c:v>97.65000000000002</c:v>
                </c:pt>
                <c:pt idx="10">
                  <c:v>283.363</c:v>
                </c:pt>
                <c:pt idx="11">
                  <c:v>183.92099999999999</c:v>
                </c:pt>
                <c:pt idx="12">
                  <c:v>56.704000000000001</c:v>
                </c:pt>
                <c:pt idx="13">
                  <c:v>565.81899999999996</c:v>
                </c:pt>
                <c:pt idx="14">
                  <c:v>512.86299985000005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1F-4C2F-BD84-20FA335276D9}"/>
            </c:ext>
          </c:extLst>
        </c:ser>
        <c:ser>
          <c:idx val="7"/>
          <c:order val="7"/>
          <c:tx>
            <c:strRef>
              <c:f>'FC Prod GWh FC'!$B$12</c:f>
              <c:strCache>
                <c:ptCount val="1"/>
                <c:pt idx="0">
                  <c:v>Froid EnR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FC'!$C$12:$Q$12</c:f>
              <c:numCache>
                <c:formatCode>_-* #\ ##0_-;\-* #\ ##0_-;_-* "-"??_-;_-@_-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4.9340000000000002</c:v>
                </c:pt>
                <c:pt idx="10">
                  <c:v>203.53299999999996</c:v>
                </c:pt>
                <c:pt idx="11">
                  <c:v>0.53300000000000003</c:v>
                </c:pt>
                <c:pt idx="12">
                  <c:v>8.4090000000000007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1F-4C2F-BD84-20FA335276D9}"/>
            </c:ext>
          </c:extLst>
        </c:ser>
        <c:ser>
          <c:idx val="8"/>
          <c:order val="8"/>
          <c:tx>
            <c:strRef>
              <c:f>'FC Prod GWh FC'!$B$13</c:f>
              <c:strCache>
                <c:ptCount val="1"/>
                <c:pt idx="0">
                  <c:v>Mélange EnR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FC'!$C$13:$Q$13</c:f>
              <c:numCache>
                <c:formatCode>_-* #\ ##0_-;\-* #\ ##0_-;_-* "-"??_-;_-@_-</c:formatCode>
                <c:ptCount val="15"/>
                <c:pt idx="0">
                  <c:v>0</c:v>
                </c:pt>
                <c:pt idx="1">
                  <c:v>27.516580000000001</c:v>
                </c:pt>
                <c:pt idx="2">
                  <c:v>72.745650000000012</c:v>
                </c:pt>
                <c:pt idx="3">
                  <c:v>0</c:v>
                </c:pt>
                <c:pt idx="4">
                  <c:v>121.336</c:v>
                </c:pt>
                <c:pt idx="5">
                  <c:v>3.9193100000000003</c:v>
                </c:pt>
                <c:pt idx="6">
                  <c:v>15.828430000000001</c:v>
                </c:pt>
                <c:pt idx="7">
                  <c:v>6.7221400000000004</c:v>
                </c:pt>
                <c:pt idx="8">
                  <c:v>11.350880000000002</c:v>
                </c:pt>
                <c:pt idx="9">
                  <c:v>46.061</c:v>
                </c:pt>
                <c:pt idx="10">
                  <c:v>33.238999999999997</c:v>
                </c:pt>
                <c:pt idx="11">
                  <c:v>0</c:v>
                </c:pt>
                <c:pt idx="12">
                  <c:v>12.529</c:v>
                </c:pt>
                <c:pt idx="13">
                  <c:v>197.923</c:v>
                </c:pt>
                <c:pt idx="14">
                  <c:v>19.298999999999999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1F-4C2F-BD84-20FA33527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4586656"/>
        <c:axId val="1760662816"/>
      </c:barChart>
      <c:catAx>
        <c:axId val="5145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0662816"/>
        <c:crosses val="autoZero"/>
        <c:auto val="1"/>
        <c:lblAlgn val="ctr"/>
        <c:lblOffset val="100"/>
        <c:noMultiLvlLbl val="0"/>
      </c:catAx>
      <c:valAx>
        <c:axId val="17606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58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Bilan FC - engagement production</a:t>
            </a:r>
            <a:r>
              <a:rPr lang="fr-FR" baseline="0"/>
              <a:t> GWh/an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0732240956913758E-2"/>
          <c:y val="0.10820792652236845"/>
          <c:w val="0.91288388932688358"/>
          <c:h val="0.683718672449423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'FC Prod GWh FC'!$B$5</c:f>
              <c:strCache>
                <c:ptCount val="1"/>
                <c:pt idx="0">
                  <c:v>Biomasse hors BCIAT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FC'!$C$5:$Q$5</c:f>
              <c:numCache>
                <c:formatCode>_-* #\ ##0_-;\-* #\ ##0_-;_-* "-"??_-;_-@_-</c:formatCode>
                <c:ptCount val="15"/>
                <c:pt idx="0">
                  <c:v>457.57072000000005</c:v>
                </c:pt>
                <c:pt idx="1">
                  <c:v>730.52682000000004</c:v>
                </c:pt>
                <c:pt idx="2">
                  <c:v>1363.71054</c:v>
                </c:pt>
                <c:pt idx="3">
                  <c:v>1471.57879</c:v>
                </c:pt>
                <c:pt idx="4">
                  <c:v>1228.17452</c:v>
                </c:pt>
                <c:pt idx="5">
                  <c:v>811.3204300000001</c:v>
                </c:pt>
                <c:pt idx="6">
                  <c:v>514.30186000000003</c:v>
                </c:pt>
                <c:pt idx="7">
                  <c:v>371.78784000000002</c:v>
                </c:pt>
                <c:pt idx="8">
                  <c:v>617.45996000000002</c:v>
                </c:pt>
                <c:pt idx="9">
                  <c:v>582.42200000000003</c:v>
                </c:pt>
                <c:pt idx="10">
                  <c:v>694.76400000000001</c:v>
                </c:pt>
                <c:pt idx="11">
                  <c:v>621.90200000000004</c:v>
                </c:pt>
                <c:pt idx="12">
                  <c:v>537.95500000000004</c:v>
                </c:pt>
                <c:pt idx="13">
                  <c:v>666.06799999999998</c:v>
                </c:pt>
                <c:pt idx="14">
                  <c:v>980.98024304952241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3-46D9-8691-979DA0DCE10D}"/>
            </c:ext>
          </c:extLst>
        </c:ser>
        <c:ser>
          <c:idx val="1"/>
          <c:order val="1"/>
          <c:tx>
            <c:strRef>
              <c:f>'FC Prod GWh FC'!$B$6</c:f>
              <c:strCache>
                <c:ptCount val="1"/>
                <c:pt idx="0">
                  <c:v>Biomasse BCIAT/BCIB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FC'!$C$6:$Q$6</c:f>
              <c:numCache>
                <c:formatCode>_-* #\ ##0_-;\-* #\ ##0_-;_-* "-"??_-;_-@_-</c:formatCode>
                <c:ptCount val="15"/>
                <c:pt idx="0">
                  <c:v>1714.3201500000002</c:v>
                </c:pt>
                <c:pt idx="1">
                  <c:v>2629.1126899999999</c:v>
                </c:pt>
                <c:pt idx="2">
                  <c:v>1259.9825700000001</c:v>
                </c:pt>
                <c:pt idx="3">
                  <c:v>1211.0667900000001</c:v>
                </c:pt>
                <c:pt idx="4">
                  <c:v>851.52534000000003</c:v>
                </c:pt>
                <c:pt idx="5">
                  <c:v>842.88424999999995</c:v>
                </c:pt>
                <c:pt idx="6">
                  <c:v>896.13801999999998</c:v>
                </c:pt>
                <c:pt idx="7">
                  <c:v>605.4694300000001</c:v>
                </c:pt>
                <c:pt idx="8">
                  <c:v>116.77683</c:v>
                </c:pt>
                <c:pt idx="9">
                  <c:v>397.13899999999995</c:v>
                </c:pt>
                <c:pt idx="10">
                  <c:v>860.57100000000003</c:v>
                </c:pt>
                <c:pt idx="11">
                  <c:v>1149.52</c:v>
                </c:pt>
                <c:pt idx="12">
                  <c:v>814.08600000000001</c:v>
                </c:pt>
                <c:pt idx="13">
                  <c:v>1178.8050000000001</c:v>
                </c:pt>
                <c:pt idx="14">
                  <c:v>354.63900000000001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3-46D9-8691-979DA0DCE10D}"/>
            </c:ext>
          </c:extLst>
        </c:ser>
        <c:ser>
          <c:idx val="2"/>
          <c:order val="2"/>
          <c:tx>
            <c:strRef>
              <c:f>'FC Prod GWh FC'!$B$7</c:f>
              <c:strCache>
                <c:ptCount val="1"/>
                <c:pt idx="0">
                  <c:v>Géothermie et PAC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FC'!$C$7:$Q$7</c:f>
              <c:numCache>
                <c:formatCode>_-* #\ ##0_-;\-* #\ ##0_-;_-* "-"??_-;_-@_-</c:formatCode>
                <c:ptCount val="15"/>
                <c:pt idx="0">
                  <c:v>39.914160000000003</c:v>
                </c:pt>
                <c:pt idx="1">
                  <c:v>149.82929000000001</c:v>
                </c:pt>
                <c:pt idx="2">
                  <c:v>353.93579000000005</c:v>
                </c:pt>
                <c:pt idx="3">
                  <c:v>160.82686100000001</c:v>
                </c:pt>
                <c:pt idx="4">
                  <c:v>232.87619899999993</c:v>
                </c:pt>
                <c:pt idx="5">
                  <c:v>199.11723000000001</c:v>
                </c:pt>
                <c:pt idx="6">
                  <c:v>412.2835</c:v>
                </c:pt>
                <c:pt idx="7">
                  <c:v>179.52068000000003</c:v>
                </c:pt>
                <c:pt idx="8">
                  <c:v>142.73499000000001</c:v>
                </c:pt>
                <c:pt idx="9">
                  <c:v>343.41500000000002</c:v>
                </c:pt>
                <c:pt idx="10">
                  <c:v>257.87599999999998</c:v>
                </c:pt>
                <c:pt idx="11">
                  <c:v>352.12200000000001</c:v>
                </c:pt>
                <c:pt idx="12">
                  <c:v>332.03</c:v>
                </c:pt>
                <c:pt idx="13">
                  <c:v>231.93916000000002</c:v>
                </c:pt>
                <c:pt idx="14">
                  <c:v>341.02234884926185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3-46D9-8691-979DA0DCE10D}"/>
            </c:ext>
          </c:extLst>
        </c:ser>
        <c:ser>
          <c:idx val="3"/>
          <c:order val="3"/>
          <c:tx>
            <c:strRef>
              <c:f>'FC Prod GWh FC'!$B$8</c:f>
              <c:strCache>
                <c:ptCount val="1"/>
                <c:pt idx="0">
                  <c:v>Biométhane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FC'!$C$8:$Q$8</c:f>
              <c:numCache>
                <c:formatCode>_-* #\ ##0_-;\-* #\ ##0_-;_-* "-"??_-;_-@_-</c:formatCode>
                <c:ptCount val="15"/>
                <c:pt idx="0">
                  <c:v>16.386670000000002</c:v>
                </c:pt>
                <c:pt idx="1">
                  <c:v>36.390270000000001</c:v>
                </c:pt>
                <c:pt idx="2">
                  <c:v>93.388900000000007</c:v>
                </c:pt>
                <c:pt idx="3">
                  <c:v>166.58400999999998</c:v>
                </c:pt>
                <c:pt idx="4">
                  <c:v>117.28499999999998</c:v>
                </c:pt>
                <c:pt idx="5">
                  <c:v>241.81096000000002</c:v>
                </c:pt>
                <c:pt idx="6">
                  <c:v>417.59841000000006</c:v>
                </c:pt>
                <c:pt idx="7">
                  <c:v>343.60835000000003</c:v>
                </c:pt>
                <c:pt idx="8">
                  <c:v>298.32112999999998</c:v>
                </c:pt>
                <c:pt idx="9">
                  <c:v>628.61500000000001</c:v>
                </c:pt>
                <c:pt idx="10">
                  <c:v>1122.0540000000001</c:v>
                </c:pt>
                <c:pt idx="11">
                  <c:v>1125.9190000000001</c:v>
                </c:pt>
                <c:pt idx="12">
                  <c:v>1352.59</c:v>
                </c:pt>
                <c:pt idx="13">
                  <c:v>510.64600000000002</c:v>
                </c:pt>
                <c:pt idx="14">
                  <c:v>278.00900000000001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3-46D9-8691-979DA0DCE10D}"/>
            </c:ext>
          </c:extLst>
        </c:ser>
        <c:ser>
          <c:idx val="4"/>
          <c:order val="4"/>
          <c:tx>
            <c:strRef>
              <c:f>'FC Prod GWh FC'!$B$9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FC'!$C$9:$Q$9</c:f>
              <c:numCache>
                <c:formatCode>_-* #\ ##0_-;\-* #\ ##0_-;_-* "-"??_-;_-@_-</c:formatCode>
                <c:ptCount val="15"/>
                <c:pt idx="0">
                  <c:v>12.223130000000001</c:v>
                </c:pt>
                <c:pt idx="1">
                  <c:v>19.108090000000001</c:v>
                </c:pt>
                <c:pt idx="2">
                  <c:v>18.514960000000002</c:v>
                </c:pt>
                <c:pt idx="3">
                  <c:v>11.211086000000002</c:v>
                </c:pt>
                <c:pt idx="4">
                  <c:v>6.8817440000000003</c:v>
                </c:pt>
                <c:pt idx="5">
                  <c:v>5.4893600000000005</c:v>
                </c:pt>
                <c:pt idx="6">
                  <c:v>4.0356100000000001</c:v>
                </c:pt>
                <c:pt idx="7">
                  <c:v>2.8958700000000004</c:v>
                </c:pt>
                <c:pt idx="8">
                  <c:v>6.8617000000000008</c:v>
                </c:pt>
                <c:pt idx="9">
                  <c:v>11.489000000000001</c:v>
                </c:pt>
                <c:pt idx="10">
                  <c:v>26.143000000000001</c:v>
                </c:pt>
                <c:pt idx="11">
                  <c:v>7.8109999999999999</c:v>
                </c:pt>
                <c:pt idx="12">
                  <c:v>8.1319999999999997</c:v>
                </c:pt>
                <c:pt idx="13">
                  <c:v>19.031496000000001</c:v>
                </c:pt>
                <c:pt idx="14">
                  <c:v>47.615195878140142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23-46D9-8691-979DA0DCE10D}"/>
            </c:ext>
          </c:extLst>
        </c:ser>
        <c:ser>
          <c:idx val="5"/>
          <c:order val="5"/>
          <c:tx>
            <c:strRef>
              <c:f>'FC Prod GWh FC'!$B$10</c:f>
              <c:strCache>
                <c:ptCount val="1"/>
                <c:pt idx="0">
                  <c:v>UIOM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FC'!$C$10:$Q$10</c:f>
              <c:numCache>
                <c:formatCode>_-* #\ ##0_-;\-* #\ ##0_-;_-* "-"??_-;_-@_-</c:formatCode>
                <c:ptCount val="15"/>
                <c:pt idx="0">
                  <c:v>34.994670000000006</c:v>
                </c:pt>
                <c:pt idx="1">
                  <c:v>240.36884000000003</c:v>
                </c:pt>
                <c:pt idx="2">
                  <c:v>189.74345000000002</c:v>
                </c:pt>
                <c:pt idx="3">
                  <c:v>312.61200000000002</c:v>
                </c:pt>
                <c:pt idx="4">
                  <c:v>229.39149999999998</c:v>
                </c:pt>
                <c:pt idx="5">
                  <c:v>98.889889999999994</c:v>
                </c:pt>
                <c:pt idx="6">
                  <c:v>425.87897000000004</c:v>
                </c:pt>
                <c:pt idx="7">
                  <c:v>253.91779</c:v>
                </c:pt>
                <c:pt idx="8">
                  <c:v>721.68802000000005</c:v>
                </c:pt>
                <c:pt idx="9">
                  <c:v>505.91199999999998</c:v>
                </c:pt>
                <c:pt idx="10">
                  <c:v>395.97699999999998</c:v>
                </c:pt>
                <c:pt idx="11">
                  <c:v>508.26999999999992</c:v>
                </c:pt>
                <c:pt idx="12">
                  <c:v>225.78299999999999</c:v>
                </c:pt>
                <c:pt idx="13">
                  <c:v>309.47500000000002</c:v>
                </c:pt>
                <c:pt idx="14">
                  <c:v>283.11200000000002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23-46D9-8691-979DA0DCE10D}"/>
            </c:ext>
          </c:extLst>
        </c:ser>
        <c:ser>
          <c:idx val="6"/>
          <c:order val="6"/>
          <c:tx>
            <c:strRef>
              <c:f>'FC Prod GWh FC'!$B$11</c:f>
              <c:strCache>
                <c:ptCount val="1"/>
                <c:pt idx="0">
                  <c:v>Récup Process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FC'!$C$11:$Q$11</c:f>
              <c:numCache>
                <c:formatCode>_-* #\ ##0_-;\-* #\ ##0_-;_-* "-"??_-;_-@_-</c:formatCode>
                <c:ptCount val="15"/>
                <c:pt idx="0">
                  <c:v>0</c:v>
                </c:pt>
                <c:pt idx="1">
                  <c:v>52.009360000000001</c:v>
                </c:pt>
                <c:pt idx="2">
                  <c:v>33.23854</c:v>
                </c:pt>
                <c:pt idx="3">
                  <c:v>146.17699999999999</c:v>
                </c:pt>
                <c:pt idx="4">
                  <c:v>32.812529999999995</c:v>
                </c:pt>
                <c:pt idx="5">
                  <c:v>25.772080000000003</c:v>
                </c:pt>
                <c:pt idx="6">
                  <c:v>246.31177000000002</c:v>
                </c:pt>
                <c:pt idx="7">
                  <c:v>319.09231</c:v>
                </c:pt>
                <c:pt idx="8">
                  <c:v>90.388360000000006</c:v>
                </c:pt>
                <c:pt idx="9">
                  <c:v>97.65000000000002</c:v>
                </c:pt>
                <c:pt idx="10">
                  <c:v>283.363</c:v>
                </c:pt>
                <c:pt idx="11">
                  <c:v>183.92099999999999</c:v>
                </c:pt>
                <c:pt idx="12">
                  <c:v>56.704000000000001</c:v>
                </c:pt>
                <c:pt idx="13">
                  <c:v>565.81899999999996</c:v>
                </c:pt>
                <c:pt idx="14">
                  <c:v>512.86299985000005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23-46D9-8691-979DA0DCE10D}"/>
            </c:ext>
          </c:extLst>
        </c:ser>
        <c:ser>
          <c:idx val="7"/>
          <c:order val="7"/>
          <c:tx>
            <c:strRef>
              <c:f>'FC Prod GWh FC'!$B$12</c:f>
              <c:strCache>
                <c:ptCount val="1"/>
                <c:pt idx="0">
                  <c:v>Froid EnR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FC'!$C$12:$Q$12</c:f>
              <c:numCache>
                <c:formatCode>_-* #\ ##0_-;\-* #\ ##0_-;_-* "-"??_-;_-@_-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4.9340000000000002</c:v>
                </c:pt>
                <c:pt idx="10">
                  <c:v>203.53299999999996</c:v>
                </c:pt>
                <c:pt idx="11">
                  <c:v>0.53300000000000003</c:v>
                </c:pt>
                <c:pt idx="12">
                  <c:v>8.4090000000000007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23-46D9-8691-979DA0DCE10D}"/>
            </c:ext>
          </c:extLst>
        </c:ser>
        <c:ser>
          <c:idx val="8"/>
          <c:order val="8"/>
          <c:tx>
            <c:strRef>
              <c:f>'FC Prod GWh FC'!$B$13</c:f>
              <c:strCache>
                <c:ptCount val="1"/>
                <c:pt idx="0">
                  <c:v>Mélange EnR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FC'!$C$13:$Q$13</c:f>
              <c:numCache>
                <c:formatCode>_-* #\ ##0_-;\-* #\ ##0_-;_-* "-"??_-;_-@_-</c:formatCode>
                <c:ptCount val="15"/>
                <c:pt idx="0">
                  <c:v>0</c:v>
                </c:pt>
                <c:pt idx="1">
                  <c:v>27.516580000000001</c:v>
                </c:pt>
                <c:pt idx="2">
                  <c:v>72.745650000000012</c:v>
                </c:pt>
                <c:pt idx="3">
                  <c:v>0</c:v>
                </c:pt>
                <c:pt idx="4">
                  <c:v>121.336</c:v>
                </c:pt>
                <c:pt idx="5">
                  <c:v>3.9193100000000003</c:v>
                </c:pt>
                <c:pt idx="6">
                  <c:v>15.828430000000001</c:v>
                </c:pt>
                <c:pt idx="7">
                  <c:v>6.7221400000000004</c:v>
                </c:pt>
                <c:pt idx="8">
                  <c:v>11.350880000000002</c:v>
                </c:pt>
                <c:pt idx="9">
                  <c:v>46.061</c:v>
                </c:pt>
                <c:pt idx="10">
                  <c:v>33.238999999999997</c:v>
                </c:pt>
                <c:pt idx="11">
                  <c:v>0</c:v>
                </c:pt>
                <c:pt idx="12">
                  <c:v>12.529</c:v>
                </c:pt>
                <c:pt idx="13">
                  <c:v>197.923</c:v>
                </c:pt>
                <c:pt idx="14">
                  <c:v>19.298999999999999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23-46D9-8691-979DA0DCE10D}"/>
            </c:ext>
          </c:extLst>
        </c:ser>
        <c:ser>
          <c:idx val="10"/>
          <c:order val="9"/>
          <c:tx>
            <c:strRef>
              <c:f>'FC Prod GWh FC'!$B$15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FC'!$C$15:$Q$15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A-C223-46D9-8691-979DA0DCE10D}"/>
            </c:ext>
          </c:extLst>
        </c:ser>
        <c:ser>
          <c:idx val="11"/>
          <c:order val="10"/>
          <c:tx>
            <c:strRef>
              <c:f>'FC Prod GWh FC'!$B$16</c:f>
              <c:strCache>
                <c:ptCount val="1"/>
                <c:pt idx="0">
                  <c:v>BCIAT BCIB FDI-FRANCE2030</c:v>
                </c:pt>
              </c:strCache>
            </c:strRef>
          </c:tx>
          <c:spPr>
            <a:solidFill>
              <a:srgbClr val="E2A2A2"/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FC'!$C$16:$Q$16</c:f>
              <c:numCache>
                <c:formatCode>_-* #\ ##0_-;\-* #\ ##0_-;_-* "-"??_-;_-@_-</c:formatCode>
                <c:ptCount val="15"/>
                <c:pt idx="12">
                  <c:v>1558.453</c:v>
                </c:pt>
                <c:pt idx="13">
                  <c:v>2632.7939999999999</c:v>
                </c:pt>
                <c:pt idx="14">
                  <c:v>2396.335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23-46D9-8691-979DA0DC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4586656"/>
        <c:axId val="1760662816"/>
      </c:barChart>
      <c:catAx>
        <c:axId val="5145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0662816"/>
        <c:crosses val="autoZero"/>
        <c:auto val="1"/>
        <c:lblAlgn val="ctr"/>
        <c:lblOffset val="100"/>
        <c:noMultiLvlLbl val="0"/>
      </c:catAx>
      <c:valAx>
        <c:axId val="17606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58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legendEntry>
        <c:idx val="9"/>
        <c:delete val="1"/>
      </c:legendEntry>
      <c:layout>
        <c:manualLayout>
          <c:xMode val="edge"/>
          <c:yMode val="edge"/>
          <c:x val="9.5446755224948179E-2"/>
          <c:y val="0.84909322334393489"/>
          <c:w val="0.59641628815319458"/>
          <c:h val="0.134481654841800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Bilan FC - engagement production</a:t>
            </a:r>
            <a:r>
              <a:rPr lang="fr-FR" baseline="0"/>
              <a:t> GWh/an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4553578224955971E-2"/>
          <c:y val="0.14105816306332397"/>
          <c:w val="0.91288388932688358"/>
          <c:h val="0.683718672449423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'FC Prod GWh FC'!$B$5</c:f>
              <c:strCache>
                <c:ptCount val="1"/>
                <c:pt idx="0">
                  <c:v>Biomasse hors BCIAT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FC'!$C$5:$Q$5</c:f>
              <c:numCache>
                <c:formatCode>_-* #\ ##0_-;\-* #\ ##0_-;_-* "-"??_-;_-@_-</c:formatCode>
                <c:ptCount val="15"/>
                <c:pt idx="0">
                  <c:v>457.57072000000005</c:v>
                </c:pt>
                <c:pt idx="1">
                  <c:v>730.52682000000004</c:v>
                </c:pt>
                <c:pt idx="2">
                  <c:v>1363.71054</c:v>
                </c:pt>
                <c:pt idx="3">
                  <c:v>1471.57879</c:v>
                </c:pt>
                <c:pt idx="4">
                  <c:v>1228.17452</c:v>
                </c:pt>
                <c:pt idx="5">
                  <c:v>811.3204300000001</c:v>
                </c:pt>
                <c:pt idx="6">
                  <c:v>514.30186000000003</c:v>
                </c:pt>
                <c:pt idx="7">
                  <c:v>371.78784000000002</c:v>
                </c:pt>
                <c:pt idx="8">
                  <c:v>617.45996000000002</c:v>
                </c:pt>
                <c:pt idx="9">
                  <c:v>582.42200000000003</c:v>
                </c:pt>
                <c:pt idx="10">
                  <c:v>694.76400000000001</c:v>
                </c:pt>
                <c:pt idx="11">
                  <c:v>621.90200000000004</c:v>
                </c:pt>
                <c:pt idx="12">
                  <c:v>537.95500000000004</c:v>
                </c:pt>
                <c:pt idx="13">
                  <c:v>666.06799999999998</c:v>
                </c:pt>
                <c:pt idx="14">
                  <c:v>980.98024304952241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F-4E8F-8262-041F778D03A1}"/>
            </c:ext>
          </c:extLst>
        </c:ser>
        <c:ser>
          <c:idx val="1"/>
          <c:order val="1"/>
          <c:tx>
            <c:strRef>
              <c:f>'FC Prod GWh FC'!$B$6</c:f>
              <c:strCache>
                <c:ptCount val="1"/>
                <c:pt idx="0">
                  <c:v>Biomasse BCIAT/BCIB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FC'!$C$6:$Q$6</c:f>
              <c:numCache>
                <c:formatCode>_-* #\ ##0_-;\-* #\ ##0_-;_-* "-"??_-;_-@_-</c:formatCode>
                <c:ptCount val="15"/>
                <c:pt idx="0">
                  <c:v>1714.3201500000002</c:v>
                </c:pt>
                <c:pt idx="1">
                  <c:v>2629.1126899999999</c:v>
                </c:pt>
                <c:pt idx="2">
                  <c:v>1259.9825700000001</c:v>
                </c:pt>
                <c:pt idx="3">
                  <c:v>1211.0667900000001</c:v>
                </c:pt>
                <c:pt idx="4">
                  <c:v>851.52534000000003</c:v>
                </c:pt>
                <c:pt idx="5">
                  <c:v>842.88424999999995</c:v>
                </c:pt>
                <c:pt idx="6">
                  <c:v>896.13801999999998</c:v>
                </c:pt>
                <c:pt idx="7">
                  <c:v>605.4694300000001</c:v>
                </c:pt>
                <c:pt idx="8">
                  <c:v>116.77683</c:v>
                </c:pt>
                <c:pt idx="9">
                  <c:v>397.13899999999995</c:v>
                </c:pt>
                <c:pt idx="10">
                  <c:v>860.57100000000003</c:v>
                </c:pt>
                <c:pt idx="11">
                  <c:v>1149.52</c:v>
                </c:pt>
                <c:pt idx="12">
                  <c:v>814.08600000000001</c:v>
                </c:pt>
                <c:pt idx="13">
                  <c:v>1178.8050000000001</c:v>
                </c:pt>
                <c:pt idx="14">
                  <c:v>354.63900000000001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F-4E8F-8262-041F778D03A1}"/>
            </c:ext>
          </c:extLst>
        </c:ser>
        <c:ser>
          <c:idx val="2"/>
          <c:order val="2"/>
          <c:tx>
            <c:strRef>
              <c:f>'FC Prod GWh FC'!$B$7</c:f>
              <c:strCache>
                <c:ptCount val="1"/>
                <c:pt idx="0">
                  <c:v>Géothermie et PAC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FC'!$C$7:$Q$7</c:f>
              <c:numCache>
                <c:formatCode>_-* #\ ##0_-;\-* #\ ##0_-;_-* "-"??_-;_-@_-</c:formatCode>
                <c:ptCount val="15"/>
                <c:pt idx="0">
                  <c:v>39.914160000000003</c:v>
                </c:pt>
                <c:pt idx="1">
                  <c:v>149.82929000000001</c:v>
                </c:pt>
                <c:pt idx="2">
                  <c:v>353.93579000000005</c:v>
                </c:pt>
                <c:pt idx="3">
                  <c:v>160.82686100000001</c:v>
                </c:pt>
                <c:pt idx="4">
                  <c:v>232.87619899999993</c:v>
                </c:pt>
                <c:pt idx="5">
                  <c:v>199.11723000000001</c:v>
                </c:pt>
                <c:pt idx="6">
                  <c:v>412.2835</c:v>
                </c:pt>
                <c:pt idx="7">
                  <c:v>179.52068000000003</c:v>
                </c:pt>
                <c:pt idx="8">
                  <c:v>142.73499000000001</c:v>
                </c:pt>
                <c:pt idx="9">
                  <c:v>343.41500000000002</c:v>
                </c:pt>
                <c:pt idx="10">
                  <c:v>257.87599999999998</c:v>
                </c:pt>
                <c:pt idx="11">
                  <c:v>352.12200000000001</c:v>
                </c:pt>
                <c:pt idx="12">
                  <c:v>332.03</c:v>
                </c:pt>
                <c:pt idx="13">
                  <c:v>231.93916000000002</c:v>
                </c:pt>
                <c:pt idx="14">
                  <c:v>341.02234884926185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CF-4E8F-8262-041F778D03A1}"/>
            </c:ext>
          </c:extLst>
        </c:ser>
        <c:ser>
          <c:idx val="4"/>
          <c:order val="3"/>
          <c:tx>
            <c:strRef>
              <c:f>'FC Prod GWh FC'!$B$9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FC'!$C$9:$Q$9</c:f>
              <c:numCache>
                <c:formatCode>_-* #\ ##0_-;\-* #\ ##0_-;_-* "-"??_-;_-@_-</c:formatCode>
                <c:ptCount val="15"/>
                <c:pt idx="0">
                  <c:v>12.223130000000001</c:v>
                </c:pt>
                <c:pt idx="1">
                  <c:v>19.108090000000001</c:v>
                </c:pt>
                <c:pt idx="2">
                  <c:v>18.514960000000002</c:v>
                </c:pt>
                <c:pt idx="3">
                  <c:v>11.211086000000002</c:v>
                </c:pt>
                <c:pt idx="4">
                  <c:v>6.8817440000000003</c:v>
                </c:pt>
                <c:pt idx="5">
                  <c:v>5.4893600000000005</c:v>
                </c:pt>
                <c:pt idx="6">
                  <c:v>4.0356100000000001</c:v>
                </c:pt>
                <c:pt idx="7">
                  <c:v>2.8958700000000004</c:v>
                </c:pt>
                <c:pt idx="8">
                  <c:v>6.8617000000000008</c:v>
                </c:pt>
                <c:pt idx="9">
                  <c:v>11.489000000000001</c:v>
                </c:pt>
                <c:pt idx="10">
                  <c:v>26.143000000000001</c:v>
                </c:pt>
                <c:pt idx="11">
                  <c:v>7.8109999999999999</c:v>
                </c:pt>
                <c:pt idx="12">
                  <c:v>8.1319999999999997</c:v>
                </c:pt>
                <c:pt idx="13">
                  <c:v>19.031496000000001</c:v>
                </c:pt>
                <c:pt idx="14">
                  <c:v>47.615195878140142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CF-4E8F-8262-041F778D03A1}"/>
            </c:ext>
          </c:extLst>
        </c:ser>
        <c:ser>
          <c:idx val="5"/>
          <c:order val="4"/>
          <c:tx>
            <c:strRef>
              <c:f>'FC Prod GWh FC'!$B$10</c:f>
              <c:strCache>
                <c:ptCount val="1"/>
                <c:pt idx="0">
                  <c:v>UIOM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FC'!$C$10:$Q$10</c:f>
              <c:numCache>
                <c:formatCode>_-* #\ ##0_-;\-* #\ ##0_-;_-* "-"??_-;_-@_-</c:formatCode>
                <c:ptCount val="15"/>
                <c:pt idx="0">
                  <c:v>34.994670000000006</c:v>
                </c:pt>
                <c:pt idx="1">
                  <c:v>240.36884000000003</c:v>
                </c:pt>
                <c:pt idx="2">
                  <c:v>189.74345000000002</c:v>
                </c:pt>
                <c:pt idx="3">
                  <c:v>312.61200000000002</c:v>
                </c:pt>
                <c:pt idx="4">
                  <c:v>229.39149999999998</c:v>
                </c:pt>
                <c:pt idx="5">
                  <c:v>98.889889999999994</c:v>
                </c:pt>
                <c:pt idx="6">
                  <c:v>425.87897000000004</c:v>
                </c:pt>
                <c:pt idx="7">
                  <c:v>253.91779</c:v>
                </c:pt>
                <c:pt idx="8">
                  <c:v>721.68802000000005</c:v>
                </c:pt>
                <c:pt idx="9">
                  <c:v>505.91199999999998</c:v>
                </c:pt>
                <c:pt idx="10">
                  <c:v>395.97699999999998</c:v>
                </c:pt>
                <c:pt idx="11">
                  <c:v>508.26999999999992</c:v>
                </c:pt>
                <c:pt idx="12">
                  <c:v>225.78299999999999</c:v>
                </c:pt>
                <c:pt idx="13">
                  <c:v>309.47500000000002</c:v>
                </c:pt>
                <c:pt idx="14">
                  <c:v>283.11200000000002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CF-4E8F-8262-041F778D03A1}"/>
            </c:ext>
          </c:extLst>
        </c:ser>
        <c:ser>
          <c:idx val="6"/>
          <c:order val="5"/>
          <c:tx>
            <c:strRef>
              <c:f>'FC Prod GWh FC'!$B$11</c:f>
              <c:strCache>
                <c:ptCount val="1"/>
                <c:pt idx="0">
                  <c:v>Récup Process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FC'!$C$11:$Q$11</c:f>
              <c:numCache>
                <c:formatCode>_-* #\ ##0_-;\-* #\ ##0_-;_-* "-"??_-;_-@_-</c:formatCode>
                <c:ptCount val="15"/>
                <c:pt idx="0">
                  <c:v>0</c:v>
                </c:pt>
                <c:pt idx="1">
                  <c:v>52.009360000000001</c:v>
                </c:pt>
                <c:pt idx="2">
                  <c:v>33.23854</c:v>
                </c:pt>
                <c:pt idx="3">
                  <c:v>146.17699999999999</c:v>
                </c:pt>
                <c:pt idx="4">
                  <c:v>32.812529999999995</c:v>
                </c:pt>
                <c:pt idx="5">
                  <c:v>25.772080000000003</c:v>
                </c:pt>
                <c:pt idx="6">
                  <c:v>246.31177000000002</c:v>
                </c:pt>
                <c:pt idx="7">
                  <c:v>319.09231</c:v>
                </c:pt>
                <c:pt idx="8">
                  <c:v>90.388360000000006</c:v>
                </c:pt>
                <c:pt idx="9">
                  <c:v>97.65000000000002</c:v>
                </c:pt>
                <c:pt idx="10">
                  <c:v>283.363</c:v>
                </c:pt>
                <c:pt idx="11">
                  <c:v>183.92099999999999</c:v>
                </c:pt>
                <c:pt idx="12">
                  <c:v>56.704000000000001</c:v>
                </c:pt>
                <c:pt idx="13">
                  <c:v>565.81899999999996</c:v>
                </c:pt>
                <c:pt idx="14">
                  <c:v>512.86299985000005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CF-4E8F-8262-041F778D03A1}"/>
            </c:ext>
          </c:extLst>
        </c:ser>
        <c:ser>
          <c:idx val="7"/>
          <c:order val="6"/>
          <c:tx>
            <c:strRef>
              <c:f>'FC Prod GWh FC'!$B$12</c:f>
              <c:strCache>
                <c:ptCount val="1"/>
                <c:pt idx="0">
                  <c:v>Froid EnR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FC'!$C$12:$Q$12</c:f>
              <c:numCache>
                <c:formatCode>_-* #\ ##0_-;\-* #\ ##0_-;_-* "-"??_-;_-@_-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4.9340000000000002</c:v>
                </c:pt>
                <c:pt idx="10">
                  <c:v>203.53299999999996</c:v>
                </c:pt>
                <c:pt idx="11">
                  <c:v>0.53300000000000003</c:v>
                </c:pt>
                <c:pt idx="12">
                  <c:v>8.4090000000000007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CF-4E8F-8262-041F778D03A1}"/>
            </c:ext>
          </c:extLst>
        </c:ser>
        <c:ser>
          <c:idx val="8"/>
          <c:order val="7"/>
          <c:tx>
            <c:strRef>
              <c:f>'FC Prod GWh FC'!$B$13</c:f>
              <c:strCache>
                <c:ptCount val="1"/>
                <c:pt idx="0">
                  <c:v>Mélange EnR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FC'!$C$13:$Q$13</c:f>
              <c:numCache>
                <c:formatCode>_-* #\ ##0_-;\-* #\ ##0_-;_-* "-"??_-;_-@_-</c:formatCode>
                <c:ptCount val="15"/>
                <c:pt idx="0">
                  <c:v>0</c:v>
                </c:pt>
                <c:pt idx="1">
                  <c:v>27.516580000000001</c:v>
                </c:pt>
                <c:pt idx="2">
                  <c:v>72.745650000000012</c:v>
                </c:pt>
                <c:pt idx="3">
                  <c:v>0</c:v>
                </c:pt>
                <c:pt idx="4">
                  <c:v>121.336</c:v>
                </c:pt>
                <c:pt idx="5">
                  <c:v>3.9193100000000003</c:v>
                </c:pt>
                <c:pt idx="6">
                  <c:v>15.828430000000001</c:v>
                </c:pt>
                <c:pt idx="7">
                  <c:v>6.7221400000000004</c:v>
                </c:pt>
                <c:pt idx="8">
                  <c:v>11.350880000000002</c:v>
                </c:pt>
                <c:pt idx="9">
                  <c:v>46.061</c:v>
                </c:pt>
                <c:pt idx="10">
                  <c:v>33.238999999999997</c:v>
                </c:pt>
                <c:pt idx="11">
                  <c:v>0</c:v>
                </c:pt>
                <c:pt idx="12">
                  <c:v>12.529</c:v>
                </c:pt>
                <c:pt idx="13">
                  <c:v>197.923</c:v>
                </c:pt>
                <c:pt idx="14">
                  <c:v>19.298999999999999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CF-4E8F-8262-041F778D0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4586656"/>
        <c:axId val="1760662816"/>
      </c:barChart>
      <c:catAx>
        <c:axId val="5145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0662816"/>
        <c:crosses val="autoZero"/>
        <c:auto val="1"/>
        <c:lblAlgn val="ctr"/>
        <c:lblOffset val="100"/>
        <c:noMultiLvlLbl val="0"/>
      </c:catAx>
      <c:valAx>
        <c:axId val="17606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58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Bilan FC - engagement production</a:t>
            </a:r>
            <a:r>
              <a:rPr lang="fr-FR" baseline="0"/>
              <a:t> GWh/an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0732240956913758E-2"/>
          <c:y val="0.10820792652236845"/>
          <c:w val="0.91288388932688358"/>
          <c:h val="0.683718672449423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'FC Prod GWh FC'!$B$5</c:f>
              <c:strCache>
                <c:ptCount val="1"/>
                <c:pt idx="0">
                  <c:v>Biomasse hors BCIAT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FC'!$C$5:$Q$5</c:f>
              <c:numCache>
                <c:formatCode>_-* #\ ##0_-;\-* #\ ##0_-;_-* "-"??_-;_-@_-</c:formatCode>
                <c:ptCount val="15"/>
                <c:pt idx="0">
                  <c:v>457.57072000000005</c:v>
                </c:pt>
                <c:pt idx="1">
                  <c:v>730.52682000000004</c:v>
                </c:pt>
                <c:pt idx="2">
                  <c:v>1363.71054</c:v>
                </c:pt>
                <c:pt idx="3">
                  <c:v>1471.57879</c:v>
                </c:pt>
                <c:pt idx="4">
                  <c:v>1228.17452</c:v>
                </c:pt>
                <c:pt idx="5">
                  <c:v>811.3204300000001</c:v>
                </c:pt>
                <c:pt idx="6">
                  <c:v>514.30186000000003</c:v>
                </c:pt>
                <c:pt idx="7">
                  <c:v>371.78784000000002</c:v>
                </c:pt>
                <c:pt idx="8">
                  <c:v>617.45996000000002</c:v>
                </c:pt>
                <c:pt idx="9">
                  <c:v>582.42200000000003</c:v>
                </c:pt>
                <c:pt idx="10">
                  <c:v>694.76400000000001</c:v>
                </c:pt>
                <c:pt idx="11">
                  <c:v>621.90200000000004</c:v>
                </c:pt>
                <c:pt idx="12">
                  <c:v>537.95500000000004</c:v>
                </c:pt>
                <c:pt idx="13">
                  <c:v>666.06799999999998</c:v>
                </c:pt>
                <c:pt idx="14">
                  <c:v>980.98024304952241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A-4269-B94F-F69D08CD648A}"/>
            </c:ext>
          </c:extLst>
        </c:ser>
        <c:ser>
          <c:idx val="1"/>
          <c:order val="1"/>
          <c:tx>
            <c:strRef>
              <c:f>'FC Prod GWh FC'!$B$6</c:f>
              <c:strCache>
                <c:ptCount val="1"/>
                <c:pt idx="0">
                  <c:v>Biomasse BCIAT/BCIB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FC'!$C$6:$Q$6</c:f>
              <c:numCache>
                <c:formatCode>_-* #\ ##0_-;\-* #\ ##0_-;_-* "-"??_-;_-@_-</c:formatCode>
                <c:ptCount val="15"/>
                <c:pt idx="0">
                  <c:v>1714.3201500000002</c:v>
                </c:pt>
                <c:pt idx="1">
                  <c:v>2629.1126899999999</c:v>
                </c:pt>
                <c:pt idx="2">
                  <c:v>1259.9825700000001</c:v>
                </c:pt>
                <c:pt idx="3">
                  <c:v>1211.0667900000001</c:v>
                </c:pt>
                <c:pt idx="4">
                  <c:v>851.52534000000003</c:v>
                </c:pt>
                <c:pt idx="5">
                  <c:v>842.88424999999995</c:v>
                </c:pt>
                <c:pt idx="6">
                  <c:v>896.13801999999998</c:v>
                </c:pt>
                <c:pt idx="7">
                  <c:v>605.4694300000001</c:v>
                </c:pt>
                <c:pt idx="8">
                  <c:v>116.77683</c:v>
                </c:pt>
                <c:pt idx="9">
                  <c:v>397.13899999999995</c:v>
                </c:pt>
                <c:pt idx="10">
                  <c:v>860.57100000000003</c:v>
                </c:pt>
                <c:pt idx="11">
                  <c:v>1149.52</c:v>
                </c:pt>
                <c:pt idx="12">
                  <c:v>814.08600000000001</c:v>
                </c:pt>
                <c:pt idx="13">
                  <c:v>1178.8050000000001</c:v>
                </c:pt>
                <c:pt idx="14">
                  <c:v>354.63900000000001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A-4269-B94F-F69D08CD648A}"/>
            </c:ext>
          </c:extLst>
        </c:ser>
        <c:ser>
          <c:idx val="2"/>
          <c:order val="2"/>
          <c:tx>
            <c:strRef>
              <c:f>'FC Prod GWh FC'!$B$7</c:f>
              <c:strCache>
                <c:ptCount val="1"/>
                <c:pt idx="0">
                  <c:v>Géothermie et PAC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FC'!$C$7:$Q$7</c:f>
              <c:numCache>
                <c:formatCode>_-* #\ ##0_-;\-* #\ ##0_-;_-* "-"??_-;_-@_-</c:formatCode>
                <c:ptCount val="15"/>
                <c:pt idx="0">
                  <c:v>39.914160000000003</c:v>
                </c:pt>
                <c:pt idx="1">
                  <c:v>149.82929000000001</c:v>
                </c:pt>
                <c:pt idx="2">
                  <c:v>353.93579000000005</c:v>
                </c:pt>
                <c:pt idx="3">
                  <c:v>160.82686100000001</c:v>
                </c:pt>
                <c:pt idx="4">
                  <c:v>232.87619899999993</c:v>
                </c:pt>
                <c:pt idx="5">
                  <c:v>199.11723000000001</c:v>
                </c:pt>
                <c:pt idx="6">
                  <c:v>412.2835</c:v>
                </c:pt>
                <c:pt idx="7">
                  <c:v>179.52068000000003</c:v>
                </c:pt>
                <c:pt idx="8">
                  <c:v>142.73499000000001</c:v>
                </c:pt>
                <c:pt idx="9">
                  <c:v>343.41500000000002</c:v>
                </c:pt>
                <c:pt idx="10">
                  <c:v>257.87599999999998</c:v>
                </c:pt>
                <c:pt idx="11">
                  <c:v>352.12200000000001</c:v>
                </c:pt>
                <c:pt idx="12">
                  <c:v>332.03</c:v>
                </c:pt>
                <c:pt idx="13">
                  <c:v>231.93916000000002</c:v>
                </c:pt>
                <c:pt idx="14">
                  <c:v>341.02234884926185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9A-4269-B94F-F69D08CD648A}"/>
            </c:ext>
          </c:extLst>
        </c:ser>
        <c:ser>
          <c:idx val="4"/>
          <c:order val="3"/>
          <c:tx>
            <c:strRef>
              <c:f>'FC Prod GWh FC'!$B$9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FC'!$C$9:$Q$9</c:f>
              <c:numCache>
                <c:formatCode>_-* #\ ##0_-;\-* #\ ##0_-;_-* "-"??_-;_-@_-</c:formatCode>
                <c:ptCount val="15"/>
                <c:pt idx="0">
                  <c:v>12.223130000000001</c:v>
                </c:pt>
                <c:pt idx="1">
                  <c:v>19.108090000000001</c:v>
                </c:pt>
                <c:pt idx="2">
                  <c:v>18.514960000000002</c:v>
                </c:pt>
                <c:pt idx="3">
                  <c:v>11.211086000000002</c:v>
                </c:pt>
                <c:pt idx="4">
                  <c:v>6.8817440000000003</c:v>
                </c:pt>
                <c:pt idx="5">
                  <c:v>5.4893600000000005</c:v>
                </c:pt>
                <c:pt idx="6">
                  <c:v>4.0356100000000001</c:v>
                </c:pt>
                <c:pt idx="7">
                  <c:v>2.8958700000000004</c:v>
                </c:pt>
                <c:pt idx="8">
                  <c:v>6.8617000000000008</c:v>
                </c:pt>
                <c:pt idx="9">
                  <c:v>11.489000000000001</c:v>
                </c:pt>
                <c:pt idx="10">
                  <c:v>26.143000000000001</c:v>
                </c:pt>
                <c:pt idx="11">
                  <c:v>7.8109999999999999</c:v>
                </c:pt>
                <c:pt idx="12">
                  <c:v>8.1319999999999997</c:v>
                </c:pt>
                <c:pt idx="13">
                  <c:v>19.031496000000001</c:v>
                </c:pt>
                <c:pt idx="14">
                  <c:v>47.615195878140142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9A-4269-B94F-F69D08CD648A}"/>
            </c:ext>
          </c:extLst>
        </c:ser>
        <c:ser>
          <c:idx val="5"/>
          <c:order val="4"/>
          <c:tx>
            <c:strRef>
              <c:f>'FC Prod GWh FC'!$B$10</c:f>
              <c:strCache>
                <c:ptCount val="1"/>
                <c:pt idx="0">
                  <c:v>UIOM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FC'!$C$10:$Q$10</c:f>
              <c:numCache>
                <c:formatCode>_-* #\ ##0_-;\-* #\ ##0_-;_-* "-"??_-;_-@_-</c:formatCode>
                <c:ptCount val="15"/>
                <c:pt idx="0">
                  <c:v>34.994670000000006</c:v>
                </c:pt>
                <c:pt idx="1">
                  <c:v>240.36884000000003</c:v>
                </c:pt>
                <c:pt idx="2">
                  <c:v>189.74345000000002</c:v>
                </c:pt>
                <c:pt idx="3">
                  <c:v>312.61200000000002</c:v>
                </c:pt>
                <c:pt idx="4">
                  <c:v>229.39149999999998</c:v>
                </c:pt>
                <c:pt idx="5">
                  <c:v>98.889889999999994</c:v>
                </c:pt>
                <c:pt idx="6">
                  <c:v>425.87897000000004</c:v>
                </c:pt>
                <c:pt idx="7">
                  <c:v>253.91779</c:v>
                </c:pt>
                <c:pt idx="8">
                  <c:v>721.68802000000005</c:v>
                </c:pt>
                <c:pt idx="9">
                  <c:v>505.91199999999998</c:v>
                </c:pt>
                <c:pt idx="10">
                  <c:v>395.97699999999998</c:v>
                </c:pt>
                <c:pt idx="11">
                  <c:v>508.26999999999992</c:v>
                </c:pt>
                <c:pt idx="12">
                  <c:v>225.78299999999999</c:v>
                </c:pt>
                <c:pt idx="13">
                  <c:v>309.47500000000002</c:v>
                </c:pt>
                <c:pt idx="14">
                  <c:v>283.11200000000002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9A-4269-B94F-F69D08CD648A}"/>
            </c:ext>
          </c:extLst>
        </c:ser>
        <c:ser>
          <c:idx val="6"/>
          <c:order val="5"/>
          <c:tx>
            <c:strRef>
              <c:f>'FC Prod GWh FC'!$B$11</c:f>
              <c:strCache>
                <c:ptCount val="1"/>
                <c:pt idx="0">
                  <c:v>Récup Process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FC'!$C$11:$Q$11</c:f>
              <c:numCache>
                <c:formatCode>_-* #\ ##0_-;\-* #\ ##0_-;_-* "-"??_-;_-@_-</c:formatCode>
                <c:ptCount val="15"/>
                <c:pt idx="0">
                  <c:v>0</c:v>
                </c:pt>
                <c:pt idx="1">
                  <c:v>52.009360000000001</c:v>
                </c:pt>
                <c:pt idx="2">
                  <c:v>33.23854</c:v>
                </c:pt>
                <c:pt idx="3">
                  <c:v>146.17699999999999</c:v>
                </c:pt>
                <c:pt idx="4">
                  <c:v>32.812529999999995</c:v>
                </c:pt>
                <c:pt idx="5">
                  <c:v>25.772080000000003</c:v>
                </c:pt>
                <c:pt idx="6">
                  <c:v>246.31177000000002</c:v>
                </c:pt>
                <c:pt idx="7">
                  <c:v>319.09231</c:v>
                </c:pt>
                <c:pt idx="8">
                  <c:v>90.388360000000006</c:v>
                </c:pt>
                <c:pt idx="9">
                  <c:v>97.65000000000002</c:v>
                </c:pt>
                <c:pt idx="10">
                  <c:v>283.363</c:v>
                </c:pt>
                <c:pt idx="11">
                  <c:v>183.92099999999999</c:v>
                </c:pt>
                <c:pt idx="12">
                  <c:v>56.704000000000001</c:v>
                </c:pt>
                <c:pt idx="13">
                  <c:v>565.81899999999996</c:v>
                </c:pt>
                <c:pt idx="14">
                  <c:v>512.86299985000005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9A-4269-B94F-F69D08CD648A}"/>
            </c:ext>
          </c:extLst>
        </c:ser>
        <c:ser>
          <c:idx val="7"/>
          <c:order val="6"/>
          <c:tx>
            <c:strRef>
              <c:f>'FC Prod GWh FC'!$B$12</c:f>
              <c:strCache>
                <c:ptCount val="1"/>
                <c:pt idx="0">
                  <c:v>Froid EnR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FC'!$C$12:$Q$12</c:f>
              <c:numCache>
                <c:formatCode>_-* #\ ##0_-;\-* #\ ##0_-;_-* "-"??_-;_-@_-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4.9340000000000002</c:v>
                </c:pt>
                <c:pt idx="10">
                  <c:v>203.53299999999996</c:v>
                </c:pt>
                <c:pt idx="11">
                  <c:v>0.53300000000000003</c:v>
                </c:pt>
                <c:pt idx="12">
                  <c:v>8.4090000000000007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9A-4269-B94F-F69D08CD648A}"/>
            </c:ext>
          </c:extLst>
        </c:ser>
        <c:ser>
          <c:idx val="8"/>
          <c:order val="7"/>
          <c:tx>
            <c:strRef>
              <c:f>'FC Prod GWh FC'!$B$13</c:f>
              <c:strCache>
                <c:ptCount val="1"/>
                <c:pt idx="0">
                  <c:v>Mélange EnR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FC'!$C$13:$Q$13</c:f>
              <c:numCache>
                <c:formatCode>_-* #\ ##0_-;\-* #\ ##0_-;_-* "-"??_-;_-@_-</c:formatCode>
                <c:ptCount val="15"/>
                <c:pt idx="0">
                  <c:v>0</c:v>
                </c:pt>
                <c:pt idx="1">
                  <c:v>27.516580000000001</c:v>
                </c:pt>
                <c:pt idx="2">
                  <c:v>72.745650000000012</c:v>
                </c:pt>
                <c:pt idx="3">
                  <c:v>0</c:v>
                </c:pt>
                <c:pt idx="4">
                  <c:v>121.336</c:v>
                </c:pt>
                <c:pt idx="5">
                  <c:v>3.9193100000000003</c:v>
                </c:pt>
                <c:pt idx="6">
                  <c:v>15.828430000000001</c:v>
                </c:pt>
                <c:pt idx="7">
                  <c:v>6.7221400000000004</c:v>
                </c:pt>
                <c:pt idx="8">
                  <c:v>11.350880000000002</c:v>
                </c:pt>
                <c:pt idx="9">
                  <c:v>46.061</c:v>
                </c:pt>
                <c:pt idx="10">
                  <c:v>33.238999999999997</c:v>
                </c:pt>
                <c:pt idx="11">
                  <c:v>0</c:v>
                </c:pt>
                <c:pt idx="12">
                  <c:v>12.529</c:v>
                </c:pt>
                <c:pt idx="13">
                  <c:v>197.923</c:v>
                </c:pt>
                <c:pt idx="14">
                  <c:v>19.298999999999999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9A-4269-B94F-F69D08CD648A}"/>
            </c:ext>
          </c:extLst>
        </c:ser>
        <c:ser>
          <c:idx val="10"/>
          <c:order val="8"/>
          <c:tx>
            <c:strRef>
              <c:f>'FC Prod GWh FC'!$B$15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FC'!$C$15:$Q$15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9-2F9A-4269-B94F-F69D08CD648A}"/>
            </c:ext>
          </c:extLst>
        </c:ser>
        <c:ser>
          <c:idx val="11"/>
          <c:order val="9"/>
          <c:tx>
            <c:strRef>
              <c:f>'FC Prod GWh FC'!$B$16</c:f>
              <c:strCache>
                <c:ptCount val="1"/>
                <c:pt idx="0">
                  <c:v>BCIAT BCIB FDI-FRANCE2030</c:v>
                </c:pt>
              </c:strCache>
            </c:strRef>
          </c:tx>
          <c:spPr>
            <a:solidFill>
              <a:srgbClr val="E2A2A2"/>
            </a:solidFill>
            <a:ln>
              <a:noFill/>
            </a:ln>
            <a:effectLst/>
          </c:spPr>
          <c:invertIfNegative val="0"/>
          <c:cat>
            <c:numRef>
              <c:f>'FC Prod GWh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FC'!$C$16:$Q$16</c:f>
              <c:numCache>
                <c:formatCode>_-* #\ ##0_-;\-* #\ ##0_-;_-* "-"??_-;_-@_-</c:formatCode>
                <c:ptCount val="15"/>
                <c:pt idx="12">
                  <c:v>1558.453</c:v>
                </c:pt>
                <c:pt idx="13">
                  <c:v>2632.7939999999999</c:v>
                </c:pt>
                <c:pt idx="14">
                  <c:v>2396.335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9A-4269-B94F-F69D08CD6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4586656"/>
        <c:axId val="1760662816"/>
      </c:barChart>
      <c:catAx>
        <c:axId val="5145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0662816"/>
        <c:crosses val="autoZero"/>
        <c:auto val="1"/>
        <c:lblAlgn val="ctr"/>
        <c:lblOffset val="100"/>
        <c:noMultiLvlLbl val="0"/>
      </c:catAx>
      <c:valAx>
        <c:axId val="17606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58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8"/>
        <c:delete val="1"/>
      </c:legendEntry>
      <c:layout>
        <c:manualLayout>
          <c:xMode val="edge"/>
          <c:yMode val="edge"/>
          <c:x val="9.5446755224948179E-2"/>
          <c:y val="0.84909322334393489"/>
          <c:w val="0.59641628815319458"/>
          <c:h val="0.134481654841800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'Analyse ratios d''aide'!$B$3</c:f>
              <c:strCache>
                <c:ptCount val="1"/>
                <c:pt idx="0">
                  <c:v>Ratio FC global €/MWh/20ans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'Analyse ratios d''aide'!$C$2:$P$2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'Analyse ratios d''aide'!$C$3:$P$3</c:f>
              <c:numCache>
                <c:formatCode>_(* #,##0.00_);_(* \(#,##0.00\);_(* "-"??_);_(@_)</c:formatCode>
                <c:ptCount val="14"/>
                <c:pt idx="0">
                  <c:v>3.7042782848537819</c:v>
                </c:pt>
                <c:pt idx="1">
                  <c:v>3.3909570541907081</c:v>
                </c:pt>
                <c:pt idx="2">
                  <c:v>3.669643847781991</c:v>
                </c:pt>
                <c:pt idx="3">
                  <c:v>3.3243281759936529</c:v>
                </c:pt>
                <c:pt idx="4">
                  <c:v>3.654243425308259</c:v>
                </c:pt>
                <c:pt idx="5">
                  <c:v>3.7036546743998251</c:v>
                </c:pt>
                <c:pt idx="6">
                  <c:v>3.6890555294540497</c:v>
                </c:pt>
                <c:pt idx="7">
                  <c:v>5.1127826811337327</c:v>
                </c:pt>
                <c:pt idx="8">
                  <c:v>4.9176501580561256</c:v>
                </c:pt>
                <c:pt idx="9">
                  <c:v>4.9473246290452035</c:v>
                </c:pt>
                <c:pt idx="10">
                  <c:v>3.7988714436031281</c:v>
                </c:pt>
                <c:pt idx="11">
                  <c:v>4.4262933804017122</c:v>
                </c:pt>
                <c:pt idx="12">
                  <c:v>5.2200628567196041</c:v>
                </c:pt>
                <c:pt idx="13">
                  <c:v>7.0890867296352225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F-4DED-8E1B-2944AF5CD371}"/>
            </c:ext>
          </c:extLst>
        </c:ser>
        <c:ser>
          <c:idx val="1"/>
          <c:order val="1"/>
          <c:tx>
            <c:strRef>
              <c:f>'Analyse ratios d''aide'!$B$10</c:f>
              <c:strCache>
                <c:ptCount val="1"/>
                <c:pt idx="0">
                  <c:v>Ratio FC global + cofinancement €/MWh/20ans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'Analyse ratios d''aide'!$C$2:$P$2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'Analyse ratios d''aide'!$C$10:$P$10</c:f>
              <c:numCache>
                <c:formatCode>_(* #,##0.00_);_(* \(#,##0.00\);_(* "-"??_);_(@_)</c:formatCode>
                <c:ptCount val="14"/>
                <c:pt idx="0">
                  <c:v>3.8031396106942514</c:v>
                </c:pt>
                <c:pt idx="1">
                  <c:v>3.4433784794936622</c:v>
                </c:pt>
                <c:pt idx="2">
                  <c:v>3.7941542104117021</c:v>
                </c:pt>
                <c:pt idx="3">
                  <c:v>3.3857208567528509</c:v>
                </c:pt>
                <c:pt idx="4">
                  <c:v>3.7652074734307335</c:v>
                </c:pt>
                <c:pt idx="5">
                  <c:v>4.0874651299066214</c:v>
                </c:pt>
                <c:pt idx="6">
                  <c:v>4.1414755044007707</c:v>
                </c:pt>
                <c:pt idx="7">
                  <c:v>5.6034000462708278</c:v>
                </c:pt>
                <c:pt idx="8">
                  <c:v>5.8863891936777177</c:v>
                </c:pt>
                <c:pt idx="9">
                  <c:v>6.4967645064994484</c:v>
                </c:pt>
                <c:pt idx="10">
                  <c:v>4.7426868763871104</c:v>
                </c:pt>
                <c:pt idx="11">
                  <c:v>5.5981212591527392</c:v>
                </c:pt>
                <c:pt idx="12">
                  <c:v>5.7702834716780229</c:v>
                </c:pt>
                <c:pt idx="13">
                  <c:v>7.5853391575590035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F-4DED-8E1B-2944AF5CD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89919"/>
        <c:axId val="82790399"/>
      </c:barChart>
      <c:catAx>
        <c:axId val="827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790399"/>
        <c:crosses val="autoZero"/>
        <c:auto val="1"/>
        <c:lblAlgn val="ctr"/>
        <c:lblOffset val="100"/>
        <c:noMultiLvlLbl val="0"/>
      </c:catAx>
      <c:valAx>
        <c:axId val="8279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7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'FC Prod GWh FC'!$R$4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56-4008-B097-07F9117071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56-4008-B097-07F9117071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56-4008-B097-07F91170714A}"/>
              </c:ext>
            </c:extLst>
          </c:dPt>
          <c:dPt>
            <c:idx val="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356-4008-B097-07F91170714A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356-4008-B097-07F91170714A}"/>
              </c:ext>
            </c:extLst>
          </c:dPt>
          <c:dPt>
            <c:idx val="5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356-4008-B097-07F91170714A}"/>
              </c:ext>
            </c:extLst>
          </c:dPt>
          <c:dPt>
            <c:idx val="6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356-4008-B097-07F91170714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356-4008-B097-07F91170714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356-4008-B097-07F91170714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356-4008-B097-07F91170714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9356-4008-B097-07F91170714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9356-4008-B097-07F91170714A}"/>
                </c:ext>
              </c:extLst>
            </c:dLbl>
            <c:dLbl>
              <c:idx val="5"/>
              <c:layout>
                <c:manualLayout>
                  <c:x val="-2.1225277375783922E-2"/>
                  <c:y val="3.093580066236701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356-4008-B097-07F91170714A}"/>
                </c:ext>
              </c:extLst>
            </c:dLbl>
            <c:dLbl>
              <c:idx val="6"/>
              <c:layout>
                <c:manualLayout>
                  <c:x val="9.2619392185238777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356-4008-B097-07F91170714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'FC Prod GWh FC'!$B$5:$B$13</c15:sqref>
                  </c15:fullRef>
                </c:ext>
              </c:extLst>
              <c:f>('FC Prod GWh FC'!$B$5:$B$7,'FC Prod GWh FC'!$B$9:$B$11,'FC Prod GWh FC'!$B$13)</c:f>
              <c:strCache>
                <c:ptCount val="7"/>
                <c:pt idx="0">
                  <c:v>Biomasse hors BCIAT</c:v>
                </c:pt>
                <c:pt idx="1">
                  <c:v>Biomasse BCIAT/BCIB</c:v>
                </c:pt>
                <c:pt idx="2">
                  <c:v>Géothermie et PAC</c:v>
                </c:pt>
                <c:pt idx="3">
                  <c:v>Solaire</c:v>
                </c:pt>
                <c:pt idx="4">
                  <c:v>UIOM</c:v>
                </c:pt>
                <c:pt idx="5">
                  <c:v>Récup Process</c:v>
                </c:pt>
                <c:pt idx="6">
                  <c:v>Mélange EnR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'FC Prod GWh FC'!$R$5:$R$13</c15:sqref>
                  </c15:fullRef>
                </c:ext>
              </c:extLst>
              <c:f>('FC Prod GWh FC'!$R$5:$R$7,'FC Prod GWh FC'!$R$9:$R$11,'FC Prod GWh FC'!$R$13)</c:f>
              <c:numCache>
                <c:formatCode>_-* #\ ##0_-;\-* #\ ##0_-;_-* "-"??_-;_-@_-</c:formatCode>
                <c:ptCount val="7"/>
                <c:pt idx="0">
                  <c:v>11650.52272304952</c:v>
                </c:pt>
                <c:pt idx="1">
                  <c:v>14882.03607</c:v>
                </c:pt>
                <c:pt idx="2">
                  <c:v>3729.4432088492622</c:v>
                </c:pt>
                <c:pt idx="3">
                  <c:v>207.44324187814016</c:v>
                </c:pt>
                <c:pt idx="4">
                  <c:v>4736.0141300000005</c:v>
                </c:pt>
                <c:pt idx="5">
                  <c:v>2646.1219498500004</c:v>
                </c:pt>
                <c:pt idx="6">
                  <c:v>568.46998999999994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'FC Prod GWh FC'!$R$8</c15:sqref>
                  <c15:spPr xmlns:c15="http://schemas.microsoft.com/office/drawing/2012/chart"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F-7CBE-4C8C-98E5-B62B13B73E5C}"/>
                      </c:ext>
                    </c:extLst>
                  </c15:dLbl>
                </c15:categoryFilterException>
                <c15:categoryFilterException>
                  <c15:sqref>'FC Prod GWh FC'!$R$12</c15:sqref>
                  <c15:spPr xmlns:c15="http://schemas.microsoft.com/office/drawing/2012/chart"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5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1-7CBE-4C8C-98E5-B62B13B73E5C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9356-4008-B097-07F91170714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'FC Prod GWh FC'!$R$4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D20-4C69-BFF5-A964D65677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D20-4C69-BFF5-A964D65677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D20-4C69-BFF5-A964D656772F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D20-4C69-BFF5-A964D656772F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D20-4C69-BFF5-A964D656772F}"/>
              </c:ext>
            </c:extLst>
          </c:dPt>
          <c:dPt>
            <c:idx val="5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D20-4C69-BFF5-A964D656772F}"/>
              </c:ext>
            </c:extLst>
          </c:dPt>
          <c:dPt>
            <c:idx val="6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D20-4C69-BFF5-A964D656772F}"/>
              </c:ext>
            </c:extLst>
          </c:dPt>
          <c:dPt>
            <c:idx val="7"/>
            <c:bubble3D val="0"/>
            <c:spPr>
              <a:solidFill>
                <a:srgbClr val="E2A2A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D20-4C69-BFF5-A964D656772F}"/>
              </c:ext>
            </c:extLst>
          </c:dPt>
          <c:dLbls>
            <c:dLbl>
              <c:idx val="0"/>
              <c:layout>
                <c:manualLayout>
                  <c:x val="0.125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20-4C69-BFF5-A964D656772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D20-4C69-BFF5-A964D656772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D20-4C69-BFF5-A964D656772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5D20-4C69-BFF5-A964D656772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5D20-4C69-BFF5-A964D656772F}"/>
                </c:ext>
              </c:extLst>
            </c:dLbl>
            <c:dLbl>
              <c:idx val="5"/>
              <c:layout>
                <c:manualLayout>
                  <c:x val="-0.13055555555555559"/>
                  <c:y val="1.38888888888888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D20-4C69-BFF5-A964D656772F}"/>
                </c:ext>
              </c:extLst>
            </c:dLbl>
            <c:dLbl>
              <c:idx val="6"/>
              <c:layout>
                <c:manualLayout>
                  <c:x val="4.3441368656943731E-3"/>
                  <c:y val="-8.38841669093170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D20-4C69-BFF5-A964D656772F}"/>
                </c:ext>
              </c:extLst>
            </c:dLbl>
            <c:dLbl>
              <c:idx val="7"/>
              <c:layout>
                <c:manualLayout>
                  <c:x val="8.6614932304943187E-2"/>
                  <c:y val="5.855884829961473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D20-4C69-BFF5-A964D656772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('FC Prod GWh FC'!$B$5:$B$13,'FC Prod GWh FC'!$B$16)</c15:sqref>
                  </c15:fullRef>
                </c:ext>
              </c:extLst>
              <c:f>('FC Prod GWh FC'!$B$5:$B$7,'FC Prod GWh FC'!$B$9:$B$11,'FC Prod GWh FC'!$B$13,'FC Prod GWh FC'!$B$16)</c:f>
              <c:strCache>
                <c:ptCount val="8"/>
                <c:pt idx="0">
                  <c:v>Biomasse hors BCIAT</c:v>
                </c:pt>
                <c:pt idx="1">
                  <c:v>Biomasse BCIAT/BCIB</c:v>
                </c:pt>
                <c:pt idx="2">
                  <c:v>Géothermie et PAC</c:v>
                </c:pt>
                <c:pt idx="3">
                  <c:v>Solaire</c:v>
                </c:pt>
                <c:pt idx="4">
                  <c:v>UIOM</c:v>
                </c:pt>
                <c:pt idx="5">
                  <c:v>Récup Process</c:v>
                </c:pt>
                <c:pt idx="6">
                  <c:v>Mélange EnR </c:v>
                </c:pt>
                <c:pt idx="7">
                  <c:v>BCIAT BCIB FDI-FRANCE2030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('FC Prod GWh FC'!$R$5:$R$13,'FC Prod GWh FC'!$R$16)</c15:sqref>
                  </c15:fullRef>
                </c:ext>
              </c:extLst>
              <c:f>('FC Prod GWh FC'!$R$5:$R$7,'FC Prod GWh FC'!$R$9:$R$11,'FC Prod GWh FC'!$R$13,'FC Prod GWh FC'!$R$16)</c:f>
              <c:numCache>
                <c:formatCode>_-* #\ ##0_-;\-* #\ ##0_-;_-* "-"??_-;_-@_-</c:formatCode>
                <c:ptCount val="8"/>
                <c:pt idx="0">
                  <c:v>11650.52272304952</c:v>
                </c:pt>
                <c:pt idx="1">
                  <c:v>14882.03607</c:v>
                </c:pt>
                <c:pt idx="2">
                  <c:v>3729.4432088492622</c:v>
                </c:pt>
                <c:pt idx="3">
                  <c:v>207.44324187814016</c:v>
                </c:pt>
                <c:pt idx="4">
                  <c:v>4736.0141300000005</c:v>
                </c:pt>
                <c:pt idx="5">
                  <c:v>2646.1219498500004</c:v>
                </c:pt>
                <c:pt idx="6">
                  <c:v>568.46998999999994</c:v>
                </c:pt>
                <c:pt idx="7">
                  <c:v>6587.5819999999994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'FC Prod GWh FC'!$R$8</c15:sqref>
                  <c15:spPr xmlns:c15="http://schemas.microsoft.com/office/drawing/2012/chart"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1-5CCE-42F7-9C14-57397E76F708}"/>
                      </c:ext>
                    </c:extLst>
                  </c15:dLbl>
                </c15:categoryFilterException>
                <c15:categoryFilterException>
                  <c15:sqref>'FC Prod GWh FC'!$R$12</c15:sqref>
                  <c15:spPr xmlns:c15="http://schemas.microsoft.com/office/drawing/2012/chart"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5"/>
                    <c:layout>
                      <c:manualLayout>
                        <c:x val="-6.6666666666666693E-2"/>
                        <c:y val="-1.3888888888888895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3-5CCE-42F7-9C14-57397E76F708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2-5D20-4C69-BFF5-A964D656772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Engagements production</a:t>
            </a:r>
            <a:r>
              <a:rPr lang="fr-FR" baseline="0"/>
              <a:t> cumulés TWh/an - par année d'Engagement Juridique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'FC Prod GWh FC'!$B$106</c:f>
              <c:strCache>
                <c:ptCount val="1"/>
                <c:pt idx="0">
                  <c:v>TOTAL Engagement de production Fonds Chaleur (TWh/an)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 Prod GWh FC'!$C$96:$Q$96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FC'!$C$106:$Q$106</c:f>
              <c:numCache>
                <c:formatCode>_-* #\ ##0_-;\-* #\ ##0_-;_-* "-"??_-;_-@_-</c:formatCode>
                <c:ptCount val="15"/>
                <c:pt idx="0">
                  <c:v>2275.4094999999998</c:v>
                </c:pt>
                <c:pt idx="1">
                  <c:v>6160.2714400000004</c:v>
                </c:pt>
                <c:pt idx="2">
                  <c:v>9545.5318399999996</c:v>
                </c:pt>
                <c:pt idx="3">
                  <c:v>13025.588377</c:v>
                </c:pt>
                <c:pt idx="4">
                  <c:v>15845.871209999999</c:v>
                </c:pt>
                <c:pt idx="5">
                  <c:v>18075.074720000001</c:v>
                </c:pt>
                <c:pt idx="6">
                  <c:v>21007.451290000001</c:v>
                </c:pt>
                <c:pt idx="7">
                  <c:v>23090.465700000001</c:v>
                </c:pt>
                <c:pt idx="8">
                  <c:v>25096.047570000002</c:v>
                </c:pt>
                <c:pt idx="9">
                  <c:v>27713.684570000001</c:v>
                </c:pt>
                <c:pt idx="10">
                  <c:v>31591.204570000002</c:v>
                </c:pt>
                <c:pt idx="11">
                  <c:v>35541.202570000001</c:v>
                </c:pt>
                <c:pt idx="12">
                  <c:v>38889.420570000002</c:v>
                </c:pt>
                <c:pt idx="13">
                  <c:v>42569.127226000004</c:v>
                </c:pt>
                <c:pt idx="14">
                  <c:v>45386.667013626931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0-4426-AFB2-7CCE7AB1F6F4}"/>
            </c:ext>
          </c:extLst>
        </c:ser>
        <c:ser>
          <c:idx val="1"/>
          <c:order val="1"/>
          <c:tx>
            <c:strRef>
              <c:f>'FC Prod GWh FC'!$B$109</c:f>
              <c:strCache>
                <c:ptCount val="1"/>
                <c:pt idx="0">
                  <c:v>TOTAL Engagement de production Fonds Chaleur et BCIAT BCIB FDI-FRANCE2030 (TWh/an)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'FC Prod GWh FC'!$C$96:$Q$96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Prod GWh FC'!$C$109:$Q$109</c:f>
              <c:numCache>
                <c:formatCode>_-* #\ ##0_-;\-* #\ ##0_-;_-* "-"??_-;_-@_-</c:formatCode>
                <c:ptCount val="15"/>
                <c:pt idx="0">
                  <c:v>2275.4094999999998</c:v>
                </c:pt>
                <c:pt idx="1">
                  <c:v>6160.2714400000004</c:v>
                </c:pt>
                <c:pt idx="2">
                  <c:v>9545.5318399999996</c:v>
                </c:pt>
                <c:pt idx="3">
                  <c:v>13025.588377</c:v>
                </c:pt>
                <c:pt idx="4">
                  <c:v>15845.871209999999</c:v>
                </c:pt>
                <c:pt idx="5">
                  <c:v>18075.074720000001</c:v>
                </c:pt>
                <c:pt idx="6">
                  <c:v>21007.451290000001</c:v>
                </c:pt>
                <c:pt idx="7">
                  <c:v>23090.465700000001</c:v>
                </c:pt>
                <c:pt idx="8">
                  <c:v>25096.047570000002</c:v>
                </c:pt>
                <c:pt idx="9">
                  <c:v>27713.684570000001</c:v>
                </c:pt>
                <c:pt idx="10">
                  <c:v>31591.204570000002</c:v>
                </c:pt>
                <c:pt idx="11">
                  <c:v>35541.202570000001</c:v>
                </c:pt>
                <c:pt idx="12">
                  <c:v>40447.873570000003</c:v>
                </c:pt>
                <c:pt idx="13">
                  <c:v>46760.374226</c:v>
                </c:pt>
                <c:pt idx="14">
                  <c:v>51974.249013626926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0-4426-AFB2-7CCE7AB1F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987727"/>
        <c:axId val="1931988207"/>
      </c:barChart>
      <c:catAx>
        <c:axId val="193198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1988207"/>
        <c:crosses val="autoZero"/>
        <c:auto val="1"/>
        <c:lblAlgn val="ctr"/>
        <c:lblOffset val="100"/>
        <c:noMultiLvlLbl val="0"/>
      </c:catAx>
      <c:valAx>
        <c:axId val="193198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19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'FC Aide k€ FC'!$R$11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A67-419C-B4F5-CA87C7514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A67-419C-B4F5-CA87C75149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A67-419C-B4F5-CA87C75149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A67-419C-B4F5-CA87C75149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A67-419C-B4F5-CA87C75149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A67-419C-B4F5-CA87C75149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A67-419C-B4F5-CA87C75149E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67-419C-B4F5-CA87C75149E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434-4A01-A9CE-6ACA96363E6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A67-419C-B4F5-CA87C75149E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A67-419C-B4F5-CA87C75149E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DA67-419C-B4F5-CA87C75149E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DA67-419C-B4F5-CA87C75149E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DA67-419C-B4F5-CA87C75149E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DA67-419C-B4F5-CA87C75149EA}"/>
                </c:ext>
              </c:extLst>
            </c:dLbl>
            <c:dLbl>
              <c:idx val="6"/>
              <c:layout>
                <c:manualLayout>
                  <c:x val="-0.21640488656195461"/>
                  <c:y val="6.93641618497109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A67-419C-B4F5-CA87C75149E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A67-419C-B4F5-CA87C75149EA}"/>
                </c:ext>
              </c:extLst>
            </c:dLbl>
            <c:dLbl>
              <c:idx val="8"/>
              <c:layout>
                <c:manualLayout>
                  <c:x val="9.0750436300174514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434-4A01-A9CE-6ACA96363E6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'FC Aide k€ FC'!$B$12:$B$20</c:f>
              <c:strCache>
                <c:ptCount val="9"/>
                <c:pt idx="0">
                  <c:v>Bois Hors BCIAT</c:v>
                </c:pt>
                <c:pt idx="1">
                  <c:v>BCIAT/BCIB</c:v>
                </c:pt>
                <c:pt idx="2">
                  <c:v>Géothermie et PAC</c:v>
                </c:pt>
                <c:pt idx="3">
                  <c:v>Biométhane</c:v>
                </c:pt>
                <c:pt idx="4">
                  <c:v>Solaire</c:v>
                </c:pt>
                <c:pt idx="5">
                  <c:v>Réseau de chaleur</c:v>
                </c:pt>
                <c:pt idx="6">
                  <c:v>Récup Chaleur Fatale</c:v>
                </c:pt>
                <c:pt idx="7">
                  <c:v>Froid EnR</c:v>
                </c:pt>
                <c:pt idx="8">
                  <c:v>Approv Bois </c:v>
                </c:pt>
              </c:strCache>
            </c:strRef>
          </c:cat>
          <c:val>
            <c:numRef>
              <c:f>'FC Aide k€ FC'!$R$12:$R$20</c:f>
              <c:numCache>
                <c:formatCode>_-* #\ ##0_-;\-* #\ ##0_-;_-* "-"??_-;_-@_-</c:formatCode>
                <c:ptCount val="9"/>
                <c:pt idx="0">
                  <c:v>763511.57068412553</c:v>
                </c:pt>
                <c:pt idx="1">
                  <c:v>652058.43822000001</c:v>
                </c:pt>
                <c:pt idx="2">
                  <c:v>340679.33950138395</c:v>
                </c:pt>
                <c:pt idx="3">
                  <c:v>278039.73927000002</c:v>
                </c:pt>
                <c:pt idx="4">
                  <c:v>139816.85061449066</c:v>
                </c:pt>
                <c:pt idx="5">
                  <c:v>1576459.2117499998</c:v>
                </c:pt>
                <c:pt idx="6">
                  <c:v>89699.432759999996</c:v>
                </c:pt>
                <c:pt idx="7">
                  <c:v>2734</c:v>
                </c:pt>
                <c:pt idx="8">
                  <c:v>42698.884970000006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A67-419C-B4F5-CA87C75149E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'FC Aide k€ FC'!$R$11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E4-47FD-862F-4761306964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E4-47FD-862F-4761306964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E4-47FD-862F-4761306964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E4-47FD-862F-4761306964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2E4-47FD-862F-4761306964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2E4-47FD-862F-4761306964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2E4-47FD-862F-4761306964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2E4-47FD-862F-4761306964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2E4-47FD-862F-476130696401}"/>
              </c:ext>
            </c:extLst>
          </c:dPt>
          <c:dPt>
            <c:idx val="9"/>
            <c:bubble3D val="0"/>
            <c:spPr>
              <a:solidFill>
                <a:srgbClr val="E2A2A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F45-4F23-85FF-FDA98069962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2E4-47FD-862F-47613069640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2E4-47FD-862F-47613069640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2E4-47FD-862F-47613069640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2E4-47FD-862F-47613069640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92E4-47FD-862F-47613069640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92E4-47FD-862F-476130696401}"/>
                </c:ext>
              </c:extLst>
            </c:dLbl>
            <c:dLbl>
              <c:idx val="6"/>
              <c:layout>
                <c:manualLayout>
                  <c:x val="-0.17966639307518478"/>
                  <c:y val="0.2715995711803629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2E4-47FD-862F-47613069640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2E4-47FD-862F-476130696401}"/>
                </c:ext>
              </c:extLst>
            </c:dLbl>
            <c:dLbl>
              <c:idx val="8"/>
              <c:layout>
                <c:manualLayout>
                  <c:x val="-0.19534378693573529"/>
                  <c:y val="0.1137318398580459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308257812405948"/>
                      <c:h val="0.189766293297844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92E4-47FD-862F-476130696401}"/>
                </c:ext>
              </c:extLst>
            </c:dLbl>
            <c:dLbl>
              <c:idx val="9"/>
              <c:layout>
                <c:manualLayout>
                  <c:x val="0.16889169247373204"/>
                  <c:y val="8.077926878858452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2A2A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9585168981099526"/>
                      <c:h val="0.140014343277512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AF45-4F23-85FF-FDA98069962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('FC Aide k€ FC'!$B$12:$B$20,'FC Aide k€ FC'!$B$23)</c:f>
              <c:strCache>
                <c:ptCount val="10"/>
                <c:pt idx="0">
                  <c:v>Bois Hors BCIAT</c:v>
                </c:pt>
                <c:pt idx="1">
                  <c:v>BCIAT/BCIB</c:v>
                </c:pt>
                <c:pt idx="2">
                  <c:v>Géothermie et PAC</c:v>
                </c:pt>
                <c:pt idx="3">
                  <c:v>Biométhane</c:v>
                </c:pt>
                <c:pt idx="4">
                  <c:v>Solaire</c:v>
                </c:pt>
                <c:pt idx="5">
                  <c:v>Réseau de chaleur</c:v>
                </c:pt>
                <c:pt idx="6">
                  <c:v>Récup Chaleur Fatale</c:v>
                </c:pt>
                <c:pt idx="7">
                  <c:v>Froid EnR</c:v>
                </c:pt>
                <c:pt idx="8">
                  <c:v>Approv Bois </c:v>
                </c:pt>
                <c:pt idx="9">
                  <c:v>Aide BCIAT BCIB FDI/FRANCE2023 CAPEX</c:v>
                </c:pt>
              </c:strCache>
            </c:strRef>
          </c:cat>
          <c:val>
            <c:numRef>
              <c:f>('FC Aide k€ FC'!$R$12:$R$20,'FC Aide k€ FC'!$R$23)</c:f>
              <c:numCache>
                <c:formatCode>_-* #\ ##0_-;\-* #\ ##0_-;_-* "-"??_-;_-@_-</c:formatCode>
                <c:ptCount val="10"/>
                <c:pt idx="0">
                  <c:v>763511.57068412553</c:v>
                </c:pt>
                <c:pt idx="1">
                  <c:v>652058.43822000001</c:v>
                </c:pt>
                <c:pt idx="2">
                  <c:v>340679.33950138395</c:v>
                </c:pt>
                <c:pt idx="3">
                  <c:v>278039.73927000002</c:v>
                </c:pt>
                <c:pt idx="4">
                  <c:v>139816.85061449066</c:v>
                </c:pt>
                <c:pt idx="5">
                  <c:v>1576459.2117499998</c:v>
                </c:pt>
                <c:pt idx="6">
                  <c:v>89699.432759999996</c:v>
                </c:pt>
                <c:pt idx="7">
                  <c:v>2734</c:v>
                </c:pt>
                <c:pt idx="8">
                  <c:v>42698.884970000006</c:v>
                </c:pt>
                <c:pt idx="9">
                  <c:v>471210.26699999999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2E4-47FD-862F-47613069640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'FC Aide k€ FC'!$P$11</c:f>
              <c:strCache>
                <c:ptCount val="1"/>
                <c:pt idx="0">
                  <c:v>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5D8-485E-B22F-5AC386AD17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5D8-485E-B22F-5AC386AD17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5D8-485E-B22F-5AC386AD17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D8-485E-B22F-5AC386AD17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5D8-485E-B22F-5AC386AD179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5D8-485E-B22F-5AC386AD179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1B5-4C5A-9230-07857486E09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1B5-4C5A-9230-07857486E09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48E-4A70-9751-C55250C975C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5D8-485E-B22F-5AC386AD179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5D8-485E-B22F-5AC386AD179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5D8-485E-B22F-5AC386AD179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5D8-485E-B22F-5AC386AD179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25D8-485E-B22F-5AC386AD179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25D8-485E-B22F-5AC386AD1791}"/>
                </c:ext>
              </c:extLst>
            </c:dLbl>
            <c:dLbl>
              <c:idx val="6"/>
              <c:layout>
                <c:manualLayout>
                  <c:x val="-3.7200195790504167E-2"/>
                  <c:y val="0.1351351351351351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1B5-4C5A-9230-07857486E098}"/>
                </c:ext>
              </c:extLst>
            </c:dLbl>
            <c:dLbl>
              <c:idx val="7"/>
              <c:layout>
                <c:manualLayout>
                  <c:x val="-0.1213901125795399"/>
                  <c:y val="-0.1531531531531531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1B5-4C5A-9230-07857486E09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B48E-4A70-9751-C55250C975C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'FC Aide k€ FC'!$B$12:$B$23</c15:sqref>
                  </c15:fullRef>
                </c:ext>
              </c:extLst>
              <c:f>('FC Aide k€ FC'!$B$12:$B$18,'FC Aide k€ FC'!$B$20,'FC Aide k€ FC'!$B$23)</c:f>
              <c:strCache>
                <c:ptCount val="9"/>
                <c:pt idx="0">
                  <c:v>Bois Hors BCIAT</c:v>
                </c:pt>
                <c:pt idx="1">
                  <c:v>BCIAT/BCIB</c:v>
                </c:pt>
                <c:pt idx="2">
                  <c:v>Géothermie et PAC</c:v>
                </c:pt>
                <c:pt idx="3">
                  <c:v>Biométhane</c:v>
                </c:pt>
                <c:pt idx="4">
                  <c:v>Solaire</c:v>
                </c:pt>
                <c:pt idx="5">
                  <c:v>Réseau de chaleur</c:v>
                </c:pt>
                <c:pt idx="6">
                  <c:v>Récup Chaleur Fatale</c:v>
                </c:pt>
                <c:pt idx="7">
                  <c:v>Approv Bois </c:v>
                </c:pt>
                <c:pt idx="8">
                  <c:v>Aide BCIAT BCIB FDI/FRANCE2023 CAPEX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'FC Aide k€ FC'!$P$12:$P$23</c15:sqref>
                  </c15:fullRef>
                </c:ext>
              </c:extLst>
              <c:f>('FC Aide k€ FC'!$P$12:$P$18,'FC Aide k€ FC'!$P$20,'FC Aide k€ FC'!$P$23)</c:f>
              <c:numCache>
                <c:formatCode>_-* #\ ##0_-;\-* #\ ##0_-;_-* "-"??_-;_-@_-</c:formatCode>
                <c:ptCount val="9"/>
                <c:pt idx="0">
                  <c:v>54710.487559999994</c:v>
                </c:pt>
                <c:pt idx="1">
                  <c:v>90843.479000000007</c:v>
                </c:pt>
                <c:pt idx="2">
                  <c:v>34169.6086</c:v>
                </c:pt>
                <c:pt idx="3">
                  <c:v>30990.111250000002</c:v>
                </c:pt>
                <c:pt idx="4">
                  <c:v>9993.2621799999997</c:v>
                </c:pt>
                <c:pt idx="5">
                  <c:v>220615.95671999999</c:v>
                </c:pt>
                <c:pt idx="6">
                  <c:v>19367.058059999999</c:v>
                </c:pt>
                <c:pt idx="7">
                  <c:v>2609.4072500000002</c:v>
                </c:pt>
                <c:pt idx="8">
                  <c:v>180827.93299999999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'FC Aide k€ FC'!$P$19</c15:sqref>
                  <c15:dLbl>
                    <c:idx val="6"/>
                    <c:layout>
                      <c:manualLayout>
                        <c:x val="-9.006363191385218E-2"/>
                        <c:y val="1.5015015015014906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2-32B9-48AE-8421-951462BF0B8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2-25D8-485E-B22F-5AC386AD179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Bilan FC 2009/2023 - aide à l'investissement k€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'FC Aide k€ FC'!$B$12</c:f>
              <c:strCache>
                <c:ptCount val="1"/>
                <c:pt idx="0">
                  <c:v>Bois Hors BCIAT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 Aide k€ FC'!$C$11:$Q$11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Aide k€ FC'!$C$12:$Q$12</c:f>
              <c:numCache>
                <c:formatCode>_-* #\ ##0_-;\-* #\ ##0_-;_-* "-"??_-;_-@_-</c:formatCode>
                <c:ptCount val="15"/>
                <c:pt idx="0">
                  <c:v>29417</c:v>
                </c:pt>
                <c:pt idx="1">
                  <c:v>49482</c:v>
                </c:pt>
                <c:pt idx="2">
                  <c:v>58093</c:v>
                </c:pt>
                <c:pt idx="3">
                  <c:v>57166.734670000005</c:v>
                </c:pt>
                <c:pt idx="4">
                  <c:v>51883.468029999989</c:v>
                </c:pt>
                <c:pt idx="5">
                  <c:v>36069</c:v>
                </c:pt>
                <c:pt idx="6">
                  <c:v>22572.5723</c:v>
                </c:pt>
                <c:pt idx="7">
                  <c:v>23085</c:v>
                </c:pt>
                <c:pt idx="8">
                  <c:v>37055</c:v>
                </c:pt>
                <c:pt idx="9">
                  <c:v>36389.5</c:v>
                </c:pt>
                <c:pt idx="10">
                  <c:v>31175.928</c:v>
                </c:pt>
                <c:pt idx="11">
                  <c:v>46238.600000000006</c:v>
                </c:pt>
                <c:pt idx="12">
                  <c:v>46198.9</c:v>
                </c:pt>
                <c:pt idx="13">
                  <c:v>54710.487559999994</c:v>
                </c:pt>
                <c:pt idx="14">
                  <c:v>183974.3801241254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B-4530-98E9-613AFF1A74AB}"/>
            </c:ext>
          </c:extLst>
        </c:ser>
        <c:ser>
          <c:idx val="1"/>
          <c:order val="1"/>
          <c:tx>
            <c:strRef>
              <c:f>'FC Aide k€ FC'!$B$13</c:f>
              <c:strCache>
                <c:ptCount val="1"/>
                <c:pt idx="0">
                  <c:v>BCIAT/BCIB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'FC Aide k€ FC'!$C$11:$Q$11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Aide k€ FC'!$C$13:$Q$13</c:f>
              <c:numCache>
                <c:formatCode>_-* #\ ##0_-;\-* #\ ##0_-;_-* "-"??_-;_-@_-</c:formatCode>
                <c:ptCount val="15"/>
                <c:pt idx="0">
                  <c:v>62783</c:v>
                </c:pt>
                <c:pt idx="1">
                  <c:v>91021.432229999991</c:v>
                </c:pt>
                <c:pt idx="2">
                  <c:v>38284</c:v>
                </c:pt>
                <c:pt idx="3">
                  <c:v>40503.417999999998</c:v>
                </c:pt>
                <c:pt idx="4">
                  <c:v>27125.606090000001</c:v>
                </c:pt>
                <c:pt idx="5">
                  <c:v>25817</c:v>
                </c:pt>
                <c:pt idx="6">
                  <c:v>47452.12</c:v>
                </c:pt>
                <c:pt idx="7">
                  <c:v>31192</c:v>
                </c:pt>
                <c:pt idx="8">
                  <c:v>7504</c:v>
                </c:pt>
                <c:pt idx="9">
                  <c:v>25316</c:v>
                </c:pt>
                <c:pt idx="10">
                  <c:v>34766</c:v>
                </c:pt>
                <c:pt idx="11">
                  <c:v>51040</c:v>
                </c:pt>
                <c:pt idx="12">
                  <c:v>40922</c:v>
                </c:pt>
                <c:pt idx="13">
                  <c:v>90843.479000000007</c:v>
                </c:pt>
                <c:pt idx="14">
                  <c:v>37488.382899999997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B-4530-98E9-613AFF1A74AB}"/>
            </c:ext>
          </c:extLst>
        </c:ser>
        <c:ser>
          <c:idx val="2"/>
          <c:order val="2"/>
          <c:tx>
            <c:strRef>
              <c:f>'FC Aide k€ FC'!$B$14</c:f>
              <c:strCache>
                <c:ptCount val="1"/>
                <c:pt idx="0">
                  <c:v>Géothermie et PAC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'FC Aide k€ FC'!$C$11:$Q$11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Aide k€ FC'!$C$14:$Q$14</c:f>
              <c:numCache>
                <c:formatCode>_-* #\ ##0_-;\-* #\ ##0_-;_-* "-"??_-;_-@_-</c:formatCode>
                <c:ptCount val="15"/>
                <c:pt idx="0">
                  <c:v>4275</c:v>
                </c:pt>
                <c:pt idx="1">
                  <c:v>20921</c:v>
                </c:pt>
                <c:pt idx="2">
                  <c:v>26103</c:v>
                </c:pt>
                <c:pt idx="3">
                  <c:v>14483.69371</c:v>
                </c:pt>
                <c:pt idx="4">
                  <c:v>9165.08007</c:v>
                </c:pt>
                <c:pt idx="5">
                  <c:v>11592</c:v>
                </c:pt>
                <c:pt idx="6">
                  <c:v>19712.675999999999</c:v>
                </c:pt>
                <c:pt idx="7">
                  <c:v>17268</c:v>
                </c:pt>
                <c:pt idx="8">
                  <c:v>17811.7</c:v>
                </c:pt>
                <c:pt idx="9">
                  <c:v>22502</c:v>
                </c:pt>
                <c:pt idx="10">
                  <c:v>29225</c:v>
                </c:pt>
                <c:pt idx="11">
                  <c:v>30730.6</c:v>
                </c:pt>
                <c:pt idx="12">
                  <c:v>23831.3</c:v>
                </c:pt>
                <c:pt idx="13">
                  <c:v>34169.6086</c:v>
                </c:pt>
                <c:pt idx="14">
                  <c:v>58888.681121383961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BB-4530-98E9-613AFF1A74AB}"/>
            </c:ext>
          </c:extLst>
        </c:ser>
        <c:ser>
          <c:idx val="3"/>
          <c:order val="3"/>
          <c:tx>
            <c:strRef>
              <c:f>'FC Aide k€ FC'!$B$15</c:f>
              <c:strCache>
                <c:ptCount val="1"/>
                <c:pt idx="0">
                  <c:v>Biométhane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'FC Aide k€ FC'!$C$11:$Q$11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Aide k€ FC'!$C$15:$Q$15</c:f>
              <c:numCache>
                <c:formatCode>_-* #\ ##0_-;\-* #\ ##0_-;_-* "-"??_-;_-@_-</c:formatCode>
                <c:ptCount val="15"/>
                <c:pt idx="0">
                  <c:v>361</c:v>
                </c:pt>
                <c:pt idx="1">
                  <c:v>538</c:v>
                </c:pt>
                <c:pt idx="2">
                  <c:v>1237</c:v>
                </c:pt>
                <c:pt idx="3">
                  <c:v>0</c:v>
                </c:pt>
                <c:pt idx="4">
                  <c:v>1648.8670199999999</c:v>
                </c:pt>
                <c:pt idx="5">
                  <c:v>3796</c:v>
                </c:pt>
                <c:pt idx="6">
                  <c:v>23562.952000000001</c:v>
                </c:pt>
                <c:pt idx="7">
                  <c:v>16659</c:v>
                </c:pt>
                <c:pt idx="8">
                  <c:v>18877</c:v>
                </c:pt>
                <c:pt idx="9">
                  <c:v>22498</c:v>
                </c:pt>
                <c:pt idx="10">
                  <c:v>55101</c:v>
                </c:pt>
                <c:pt idx="11">
                  <c:v>52521</c:v>
                </c:pt>
                <c:pt idx="12">
                  <c:v>41668</c:v>
                </c:pt>
                <c:pt idx="13">
                  <c:v>30990.111250000002</c:v>
                </c:pt>
                <c:pt idx="14">
                  <c:v>8581.8089999999993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BB-4530-98E9-613AFF1A74AB}"/>
            </c:ext>
          </c:extLst>
        </c:ser>
        <c:ser>
          <c:idx val="4"/>
          <c:order val="4"/>
          <c:tx>
            <c:strRef>
              <c:f>'FC Aide k€ FC'!$B$16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'FC Aide k€ FC'!$C$11:$Q$11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Aide k€ FC'!$C$16:$Q$16</c:f>
              <c:numCache>
                <c:formatCode>_-* #\ ##0_-;\-* #\ ##0_-;_-* "-"??_-;_-@_-</c:formatCode>
                <c:ptCount val="15"/>
                <c:pt idx="0">
                  <c:v>12672</c:v>
                </c:pt>
                <c:pt idx="1">
                  <c:v>19279</c:v>
                </c:pt>
                <c:pt idx="2">
                  <c:v>16323</c:v>
                </c:pt>
                <c:pt idx="3">
                  <c:v>10135</c:v>
                </c:pt>
                <c:pt idx="4">
                  <c:v>6132</c:v>
                </c:pt>
                <c:pt idx="5">
                  <c:v>5038</c:v>
                </c:pt>
                <c:pt idx="6">
                  <c:v>4090</c:v>
                </c:pt>
                <c:pt idx="7">
                  <c:v>2739</c:v>
                </c:pt>
                <c:pt idx="8">
                  <c:v>4547.33</c:v>
                </c:pt>
                <c:pt idx="9">
                  <c:v>5474.2</c:v>
                </c:pt>
                <c:pt idx="10">
                  <c:v>12661.056</c:v>
                </c:pt>
                <c:pt idx="11">
                  <c:v>4856.7</c:v>
                </c:pt>
                <c:pt idx="12">
                  <c:v>4049.7000000000003</c:v>
                </c:pt>
                <c:pt idx="13">
                  <c:v>9993.2621799999997</c:v>
                </c:pt>
                <c:pt idx="14">
                  <c:v>21826.602434490673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BB-4530-98E9-613AFF1A74AB}"/>
            </c:ext>
          </c:extLst>
        </c:ser>
        <c:ser>
          <c:idx val="5"/>
          <c:order val="5"/>
          <c:tx>
            <c:strRef>
              <c:f>'FC Aide k€ FC'!$B$17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'FC Aide k€ FC'!$C$11:$Q$11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Aide k€ FC'!$C$17:$Q$17</c:f>
              <c:numCache>
                <c:formatCode>_-* #\ ##0_-;\-* #\ ##0_-;_-* "-"??_-;_-@_-</c:formatCode>
                <c:ptCount val="15"/>
                <c:pt idx="0">
                  <c:v>45202</c:v>
                </c:pt>
                <c:pt idx="1">
                  <c:v>75769</c:v>
                </c:pt>
                <c:pt idx="2">
                  <c:v>90648</c:v>
                </c:pt>
                <c:pt idx="3">
                  <c:v>98466.389820000011</c:v>
                </c:pt>
                <c:pt idx="4">
                  <c:v>96043.420539999992</c:v>
                </c:pt>
                <c:pt idx="5">
                  <c:v>49809</c:v>
                </c:pt>
                <c:pt idx="6">
                  <c:v>50057.094199999992</c:v>
                </c:pt>
                <c:pt idx="7">
                  <c:v>79220</c:v>
                </c:pt>
                <c:pt idx="8">
                  <c:v>87876.4</c:v>
                </c:pt>
                <c:pt idx="9">
                  <c:v>118902.99</c:v>
                </c:pt>
                <c:pt idx="10">
                  <c:v>103070.178</c:v>
                </c:pt>
                <c:pt idx="11">
                  <c:v>127864</c:v>
                </c:pt>
                <c:pt idx="12">
                  <c:v>135406.20000000001</c:v>
                </c:pt>
                <c:pt idx="13">
                  <c:v>220615.95671999999</c:v>
                </c:pt>
                <c:pt idx="14">
                  <c:v>197508.58246999999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BB-4530-98E9-613AFF1A74AB}"/>
            </c:ext>
          </c:extLst>
        </c:ser>
        <c:ser>
          <c:idx val="6"/>
          <c:order val="6"/>
          <c:tx>
            <c:strRef>
              <c:f>'FC Aide k€ FC'!$B$18</c:f>
              <c:strCache>
                <c:ptCount val="1"/>
                <c:pt idx="0">
                  <c:v>Récup Chaleur Fatale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Aide k€ FC'!$C$11:$Q$11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Aide k€ FC'!$C$18:$Q$18</c:f>
              <c:numCache>
                <c:formatCode>_-* #\ ##0_-;\-* #\ ##0_-;_-* "-"??_-;_-@_-</c:formatCode>
                <c:ptCount val="15"/>
                <c:pt idx="2">
                  <c:v>2254</c:v>
                </c:pt>
                <c:pt idx="3">
                  <c:v>1957.3</c:v>
                </c:pt>
                <c:pt idx="4">
                  <c:v>1118.6120000000001</c:v>
                </c:pt>
                <c:pt idx="5">
                  <c:v>1090</c:v>
                </c:pt>
                <c:pt idx="6">
                  <c:v>6912.1104999999998</c:v>
                </c:pt>
                <c:pt idx="7">
                  <c:v>4110</c:v>
                </c:pt>
                <c:pt idx="8">
                  <c:v>5761</c:v>
                </c:pt>
                <c:pt idx="9">
                  <c:v>6610</c:v>
                </c:pt>
                <c:pt idx="10">
                  <c:v>6608</c:v>
                </c:pt>
                <c:pt idx="11">
                  <c:v>1238</c:v>
                </c:pt>
                <c:pt idx="12">
                  <c:v>7206</c:v>
                </c:pt>
                <c:pt idx="13">
                  <c:v>19367.058059999999</c:v>
                </c:pt>
                <c:pt idx="14">
                  <c:v>25467.352200000001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BB-4530-98E9-613AFF1A74AB}"/>
            </c:ext>
          </c:extLst>
        </c:ser>
        <c:ser>
          <c:idx val="8"/>
          <c:order val="8"/>
          <c:tx>
            <c:strRef>
              <c:f>'FC Aide k€ FC'!$B$20</c:f>
              <c:strCache>
                <c:ptCount val="1"/>
                <c:pt idx="0">
                  <c:v>Approv Bois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Aide k€ FC'!$C$11:$Q$11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Aide k€ FC'!$C$20:$Q$20</c:f>
              <c:numCache>
                <c:formatCode>_-* #\ ##0_-;\-* #\ ##0_-;_-* "-"??_-;_-@_-</c:formatCode>
                <c:ptCount val="15"/>
                <c:pt idx="0">
                  <c:v>5072</c:v>
                </c:pt>
                <c:pt idx="1">
                  <c:v>52</c:v>
                </c:pt>
                <c:pt idx="2">
                  <c:v>0</c:v>
                </c:pt>
                <c:pt idx="3">
                  <c:v>0</c:v>
                </c:pt>
                <c:pt idx="4">
                  <c:v>1816</c:v>
                </c:pt>
                <c:pt idx="5">
                  <c:v>1646</c:v>
                </c:pt>
                <c:pt idx="6">
                  <c:v>13067</c:v>
                </c:pt>
                <c:pt idx="7">
                  <c:v>8222</c:v>
                </c:pt>
                <c:pt idx="8">
                  <c:v>1165</c:v>
                </c:pt>
                <c:pt idx="9">
                  <c:v>644</c:v>
                </c:pt>
                <c:pt idx="10">
                  <c:v>2021</c:v>
                </c:pt>
                <c:pt idx="11">
                  <c:v>2393</c:v>
                </c:pt>
                <c:pt idx="12">
                  <c:v>1627</c:v>
                </c:pt>
                <c:pt idx="13">
                  <c:v>2609.4072500000002</c:v>
                </c:pt>
                <c:pt idx="14">
                  <c:v>2364.4777200000003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BB-4530-98E9-613AFF1A7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5348447"/>
        <c:axId val="174283696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'FC Aide k€ FC'!$B$19</c15:sqref>
                        </c15:formulaRef>
                      </c:ext>
                    </c:extLst>
                    <c:strCache>
                      <c:ptCount val="1"/>
                      <c:pt idx="0">
                        <c:v>Froid EnR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'FC Aide k€ FC'!$C$11:$Q$11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'FC Aide k€ FC'!$C$19:$Q$19</c15:sqref>
                        </c15:formulaRef>
                      </c:ext>
                    </c:extLst>
                    <c:numCache>
                      <c:formatCode>_-* #\ ##0_-;\-* #\ ##0_-;_-* "-"??_-;_-@_-</c:formatCode>
                      <c:ptCount val="15"/>
                      <c:pt idx="9">
                        <c:v>295</c:v>
                      </c:pt>
                      <c:pt idx="10">
                        <c:v>2332</c:v>
                      </c:pt>
                      <c:pt idx="11">
                        <c:v>107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EBB-4530-98E9-613AFF1A74AB}"/>
                  </c:ext>
                </c:extLst>
              </c15:ser>
            </c15:filteredBarSeries>
          </c:ext>
        </c:extLst>
      </c:barChart>
      <c:catAx>
        <c:axId val="12153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2836960"/>
        <c:crosses val="autoZero"/>
        <c:auto val="1"/>
        <c:lblAlgn val="ctr"/>
        <c:lblOffset val="100"/>
        <c:noMultiLvlLbl val="0"/>
      </c:catAx>
      <c:valAx>
        <c:axId val="17428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53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Bilan FC (+F2030 BCIAT</a:t>
            </a:r>
            <a:r>
              <a:rPr lang="fr-FR" sz="1100" baseline="0"/>
              <a:t> BCIB)</a:t>
            </a:r>
            <a:r>
              <a:rPr lang="fr-FR" sz="1100"/>
              <a:t> - aide à l'investissement k€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'FC Aide k€ FC'!$B$12</c:f>
              <c:strCache>
                <c:ptCount val="1"/>
                <c:pt idx="0">
                  <c:v>Bois Hors BCIAT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 Aide k€ FC'!$C$11:$Q$11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Aide k€ FC'!$C$12:$Q$12</c:f>
              <c:numCache>
                <c:formatCode>_-* #\ ##0_-;\-* #\ ##0_-;_-* "-"??_-;_-@_-</c:formatCode>
                <c:ptCount val="15"/>
                <c:pt idx="0">
                  <c:v>29417</c:v>
                </c:pt>
                <c:pt idx="1">
                  <c:v>49482</c:v>
                </c:pt>
                <c:pt idx="2">
                  <c:v>58093</c:v>
                </c:pt>
                <c:pt idx="3">
                  <c:v>57166.734670000005</c:v>
                </c:pt>
                <c:pt idx="4">
                  <c:v>51883.468029999989</c:v>
                </c:pt>
                <c:pt idx="5">
                  <c:v>36069</c:v>
                </c:pt>
                <c:pt idx="6">
                  <c:v>22572.5723</c:v>
                </c:pt>
                <c:pt idx="7">
                  <c:v>23085</c:v>
                </c:pt>
                <c:pt idx="8">
                  <c:v>37055</c:v>
                </c:pt>
                <c:pt idx="9">
                  <c:v>36389.5</c:v>
                </c:pt>
                <c:pt idx="10">
                  <c:v>31175.928</c:v>
                </c:pt>
                <c:pt idx="11">
                  <c:v>46238.600000000006</c:v>
                </c:pt>
                <c:pt idx="12">
                  <c:v>46198.9</c:v>
                </c:pt>
                <c:pt idx="13">
                  <c:v>54710.487559999994</c:v>
                </c:pt>
                <c:pt idx="14">
                  <c:v>183974.3801241254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C-44F7-9DC4-E6B698641745}"/>
            </c:ext>
          </c:extLst>
        </c:ser>
        <c:ser>
          <c:idx val="1"/>
          <c:order val="1"/>
          <c:tx>
            <c:strRef>
              <c:f>'FC Aide k€ FC'!$B$13</c:f>
              <c:strCache>
                <c:ptCount val="1"/>
                <c:pt idx="0">
                  <c:v>BCIAT/BCIB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'FC Aide k€ FC'!$C$11:$Q$11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Aide k€ FC'!$C$13:$Q$13</c:f>
              <c:numCache>
                <c:formatCode>_-* #\ ##0_-;\-* #\ ##0_-;_-* "-"??_-;_-@_-</c:formatCode>
                <c:ptCount val="15"/>
                <c:pt idx="0">
                  <c:v>62783</c:v>
                </c:pt>
                <c:pt idx="1">
                  <c:v>91021.432229999991</c:v>
                </c:pt>
                <c:pt idx="2">
                  <c:v>38284</c:v>
                </c:pt>
                <c:pt idx="3">
                  <c:v>40503.417999999998</c:v>
                </c:pt>
                <c:pt idx="4">
                  <c:v>27125.606090000001</c:v>
                </c:pt>
                <c:pt idx="5">
                  <c:v>25817</c:v>
                </c:pt>
                <c:pt idx="6">
                  <c:v>47452.12</c:v>
                </c:pt>
                <c:pt idx="7">
                  <c:v>31192</c:v>
                </c:pt>
                <c:pt idx="8">
                  <c:v>7504</c:v>
                </c:pt>
                <c:pt idx="9">
                  <c:v>25316</c:v>
                </c:pt>
                <c:pt idx="10">
                  <c:v>34766</c:v>
                </c:pt>
                <c:pt idx="11">
                  <c:v>51040</c:v>
                </c:pt>
                <c:pt idx="12">
                  <c:v>40922</c:v>
                </c:pt>
                <c:pt idx="13">
                  <c:v>90843.479000000007</c:v>
                </c:pt>
                <c:pt idx="14">
                  <c:v>37488.382899999997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C-44F7-9DC4-E6B698641745}"/>
            </c:ext>
          </c:extLst>
        </c:ser>
        <c:ser>
          <c:idx val="2"/>
          <c:order val="2"/>
          <c:tx>
            <c:strRef>
              <c:f>'FC Aide k€ FC'!$B$14</c:f>
              <c:strCache>
                <c:ptCount val="1"/>
                <c:pt idx="0">
                  <c:v>Géothermie et PAC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'FC Aide k€ FC'!$C$11:$Q$11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Aide k€ FC'!$C$14:$Q$14</c:f>
              <c:numCache>
                <c:formatCode>_-* #\ ##0_-;\-* #\ ##0_-;_-* "-"??_-;_-@_-</c:formatCode>
                <c:ptCount val="15"/>
                <c:pt idx="0">
                  <c:v>4275</c:v>
                </c:pt>
                <c:pt idx="1">
                  <c:v>20921</c:v>
                </c:pt>
                <c:pt idx="2">
                  <c:v>26103</c:v>
                </c:pt>
                <c:pt idx="3">
                  <c:v>14483.69371</c:v>
                </c:pt>
                <c:pt idx="4">
                  <c:v>9165.08007</c:v>
                </c:pt>
                <c:pt idx="5">
                  <c:v>11592</c:v>
                </c:pt>
                <c:pt idx="6">
                  <c:v>19712.675999999999</c:v>
                </c:pt>
                <c:pt idx="7">
                  <c:v>17268</c:v>
                </c:pt>
                <c:pt idx="8">
                  <c:v>17811.7</c:v>
                </c:pt>
                <c:pt idx="9">
                  <c:v>22502</c:v>
                </c:pt>
                <c:pt idx="10">
                  <c:v>29225</c:v>
                </c:pt>
                <c:pt idx="11">
                  <c:v>30730.6</c:v>
                </c:pt>
                <c:pt idx="12">
                  <c:v>23831.3</c:v>
                </c:pt>
                <c:pt idx="13">
                  <c:v>34169.6086</c:v>
                </c:pt>
                <c:pt idx="14">
                  <c:v>58888.681121383961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4C-44F7-9DC4-E6B698641745}"/>
            </c:ext>
          </c:extLst>
        </c:ser>
        <c:ser>
          <c:idx val="3"/>
          <c:order val="3"/>
          <c:tx>
            <c:strRef>
              <c:f>'FC Aide k€ FC'!$B$15</c:f>
              <c:strCache>
                <c:ptCount val="1"/>
                <c:pt idx="0">
                  <c:v>Biométhane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'FC Aide k€ FC'!$C$11:$Q$11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Aide k€ FC'!$C$15:$Q$15</c:f>
              <c:numCache>
                <c:formatCode>_-* #\ ##0_-;\-* #\ ##0_-;_-* "-"??_-;_-@_-</c:formatCode>
                <c:ptCount val="15"/>
                <c:pt idx="0">
                  <c:v>361</c:v>
                </c:pt>
                <c:pt idx="1">
                  <c:v>538</c:v>
                </c:pt>
                <c:pt idx="2">
                  <c:v>1237</c:v>
                </c:pt>
                <c:pt idx="3">
                  <c:v>0</c:v>
                </c:pt>
                <c:pt idx="4">
                  <c:v>1648.8670199999999</c:v>
                </c:pt>
                <c:pt idx="5">
                  <c:v>3796</c:v>
                </c:pt>
                <c:pt idx="6">
                  <c:v>23562.952000000001</c:v>
                </c:pt>
                <c:pt idx="7">
                  <c:v>16659</c:v>
                </c:pt>
                <c:pt idx="8">
                  <c:v>18877</c:v>
                </c:pt>
                <c:pt idx="9">
                  <c:v>22498</c:v>
                </c:pt>
                <c:pt idx="10">
                  <c:v>55101</c:v>
                </c:pt>
                <c:pt idx="11">
                  <c:v>52521</c:v>
                </c:pt>
                <c:pt idx="12">
                  <c:v>41668</c:v>
                </c:pt>
                <c:pt idx="13">
                  <c:v>30990.111250000002</c:v>
                </c:pt>
                <c:pt idx="14">
                  <c:v>8581.8089999999993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4C-44F7-9DC4-E6B698641745}"/>
            </c:ext>
          </c:extLst>
        </c:ser>
        <c:ser>
          <c:idx val="4"/>
          <c:order val="4"/>
          <c:tx>
            <c:strRef>
              <c:f>'FC Aide k€ FC'!$B$16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'FC Aide k€ FC'!$C$11:$Q$11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Aide k€ FC'!$C$16:$Q$16</c:f>
              <c:numCache>
                <c:formatCode>_-* #\ ##0_-;\-* #\ ##0_-;_-* "-"??_-;_-@_-</c:formatCode>
                <c:ptCount val="15"/>
                <c:pt idx="0">
                  <c:v>12672</c:v>
                </c:pt>
                <c:pt idx="1">
                  <c:v>19279</c:v>
                </c:pt>
                <c:pt idx="2">
                  <c:v>16323</c:v>
                </c:pt>
                <c:pt idx="3">
                  <c:v>10135</c:v>
                </c:pt>
                <c:pt idx="4">
                  <c:v>6132</c:v>
                </c:pt>
                <c:pt idx="5">
                  <c:v>5038</c:v>
                </c:pt>
                <c:pt idx="6">
                  <c:v>4090</c:v>
                </c:pt>
                <c:pt idx="7">
                  <c:v>2739</c:v>
                </c:pt>
                <c:pt idx="8">
                  <c:v>4547.33</c:v>
                </c:pt>
                <c:pt idx="9">
                  <c:v>5474.2</c:v>
                </c:pt>
                <c:pt idx="10">
                  <c:v>12661.056</c:v>
                </c:pt>
                <c:pt idx="11">
                  <c:v>4856.7</c:v>
                </c:pt>
                <c:pt idx="12">
                  <c:v>4049.7000000000003</c:v>
                </c:pt>
                <c:pt idx="13">
                  <c:v>9993.2621799999997</c:v>
                </c:pt>
                <c:pt idx="14">
                  <c:v>21826.602434490673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4C-44F7-9DC4-E6B698641745}"/>
            </c:ext>
          </c:extLst>
        </c:ser>
        <c:ser>
          <c:idx val="5"/>
          <c:order val="5"/>
          <c:tx>
            <c:strRef>
              <c:f>'FC Aide k€ FC'!$B$17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'FC Aide k€ FC'!$C$11:$Q$11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Aide k€ FC'!$C$17:$Q$17</c:f>
              <c:numCache>
                <c:formatCode>_-* #\ ##0_-;\-* #\ ##0_-;_-* "-"??_-;_-@_-</c:formatCode>
                <c:ptCount val="15"/>
                <c:pt idx="0">
                  <c:v>45202</c:v>
                </c:pt>
                <c:pt idx="1">
                  <c:v>75769</c:v>
                </c:pt>
                <c:pt idx="2">
                  <c:v>90648</c:v>
                </c:pt>
                <c:pt idx="3">
                  <c:v>98466.389820000011</c:v>
                </c:pt>
                <c:pt idx="4">
                  <c:v>96043.420539999992</c:v>
                </c:pt>
                <c:pt idx="5">
                  <c:v>49809</c:v>
                </c:pt>
                <c:pt idx="6">
                  <c:v>50057.094199999992</c:v>
                </c:pt>
                <c:pt idx="7">
                  <c:v>79220</c:v>
                </c:pt>
                <c:pt idx="8">
                  <c:v>87876.4</c:v>
                </c:pt>
                <c:pt idx="9">
                  <c:v>118902.99</c:v>
                </c:pt>
                <c:pt idx="10">
                  <c:v>103070.178</c:v>
                </c:pt>
                <c:pt idx="11">
                  <c:v>127864</c:v>
                </c:pt>
                <c:pt idx="12">
                  <c:v>135406.20000000001</c:v>
                </c:pt>
                <c:pt idx="13">
                  <c:v>220615.95671999999</c:v>
                </c:pt>
                <c:pt idx="14">
                  <c:v>197508.58246999999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4C-44F7-9DC4-E6B698641745}"/>
            </c:ext>
          </c:extLst>
        </c:ser>
        <c:ser>
          <c:idx val="6"/>
          <c:order val="6"/>
          <c:tx>
            <c:strRef>
              <c:f>'FC Aide k€ FC'!$B$18</c:f>
              <c:strCache>
                <c:ptCount val="1"/>
                <c:pt idx="0">
                  <c:v>Récup Chaleur Fatale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Aide k€ FC'!$C$11:$Q$11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Aide k€ FC'!$C$18:$Q$18</c:f>
              <c:numCache>
                <c:formatCode>_-* #\ ##0_-;\-* #\ ##0_-;_-* "-"??_-;_-@_-</c:formatCode>
                <c:ptCount val="15"/>
                <c:pt idx="2">
                  <c:v>2254</c:v>
                </c:pt>
                <c:pt idx="3">
                  <c:v>1957.3</c:v>
                </c:pt>
                <c:pt idx="4">
                  <c:v>1118.6120000000001</c:v>
                </c:pt>
                <c:pt idx="5">
                  <c:v>1090</c:v>
                </c:pt>
                <c:pt idx="6">
                  <c:v>6912.1104999999998</c:v>
                </c:pt>
                <c:pt idx="7">
                  <c:v>4110</c:v>
                </c:pt>
                <c:pt idx="8">
                  <c:v>5761</c:v>
                </c:pt>
                <c:pt idx="9">
                  <c:v>6610</c:v>
                </c:pt>
                <c:pt idx="10">
                  <c:v>6608</c:v>
                </c:pt>
                <c:pt idx="11">
                  <c:v>1238</c:v>
                </c:pt>
                <c:pt idx="12">
                  <c:v>7206</c:v>
                </c:pt>
                <c:pt idx="13">
                  <c:v>19367.058059999999</c:v>
                </c:pt>
                <c:pt idx="14">
                  <c:v>25467.352200000001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4C-44F7-9DC4-E6B698641745}"/>
            </c:ext>
          </c:extLst>
        </c:ser>
        <c:ser>
          <c:idx val="8"/>
          <c:order val="8"/>
          <c:tx>
            <c:strRef>
              <c:f>'FC Aide k€ FC'!$B$20</c:f>
              <c:strCache>
                <c:ptCount val="1"/>
                <c:pt idx="0">
                  <c:v>Approv Bois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Aide k€ FC'!$C$11:$Q$11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Aide k€ FC'!$C$20:$Q$20</c:f>
              <c:numCache>
                <c:formatCode>_-* #\ ##0_-;\-* #\ ##0_-;_-* "-"??_-;_-@_-</c:formatCode>
                <c:ptCount val="15"/>
                <c:pt idx="0">
                  <c:v>5072</c:v>
                </c:pt>
                <c:pt idx="1">
                  <c:v>52</c:v>
                </c:pt>
                <c:pt idx="2">
                  <c:v>0</c:v>
                </c:pt>
                <c:pt idx="3">
                  <c:v>0</c:v>
                </c:pt>
                <c:pt idx="4">
                  <c:v>1816</c:v>
                </c:pt>
                <c:pt idx="5">
                  <c:v>1646</c:v>
                </c:pt>
                <c:pt idx="6">
                  <c:v>13067</c:v>
                </c:pt>
                <c:pt idx="7">
                  <c:v>8222</c:v>
                </c:pt>
                <c:pt idx="8">
                  <c:v>1165</c:v>
                </c:pt>
                <c:pt idx="9">
                  <c:v>644</c:v>
                </c:pt>
                <c:pt idx="10">
                  <c:v>2021</c:v>
                </c:pt>
                <c:pt idx="11">
                  <c:v>2393</c:v>
                </c:pt>
                <c:pt idx="12">
                  <c:v>1627</c:v>
                </c:pt>
                <c:pt idx="13">
                  <c:v>2609.4072500000002</c:v>
                </c:pt>
                <c:pt idx="14">
                  <c:v>2364.4777200000003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4C-44F7-9DC4-E6B698641745}"/>
            </c:ext>
          </c:extLst>
        </c:ser>
        <c:ser>
          <c:idx val="10"/>
          <c:order val="9"/>
          <c:tx>
            <c:strRef>
              <c:f>'FC Aide k€ FC'!$B$22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Aide k€ FC'!$C$11:$Q$11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Aide k€ FC'!$C$22:$Q$22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A-8F4C-44F7-9DC4-E6B698641745}"/>
            </c:ext>
          </c:extLst>
        </c:ser>
        <c:ser>
          <c:idx val="11"/>
          <c:order val="10"/>
          <c:tx>
            <c:strRef>
              <c:f>'FC Aide k€ FC'!$B$23</c:f>
              <c:strCache>
                <c:ptCount val="1"/>
                <c:pt idx="0">
                  <c:v>Aide BCIAT BCIB FDI/FRANCE2023 CAPEX</c:v>
                </c:pt>
              </c:strCache>
            </c:strRef>
          </c:tx>
          <c:spPr>
            <a:solidFill>
              <a:srgbClr val="E2A2A2"/>
            </a:solidFill>
            <a:ln>
              <a:noFill/>
            </a:ln>
            <a:effectLst/>
          </c:spPr>
          <c:invertIfNegative val="0"/>
          <c:cat>
            <c:numRef>
              <c:f>'FC Aide k€ FC'!$C$11:$Q$11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Aide k€ FC'!$C$23:$Q$23</c:f>
              <c:numCache>
                <c:formatCode>General</c:formatCode>
                <c:ptCount val="15"/>
                <c:pt idx="12" formatCode="_-* #\ ##0_-;\-* #\ ##0_-;_-* &quot;-&quot;??_-;_-@_-">
                  <c:v>86952.517000000007</c:v>
                </c:pt>
                <c:pt idx="13" formatCode="_-* #\ ##0_-;\-* #\ ##0_-;_-* &quot;-&quot;??_-;_-@_-">
                  <c:v>180827.93299999999</c:v>
                </c:pt>
                <c:pt idx="14" formatCode="_-* #\ ##0_-;\-* #\ ##0_-;_-* &quot;-&quot;??_-;_-@_-">
                  <c:v>203429.81700000001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F4C-44F7-9DC4-E6B698641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5348447"/>
        <c:axId val="174283696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'FC Aide k€ FC'!$B$19</c15:sqref>
                        </c15:formulaRef>
                      </c:ext>
                    </c:extLst>
                    <c:strCache>
                      <c:ptCount val="1"/>
                      <c:pt idx="0">
                        <c:v>Froid EnR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'FC Aide k€ FC'!$C$11:$Q$11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'FC Aide k€ FC'!$C$19:$Q$19</c15:sqref>
                        </c15:formulaRef>
                      </c:ext>
                    </c:extLst>
                    <c:numCache>
                      <c:formatCode>_-* #\ ##0_-;\-* #\ ##0_-;_-* "-"??_-;_-@_-</c:formatCode>
                      <c:ptCount val="15"/>
                      <c:pt idx="9">
                        <c:v>295</c:v>
                      </c:pt>
                      <c:pt idx="10">
                        <c:v>2332</c:v>
                      </c:pt>
                      <c:pt idx="11">
                        <c:v>107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F4C-44F7-9DC4-E6B698641745}"/>
                  </c:ext>
                </c:extLst>
              </c15:ser>
            </c15:filteredBarSeries>
          </c:ext>
        </c:extLst>
      </c:barChart>
      <c:catAx>
        <c:axId val="12153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2836960"/>
        <c:crosses val="autoZero"/>
        <c:auto val="1"/>
        <c:lblAlgn val="ctr"/>
        <c:lblOffset val="100"/>
        <c:noMultiLvlLbl val="0"/>
      </c:catAx>
      <c:valAx>
        <c:axId val="17428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53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Bilan</a:t>
            </a:r>
            <a:r>
              <a:rPr lang="fr-FR" sz="1100" baseline="0"/>
              <a:t> Fonds Chaleur - Aide à l'investissement k€</a:t>
            </a:r>
            <a:endParaRPr lang="fr-F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'FC 2009-2022 Aide k€'!$B$13</c:f>
              <c:strCache>
                <c:ptCount val="1"/>
                <c:pt idx="0">
                  <c:v>Bois Hors BCIAT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 2009-2022 Aide k€'!$C$12:$P$12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Aide k€'!$C$13:$P$13</c:f>
              <c:numCache>
                <c:formatCode>_-* #\ ##0_-;\-* #\ ##0_-;_-* "-"??_-;_-@_-</c:formatCode>
                <c:ptCount val="14"/>
                <c:pt idx="0">
                  <c:v>29417</c:v>
                </c:pt>
                <c:pt idx="1">
                  <c:v>49482</c:v>
                </c:pt>
                <c:pt idx="2">
                  <c:v>58093</c:v>
                </c:pt>
                <c:pt idx="3">
                  <c:v>57166.734670000005</c:v>
                </c:pt>
                <c:pt idx="4">
                  <c:v>51883.468029999989</c:v>
                </c:pt>
                <c:pt idx="5">
                  <c:v>36069</c:v>
                </c:pt>
                <c:pt idx="6">
                  <c:v>22572.5723</c:v>
                </c:pt>
                <c:pt idx="7">
                  <c:v>23085</c:v>
                </c:pt>
                <c:pt idx="8">
                  <c:v>37055</c:v>
                </c:pt>
                <c:pt idx="9">
                  <c:v>36389.5</c:v>
                </c:pt>
                <c:pt idx="10">
                  <c:v>31175.928</c:v>
                </c:pt>
                <c:pt idx="11">
                  <c:v>46238.600000000006</c:v>
                </c:pt>
                <c:pt idx="12">
                  <c:v>46198.9</c:v>
                </c:pt>
                <c:pt idx="13">
                  <c:v>54710.487559999994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A-4847-B4C9-9FD86C213D39}"/>
            </c:ext>
          </c:extLst>
        </c:ser>
        <c:ser>
          <c:idx val="1"/>
          <c:order val="1"/>
          <c:tx>
            <c:strRef>
              <c:f>'FC 2009-2022 Aide k€'!$B$14</c:f>
              <c:strCache>
                <c:ptCount val="1"/>
                <c:pt idx="0">
                  <c:v>BCIAT/BCIB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'FC 2009-2022 Aide k€'!$C$12:$P$12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Aide k€'!$C$14:$P$14</c:f>
              <c:numCache>
                <c:formatCode>_-* #\ ##0_-;\-* #\ ##0_-;_-* "-"??_-;_-@_-</c:formatCode>
                <c:ptCount val="14"/>
                <c:pt idx="0">
                  <c:v>62783</c:v>
                </c:pt>
                <c:pt idx="1">
                  <c:v>91021.432229999991</c:v>
                </c:pt>
                <c:pt idx="2">
                  <c:v>38284</c:v>
                </c:pt>
                <c:pt idx="3">
                  <c:v>40503.417999999998</c:v>
                </c:pt>
                <c:pt idx="4">
                  <c:v>27125.606090000001</c:v>
                </c:pt>
                <c:pt idx="5">
                  <c:v>25817</c:v>
                </c:pt>
                <c:pt idx="6">
                  <c:v>47452.12</c:v>
                </c:pt>
                <c:pt idx="7">
                  <c:v>31192</c:v>
                </c:pt>
                <c:pt idx="8">
                  <c:v>7504</c:v>
                </c:pt>
                <c:pt idx="9">
                  <c:v>25316</c:v>
                </c:pt>
                <c:pt idx="10">
                  <c:v>34766</c:v>
                </c:pt>
                <c:pt idx="11">
                  <c:v>51040</c:v>
                </c:pt>
                <c:pt idx="12">
                  <c:v>40922</c:v>
                </c:pt>
                <c:pt idx="13">
                  <c:v>90843.479000000007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A-4847-B4C9-9FD86C213D39}"/>
            </c:ext>
          </c:extLst>
        </c:ser>
        <c:ser>
          <c:idx val="2"/>
          <c:order val="2"/>
          <c:tx>
            <c:strRef>
              <c:f>'FC 2009-2022 Aide k€'!$B$15</c:f>
              <c:strCache>
                <c:ptCount val="1"/>
                <c:pt idx="0">
                  <c:v>Géothermie et PAC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'FC 2009-2022 Aide k€'!$C$12:$P$12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Aide k€'!$C$15:$P$15</c:f>
              <c:numCache>
                <c:formatCode>_-* #\ ##0_-;\-* #\ ##0_-;_-* "-"??_-;_-@_-</c:formatCode>
                <c:ptCount val="14"/>
                <c:pt idx="0">
                  <c:v>4275</c:v>
                </c:pt>
                <c:pt idx="1">
                  <c:v>20921</c:v>
                </c:pt>
                <c:pt idx="2">
                  <c:v>26103</c:v>
                </c:pt>
                <c:pt idx="3">
                  <c:v>14483.69371</c:v>
                </c:pt>
                <c:pt idx="4">
                  <c:v>9165.08007</c:v>
                </c:pt>
                <c:pt idx="5">
                  <c:v>11592</c:v>
                </c:pt>
                <c:pt idx="6">
                  <c:v>19712.675999999999</c:v>
                </c:pt>
                <c:pt idx="7">
                  <c:v>17268</c:v>
                </c:pt>
                <c:pt idx="8">
                  <c:v>17811.7</c:v>
                </c:pt>
                <c:pt idx="9">
                  <c:v>22502</c:v>
                </c:pt>
                <c:pt idx="10">
                  <c:v>29225</c:v>
                </c:pt>
                <c:pt idx="11">
                  <c:v>30730.6</c:v>
                </c:pt>
                <c:pt idx="12">
                  <c:v>23831.3</c:v>
                </c:pt>
                <c:pt idx="13">
                  <c:v>34169.6086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9A-4847-B4C9-9FD86C213D39}"/>
            </c:ext>
          </c:extLst>
        </c:ser>
        <c:ser>
          <c:idx val="3"/>
          <c:order val="3"/>
          <c:tx>
            <c:strRef>
              <c:f>'FC 2009-2022 Aide k€'!$B$16</c:f>
              <c:strCache>
                <c:ptCount val="1"/>
                <c:pt idx="0">
                  <c:v>Biométhane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'FC 2009-2022 Aide k€'!$C$12:$P$12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Aide k€'!$C$16:$P$16</c:f>
              <c:numCache>
                <c:formatCode>_-* #\ ##0_-;\-* #\ ##0_-;_-* "-"??_-;_-@_-</c:formatCode>
                <c:ptCount val="14"/>
                <c:pt idx="0">
                  <c:v>361</c:v>
                </c:pt>
                <c:pt idx="1">
                  <c:v>538</c:v>
                </c:pt>
                <c:pt idx="2">
                  <c:v>1237</c:v>
                </c:pt>
                <c:pt idx="3">
                  <c:v>0</c:v>
                </c:pt>
                <c:pt idx="4">
                  <c:v>1648.8670199999999</c:v>
                </c:pt>
                <c:pt idx="5">
                  <c:v>3796</c:v>
                </c:pt>
                <c:pt idx="6">
                  <c:v>23562.952000000001</c:v>
                </c:pt>
                <c:pt idx="7">
                  <c:v>16659</c:v>
                </c:pt>
                <c:pt idx="8">
                  <c:v>18877</c:v>
                </c:pt>
                <c:pt idx="9">
                  <c:v>22498</c:v>
                </c:pt>
                <c:pt idx="10">
                  <c:v>55101</c:v>
                </c:pt>
                <c:pt idx="11">
                  <c:v>52521</c:v>
                </c:pt>
                <c:pt idx="12">
                  <c:v>41668</c:v>
                </c:pt>
                <c:pt idx="13">
                  <c:v>30990.111250000002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9A-4847-B4C9-9FD86C213D39}"/>
            </c:ext>
          </c:extLst>
        </c:ser>
        <c:ser>
          <c:idx val="4"/>
          <c:order val="4"/>
          <c:tx>
            <c:strRef>
              <c:f>'FC 2009-2022 Aide k€'!$B$17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'FC 2009-2022 Aide k€'!$C$12:$P$12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Aide k€'!$C$17:$P$17</c:f>
              <c:numCache>
                <c:formatCode>_-* #\ ##0_-;\-* #\ ##0_-;_-* "-"??_-;_-@_-</c:formatCode>
                <c:ptCount val="14"/>
                <c:pt idx="0">
                  <c:v>12672</c:v>
                </c:pt>
                <c:pt idx="1">
                  <c:v>19279</c:v>
                </c:pt>
                <c:pt idx="2">
                  <c:v>16323</c:v>
                </c:pt>
                <c:pt idx="3">
                  <c:v>10135</c:v>
                </c:pt>
                <c:pt idx="4">
                  <c:v>6132</c:v>
                </c:pt>
                <c:pt idx="5">
                  <c:v>5038</c:v>
                </c:pt>
                <c:pt idx="6">
                  <c:v>4090</c:v>
                </c:pt>
                <c:pt idx="7">
                  <c:v>2739</c:v>
                </c:pt>
                <c:pt idx="8">
                  <c:v>4547.33</c:v>
                </c:pt>
                <c:pt idx="9">
                  <c:v>5474.2</c:v>
                </c:pt>
                <c:pt idx="10">
                  <c:v>12661.056</c:v>
                </c:pt>
                <c:pt idx="11">
                  <c:v>4856.7</c:v>
                </c:pt>
                <c:pt idx="12">
                  <c:v>4049.7000000000003</c:v>
                </c:pt>
                <c:pt idx="13">
                  <c:v>9993.2621799999997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9A-4847-B4C9-9FD86C213D39}"/>
            </c:ext>
          </c:extLst>
        </c:ser>
        <c:ser>
          <c:idx val="5"/>
          <c:order val="5"/>
          <c:tx>
            <c:strRef>
              <c:f>'FC 2009-2022 Aide k€'!$B$18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'FC 2009-2022 Aide k€'!$C$12:$P$12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Aide k€'!$C$18:$P$18</c:f>
              <c:numCache>
                <c:formatCode>_-* #\ ##0_-;\-* #\ ##0_-;_-* "-"??_-;_-@_-</c:formatCode>
                <c:ptCount val="14"/>
                <c:pt idx="0">
                  <c:v>45202</c:v>
                </c:pt>
                <c:pt idx="1">
                  <c:v>75769</c:v>
                </c:pt>
                <c:pt idx="2">
                  <c:v>90648</c:v>
                </c:pt>
                <c:pt idx="3">
                  <c:v>98466.389820000011</c:v>
                </c:pt>
                <c:pt idx="4">
                  <c:v>96043.420539999992</c:v>
                </c:pt>
                <c:pt idx="5">
                  <c:v>49809</c:v>
                </c:pt>
                <c:pt idx="6">
                  <c:v>50057.094199999992</c:v>
                </c:pt>
                <c:pt idx="7">
                  <c:v>79220</c:v>
                </c:pt>
                <c:pt idx="8">
                  <c:v>87876.4</c:v>
                </c:pt>
                <c:pt idx="9">
                  <c:v>118902.99</c:v>
                </c:pt>
                <c:pt idx="10">
                  <c:v>103070.178</c:v>
                </c:pt>
                <c:pt idx="11">
                  <c:v>127864</c:v>
                </c:pt>
                <c:pt idx="12">
                  <c:v>135406.20000000001</c:v>
                </c:pt>
                <c:pt idx="13">
                  <c:v>220615.95671999999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9A-4847-B4C9-9FD86C213D39}"/>
            </c:ext>
          </c:extLst>
        </c:ser>
        <c:ser>
          <c:idx val="6"/>
          <c:order val="6"/>
          <c:tx>
            <c:strRef>
              <c:f>'FC 2009-2022 Aide k€'!$B$19</c:f>
              <c:strCache>
                <c:ptCount val="1"/>
                <c:pt idx="0">
                  <c:v>Récup Chaleur Fatale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2009-2022 Aide k€'!$C$12:$P$12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Aide k€'!$C$19:$P$19</c:f>
              <c:numCache>
                <c:formatCode>_-* #\ ##0_-;\-* #\ ##0_-;_-* "-"??_-;_-@_-</c:formatCode>
                <c:ptCount val="14"/>
                <c:pt idx="2">
                  <c:v>2254</c:v>
                </c:pt>
                <c:pt idx="3">
                  <c:v>1957.3</c:v>
                </c:pt>
                <c:pt idx="4">
                  <c:v>1118.6120000000001</c:v>
                </c:pt>
                <c:pt idx="5">
                  <c:v>1090</c:v>
                </c:pt>
                <c:pt idx="6">
                  <c:v>6912.1104999999998</c:v>
                </c:pt>
                <c:pt idx="7">
                  <c:v>4110</c:v>
                </c:pt>
                <c:pt idx="8">
                  <c:v>5761</c:v>
                </c:pt>
                <c:pt idx="9">
                  <c:v>6610</c:v>
                </c:pt>
                <c:pt idx="10">
                  <c:v>6608</c:v>
                </c:pt>
                <c:pt idx="11">
                  <c:v>1238</c:v>
                </c:pt>
                <c:pt idx="12">
                  <c:v>7206</c:v>
                </c:pt>
                <c:pt idx="13">
                  <c:v>19367.058059999999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9A-4847-B4C9-9FD86C213D39}"/>
            </c:ext>
          </c:extLst>
        </c:ser>
        <c:ser>
          <c:idx val="7"/>
          <c:order val="7"/>
          <c:tx>
            <c:strRef>
              <c:f>'FC 2009-2022 Aide k€'!$B$20</c:f>
              <c:strCache>
                <c:ptCount val="1"/>
                <c:pt idx="0">
                  <c:v>Froid EnR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2009-2022 Aide k€'!$C$12:$P$12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Aide k€'!$C$20:$P$20</c:f>
              <c:numCache>
                <c:formatCode>_-* #\ ##0_-;\-* #\ ##0_-;_-* "-"??_-;_-@_-</c:formatCode>
                <c:ptCount val="14"/>
                <c:pt idx="9">
                  <c:v>295</c:v>
                </c:pt>
                <c:pt idx="10">
                  <c:v>2332</c:v>
                </c:pt>
                <c:pt idx="11">
                  <c:v>107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9A-4847-B4C9-9FD86C213D39}"/>
            </c:ext>
          </c:extLst>
        </c:ser>
        <c:ser>
          <c:idx val="8"/>
          <c:order val="8"/>
          <c:tx>
            <c:strRef>
              <c:f>'FC 2009-2022 Aide k€'!$B$21</c:f>
              <c:strCache>
                <c:ptCount val="1"/>
                <c:pt idx="0">
                  <c:v>Approv Bois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2009-2022 Aide k€'!$C$12:$P$12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Aide k€'!$C$21:$P$21</c:f>
              <c:numCache>
                <c:formatCode>_-* #\ ##0_-;\-* #\ ##0_-;_-* "-"??_-;_-@_-</c:formatCode>
                <c:ptCount val="14"/>
                <c:pt idx="0">
                  <c:v>5072</c:v>
                </c:pt>
                <c:pt idx="1">
                  <c:v>52</c:v>
                </c:pt>
                <c:pt idx="2">
                  <c:v>0</c:v>
                </c:pt>
                <c:pt idx="3">
                  <c:v>0</c:v>
                </c:pt>
                <c:pt idx="4">
                  <c:v>1816</c:v>
                </c:pt>
                <c:pt idx="5">
                  <c:v>1646</c:v>
                </c:pt>
                <c:pt idx="6">
                  <c:v>13067</c:v>
                </c:pt>
                <c:pt idx="7">
                  <c:v>8222</c:v>
                </c:pt>
                <c:pt idx="8">
                  <c:v>1165</c:v>
                </c:pt>
                <c:pt idx="9">
                  <c:v>644</c:v>
                </c:pt>
                <c:pt idx="10">
                  <c:v>2021</c:v>
                </c:pt>
                <c:pt idx="11">
                  <c:v>2393</c:v>
                </c:pt>
                <c:pt idx="12">
                  <c:v>1627</c:v>
                </c:pt>
                <c:pt idx="13">
                  <c:v>2609.4072500000002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9A-4847-B4C9-9FD86C213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647279"/>
        <c:axId val="219649775"/>
      </c:barChart>
      <c:catAx>
        <c:axId val="21964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649775"/>
        <c:crosses val="autoZero"/>
        <c:auto val="1"/>
        <c:lblAlgn val="ctr"/>
        <c:lblOffset val="100"/>
        <c:noMultiLvlLbl val="0"/>
      </c:catAx>
      <c:valAx>
        <c:axId val="21964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64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Bilan Fonds Chaleur + FDI BCIAT - Aide à l'investissement k€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'FC 2009-2022 Aide k€'!$B$13</c:f>
              <c:strCache>
                <c:ptCount val="1"/>
                <c:pt idx="0">
                  <c:v>Bois Hors BCIAT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 2009-2022 Aide k€'!$C$12:$P$12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Aide k€'!$C$13:$P$13</c:f>
              <c:numCache>
                <c:formatCode>_-* #\ ##0_-;\-* #\ ##0_-;_-* "-"??_-;_-@_-</c:formatCode>
                <c:ptCount val="14"/>
                <c:pt idx="0">
                  <c:v>29417</c:v>
                </c:pt>
                <c:pt idx="1">
                  <c:v>49482</c:v>
                </c:pt>
                <c:pt idx="2">
                  <c:v>58093</c:v>
                </c:pt>
                <c:pt idx="3">
                  <c:v>57166.734670000005</c:v>
                </c:pt>
                <c:pt idx="4">
                  <c:v>51883.468029999989</c:v>
                </c:pt>
                <c:pt idx="5">
                  <c:v>36069</c:v>
                </c:pt>
                <c:pt idx="6">
                  <c:v>22572.5723</c:v>
                </c:pt>
                <c:pt idx="7">
                  <c:v>23085</c:v>
                </c:pt>
                <c:pt idx="8">
                  <c:v>37055</c:v>
                </c:pt>
                <c:pt idx="9">
                  <c:v>36389.5</c:v>
                </c:pt>
                <c:pt idx="10">
                  <c:v>31175.928</c:v>
                </c:pt>
                <c:pt idx="11">
                  <c:v>46238.600000000006</c:v>
                </c:pt>
                <c:pt idx="12">
                  <c:v>46198.9</c:v>
                </c:pt>
                <c:pt idx="13">
                  <c:v>54710.487559999994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4-453B-A8E2-03B08FFBDC2F}"/>
            </c:ext>
          </c:extLst>
        </c:ser>
        <c:ser>
          <c:idx val="1"/>
          <c:order val="1"/>
          <c:tx>
            <c:strRef>
              <c:f>'FC 2009-2022 Aide k€'!$B$14</c:f>
              <c:strCache>
                <c:ptCount val="1"/>
                <c:pt idx="0">
                  <c:v>BCIAT/BCIB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'FC 2009-2022 Aide k€'!$C$12:$P$12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Aide k€'!$C$14:$P$14</c:f>
              <c:numCache>
                <c:formatCode>_-* #\ ##0_-;\-* #\ ##0_-;_-* "-"??_-;_-@_-</c:formatCode>
                <c:ptCount val="14"/>
                <c:pt idx="0">
                  <c:v>62783</c:v>
                </c:pt>
                <c:pt idx="1">
                  <c:v>91021.432229999991</c:v>
                </c:pt>
                <c:pt idx="2">
                  <c:v>38284</c:v>
                </c:pt>
                <c:pt idx="3">
                  <c:v>40503.417999999998</c:v>
                </c:pt>
                <c:pt idx="4">
                  <c:v>27125.606090000001</c:v>
                </c:pt>
                <c:pt idx="5">
                  <c:v>25817</c:v>
                </c:pt>
                <c:pt idx="6">
                  <c:v>47452.12</c:v>
                </c:pt>
                <c:pt idx="7">
                  <c:v>31192</c:v>
                </c:pt>
                <c:pt idx="8">
                  <c:v>7504</c:v>
                </c:pt>
                <c:pt idx="9">
                  <c:v>25316</c:v>
                </c:pt>
                <c:pt idx="10">
                  <c:v>34766</c:v>
                </c:pt>
                <c:pt idx="11">
                  <c:v>51040</c:v>
                </c:pt>
                <c:pt idx="12">
                  <c:v>40922</c:v>
                </c:pt>
                <c:pt idx="13">
                  <c:v>90843.479000000007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4-453B-A8E2-03B08FFBDC2F}"/>
            </c:ext>
          </c:extLst>
        </c:ser>
        <c:ser>
          <c:idx val="2"/>
          <c:order val="2"/>
          <c:tx>
            <c:strRef>
              <c:f>'FC 2009-2022 Aide k€'!$B$15</c:f>
              <c:strCache>
                <c:ptCount val="1"/>
                <c:pt idx="0">
                  <c:v>Géothermie et PAC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'FC 2009-2022 Aide k€'!$C$12:$P$12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Aide k€'!$C$15:$P$15</c:f>
              <c:numCache>
                <c:formatCode>_-* #\ ##0_-;\-* #\ ##0_-;_-* "-"??_-;_-@_-</c:formatCode>
                <c:ptCount val="14"/>
                <c:pt idx="0">
                  <c:v>4275</c:v>
                </c:pt>
                <c:pt idx="1">
                  <c:v>20921</c:v>
                </c:pt>
                <c:pt idx="2">
                  <c:v>26103</c:v>
                </c:pt>
                <c:pt idx="3">
                  <c:v>14483.69371</c:v>
                </c:pt>
                <c:pt idx="4">
                  <c:v>9165.08007</c:v>
                </c:pt>
                <c:pt idx="5">
                  <c:v>11592</c:v>
                </c:pt>
                <c:pt idx="6">
                  <c:v>19712.675999999999</c:v>
                </c:pt>
                <c:pt idx="7">
                  <c:v>17268</c:v>
                </c:pt>
                <c:pt idx="8">
                  <c:v>17811.7</c:v>
                </c:pt>
                <c:pt idx="9">
                  <c:v>22502</c:v>
                </c:pt>
                <c:pt idx="10">
                  <c:v>29225</c:v>
                </c:pt>
                <c:pt idx="11">
                  <c:v>30730.6</c:v>
                </c:pt>
                <c:pt idx="12">
                  <c:v>23831.3</c:v>
                </c:pt>
                <c:pt idx="13">
                  <c:v>34169.6086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4-453B-A8E2-03B08FFBDC2F}"/>
            </c:ext>
          </c:extLst>
        </c:ser>
        <c:ser>
          <c:idx val="3"/>
          <c:order val="3"/>
          <c:tx>
            <c:strRef>
              <c:f>'FC 2009-2022 Aide k€'!$B$16</c:f>
              <c:strCache>
                <c:ptCount val="1"/>
                <c:pt idx="0">
                  <c:v>Biométhane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'FC 2009-2022 Aide k€'!$C$12:$P$12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Aide k€'!$C$16:$P$16</c:f>
              <c:numCache>
                <c:formatCode>_-* #\ ##0_-;\-* #\ ##0_-;_-* "-"??_-;_-@_-</c:formatCode>
                <c:ptCount val="14"/>
                <c:pt idx="0">
                  <c:v>361</c:v>
                </c:pt>
                <c:pt idx="1">
                  <c:v>538</c:v>
                </c:pt>
                <c:pt idx="2">
                  <c:v>1237</c:v>
                </c:pt>
                <c:pt idx="3">
                  <c:v>0</c:v>
                </c:pt>
                <c:pt idx="4">
                  <c:v>1648.8670199999999</c:v>
                </c:pt>
                <c:pt idx="5">
                  <c:v>3796</c:v>
                </c:pt>
                <c:pt idx="6">
                  <c:v>23562.952000000001</c:v>
                </c:pt>
                <c:pt idx="7">
                  <c:v>16659</c:v>
                </c:pt>
                <c:pt idx="8">
                  <c:v>18877</c:v>
                </c:pt>
                <c:pt idx="9">
                  <c:v>22498</c:v>
                </c:pt>
                <c:pt idx="10">
                  <c:v>55101</c:v>
                </c:pt>
                <c:pt idx="11">
                  <c:v>52521</c:v>
                </c:pt>
                <c:pt idx="12">
                  <c:v>41668</c:v>
                </c:pt>
                <c:pt idx="13">
                  <c:v>30990.111250000002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E4-453B-A8E2-03B08FFBDC2F}"/>
            </c:ext>
          </c:extLst>
        </c:ser>
        <c:ser>
          <c:idx val="4"/>
          <c:order val="4"/>
          <c:tx>
            <c:strRef>
              <c:f>'FC 2009-2022 Aide k€'!$B$17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'FC 2009-2022 Aide k€'!$C$12:$P$12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Aide k€'!$C$17:$P$17</c:f>
              <c:numCache>
                <c:formatCode>_-* #\ ##0_-;\-* #\ ##0_-;_-* "-"??_-;_-@_-</c:formatCode>
                <c:ptCount val="14"/>
                <c:pt idx="0">
                  <c:v>12672</c:v>
                </c:pt>
                <c:pt idx="1">
                  <c:v>19279</c:v>
                </c:pt>
                <c:pt idx="2">
                  <c:v>16323</c:v>
                </c:pt>
                <c:pt idx="3">
                  <c:v>10135</c:v>
                </c:pt>
                <c:pt idx="4">
                  <c:v>6132</c:v>
                </c:pt>
                <c:pt idx="5">
                  <c:v>5038</c:v>
                </c:pt>
                <c:pt idx="6">
                  <c:v>4090</c:v>
                </c:pt>
                <c:pt idx="7">
                  <c:v>2739</c:v>
                </c:pt>
                <c:pt idx="8">
                  <c:v>4547.33</c:v>
                </c:pt>
                <c:pt idx="9">
                  <c:v>5474.2</c:v>
                </c:pt>
                <c:pt idx="10">
                  <c:v>12661.056</c:v>
                </c:pt>
                <c:pt idx="11">
                  <c:v>4856.7</c:v>
                </c:pt>
                <c:pt idx="12">
                  <c:v>4049.7000000000003</c:v>
                </c:pt>
                <c:pt idx="13">
                  <c:v>9993.2621799999997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E4-453B-A8E2-03B08FFBDC2F}"/>
            </c:ext>
          </c:extLst>
        </c:ser>
        <c:ser>
          <c:idx val="5"/>
          <c:order val="5"/>
          <c:tx>
            <c:strRef>
              <c:f>'FC 2009-2022 Aide k€'!$B$18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'FC 2009-2022 Aide k€'!$C$12:$P$12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Aide k€'!$C$18:$P$18</c:f>
              <c:numCache>
                <c:formatCode>_-* #\ ##0_-;\-* #\ ##0_-;_-* "-"??_-;_-@_-</c:formatCode>
                <c:ptCount val="14"/>
                <c:pt idx="0">
                  <c:v>45202</c:v>
                </c:pt>
                <c:pt idx="1">
                  <c:v>75769</c:v>
                </c:pt>
                <c:pt idx="2">
                  <c:v>90648</c:v>
                </c:pt>
                <c:pt idx="3">
                  <c:v>98466.389820000011</c:v>
                </c:pt>
                <c:pt idx="4">
                  <c:v>96043.420539999992</c:v>
                </c:pt>
                <c:pt idx="5">
                  <c:v>49809</c:v>
                </c:pt>
                <c:pt idx="6">
                  <c:v>50057.094199999992</c:v>
                </c:pt>
                <c:pt idx="7">
                  <c:v>79220</c:v>
                </c:pt>
                <c:pt idx="8">
                  <c:v>87876.4</c:v>
                </c:pt>
                <c:pt idx="9">
                  <c:v>118902.99</c:v>
                </c:pt>
                <c:pt idx="10">
                  <c:v>103070.178</c:v>
                </c:pt>
                <c:pt idx="11">
                  <c:v>127864</c:v>
                </c:pt>
                <c:pt idx="12">
                  <c:v>135406.20000000001</c:v>
                </c:pt>
                <c:pt idx="13">
                  <c:v>220615.95671999999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E4-453B-A8E2-03B08FFBDC2F}"/>
            </c:ext>
          </c:extLst>
        </c:ser>
        <c:ser>
          <c:idx val="6"/>
          <c:order val="6"/>
          <c:tx>
            <c:strRef>
              <c:f>'FC 2009-2022 Aide k€'!$B$19</c:f>
              <c:strCache>
                <c:ptCount val="1"/>
                <c:pt idx="0">
                  <c:v>Récup Chaleur Fatale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2009-2022 Aide k€'!$C$12:$P$12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Aide k€'!$C$19:$P$19</c:f>
              <c:numCache>
                <c:formatCode>_-* #\ ##0_-;\-* #\ ##0_-;_-* "-"??_-;_-@_-</c:formatCode>
                <c:ptCount val="14"/>
                <c:pt idx="2">
                  <c:v>2254</c:v>
                </c:pt>
                <c:pt idx="3">
                  <c:v>1957.3</c:v>
                </c:pt>
                <c:pt idx="4">
                  <c:v>1118.6120000000001</c:v>
                </c:pt>
                <c:pt idx="5">
                  <c:v>1090</c:v>
                </c:pt>
                <c:pt idx="6">
                  <c:v>6912.1104999999998</c:v>
                </c:pt>
                <c:pt idx="7">
                  <c:v>4110</c:v>
                </c:pt>
                <c:pt idx="8">
                  <c:v>5761</c:v>
                </c:pt>
                <c:pt idx="9">
                  <c:v>6610</c:v>
                </c:pt>
                <c:pt idx="10">
                  <c:v>6608</c:v>
                </c:pt>
                <c:pt idx="11">
                  <c:v>1238</c:v>
                </c:pt>
                <c:pt idx="12">
                  <c:v>7206</c:v>
                </c:pt>
                <c:pt idx="13">
                  <c:v>19367.058059999999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E4-453B-A8E2-03B08FFBDC2F}"/>
            </c:ext>
          </c:extLst>
        </c:ser>
        <c:ser>
          <c:idx val="7"/>
          <c:order val="7"/>
          <c:tx>
            <c:strRef>
              <c:f>'FC 2009-2022 Aide k€'!$B$20</c:f>
              <c:strCache>
                <c:ptCount val="1"/>
                <c:pt idx="0">
                  <c:v>Froid EnR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2009-2022 Aide k€'!$C$12:$P$12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Aide k€'!$C$20:$P$20</c:f>
              <c:numCache>
                <c:formatCode>_-* #\ ##0_-;\-* #\ ##0_-;_-* "-"??_-;_-@_-</c:formatCode>
                <c:ptCount val="14"/>
                <c:pt idx="9">
                  <c:v>295</c:v>
                </c:pt>
                <c:pt idx="10">
                  <c:v>2332</c:v>
                </c:pt>
                <c:pt idx="11">
                  <c:v>107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E4-453B-A8E2-03B08FFBDC2F}"/>
            </c:ext>
          </c:extLst>
        </c:ser>
        <c:ser>
          <c:idx val="8"/>
          <c:order val="8"/>
          <c:tx>
            <c:strRef>
              <c:f>'FC 2009-2022 Aide k€'!$B$21</c:f>
              <c:strCache>
                <c:ptCount val="1"/>
                <c:pt idx="0">
                  <c:v>Approv Bois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2009-2022 Aide k€'!$C$12:$P$12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Aide k€'!$C$21:$P$21</c:f>
              <c:numCache>
                <c:formatCode>_-* #\ ##0_-;\-* #\ ##0_-;_-* "-"??_-;_-@_-</c:formatCode>
                <c:ptCount val="14"/>
                <c:pt idx="0">
                  <c:v>5072</c:v>
                </c:pt>
                <c:pt idx="1">
                  <c:v>52</c:v>
                </c:pt>
                <c:pt idx="2">
                  <c:v>0</c:v>
                </c:pt>
                <c:pt idx="3">
                  <c:v>0</c:v>
                </c:pt>
                <c:pt idx="4">
                  <c:v>1816</c:v>
                </c:pt>
                <c:pt idx="5">
                  <c:v>1646</c:v>
                </c:pt>
                <c:pt idx="6">
                  <c:v>13067</c:v>
                </c:pt>
                <c:pt idx="7">
                  <c:v>8222</c:v>
                </c:pt>
                <c:pt idx="8">
                  <c:v>1165</c:v>
                </c:pt>
                <c:pt idx="9">
                  <c:v>644</c:v>
                </c:pt>
                <c:pt idx="10">
                  <c:v>2021</c:v>
                </c:pt>
                <c:pt idx="11">
                  <c:v>2393</c:v>
                </c:pt>
                <c:pt idx="12">
                  <c:v>1627</c:v>
                </c:pt>
                <c:pt idx="13">
                  <c:v>2609.4072500000002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E4-453B-A8E2-03B08FFBDC2F}"/>
            </c:ext>
          </c:extLst>
        </c:ser>
        <c:ser>
          <c:idx val="9"/>
          <c:order val="9"/>
          <c:tx>
            <c:strRef>
              <c:f>'FC 2009-2022 Aide k€'!$B$24</c:f>
              <c:strCache>
                <c:ptCount val="1"/>
                <c:pt idx="0">
                  <c:v>Aide BCIAT FDI CAPEX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2009-2022 Aide k€'!$C$12:$P$12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Aide k€'!$C$24:$P$24</c:f>
              <c:numCache>
                <c:formatCode>General</c:formatCode>
                <c:ptCount val="14"/>
                <c:pt idx="12" formatCode="_-* #\ ##0_-;\-* #\ ##0_-;_-* &quot;-&quot;??_-;_-@_-">
                  <c:v>86952.517000000007</c:v>
                </c:pt>
                <c:pt idx="13" formatCode="_-* #\ ##0_-;\-* #\ ##0_-;_-* &quot;-&quot;??_-;_-@_-">
                  <c:v>180827.93299999999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E4-453B-A8E2-03B08FFB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2529951"/>
        <c:axId val="372524127"/>
      </c:barChart>
      <c:catAx>
        <c:axId val="37252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2524127"/>
        <c:crosses val="autoZero"/>
        <c:auto val="1"/>
        <c:lblAlgn val="ctr"/>
        <c:lblOffset val="100"/>
        <c:noMultiLvlLbl val="0"/>
      </c:catAx>
      <c:valAx>
        <c:axId val="37252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252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Ratio</a:t>
            </a:r>
            <a:r>
              <a:rPr lang="fr-FR" sz="1200" baseline="0"/>
              <a:t> efficience Fonds Chaleur 2009 à 2023 en €/MWh/20ans</a:t>
            </a:r>
            <a:endParaRPr 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'Analyse ratios d''aide'!$B$3</c:f>
              <c:strCache>
                <c:ptCount val="1"/>
                <c:pt idx="0">
                  <c:v>Ratio FC global €/MWh/20ans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'Analyse ratios d''aide'!$C$2:$Q$2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'Analyse ratios d''aide'!$C$3:$Q$3</c:f>
              <c:numCache>
                <c:formatCode>_(* #,##0.00_);_(* \(#,##0.00\);_(* "-"??_);_(@_)</c:formatCode>
                <c:ptCount val="15"/>
                <c:pt idx="0">
                  <c:v>3.7042782848537819</c:v>
                </c:pt>
                <c:pt idx="1">
                  <c:v>3.3909570541907081</c:v>
                </c:pt>
                <c:pt idx="2">
                  <c:v>3.669643847781991</c:v>
                </c:pt>
                <c:pt idx="3">
                  <c:v>3.3243281759936529</c:v>
                </c:pt>
                <c:pt idx="4">
                  <c:v>3.654243425308259</c:v>
                </c:pt>
                <c:pt idx="5">
                  <c:v>3.7036546743998251</c:v>
                </c:pt>
                <c:pt idx="6">
                  <c:v>3.6890555294540497</c:v>
                </c:pt>
                <c:pt idx="7">
                  <c:v>5.1127826811337327</c:v>
                </c:pt>
                <c:pt idx="8">
                  <c:v>4.9176501580561256</c:v>
                </c:pt>
                <c:pt idx="9">
                  <c:v>4.9473246290452035</c:v>
                </c:pt>
                <c:pt idx="10">
                  <c:v>3.7988714436031281</c:v>
                </c:pt>
                <c:pt idx="11">
                  <c:v>4.4262933804017122</c:v>
                </c:pt>
                <c:pt idx="12">
                  <c:v>5.2200628567196041</c:v>
                </c:pt>
                <c:pt idx="13">
                  <c:v>7.0890867296352225</c:v>
                </c:pt>
                <c:pt idx="14">
                  <c:v>10.662617429904401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C-484B-B4A7-0BAAFEBA6B36}"/>
            </c:ext>
          </c:extLst>
        </c:ser>
        <c:ser>
          <c:idx val="1"/>
          <c:order val="1"/>
          <c:tx>
            <c:strRef>
              <c:f>'Analyse ratios d''aide'!$B$4</c:f>
              <c:strCache>
                <c:ptCount val="1"/>
                <c:pt idx="0">
                  <c:v>Ratio FC global €/MWh/20ans (hors métha)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'Analyse ratios d''aide'!$C$2:$Q$2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'Analyse ratios d''aide'!$C$4:$Q$4</c:f>
              <c:numCache>
                <c:formatCode>_(* #,##0.00_);_(* \(#,##0.00\);_(* "-"??_);_(@_)</c:formatCode>
                <c:ptCount val="15"/>
                <c:pt idx="0">
                  <c:v>3.723158477331546</c:v>
                </c:pt>
                <c:pt idx="1">
                  <c:v>3.4160313826605355</c:v>
                </c:pt>
                <c:pt idx="2">
                  <c:v>3.7549612735491045</c:v>
                </c:pt>
                <c:pt idx="3">
                  <c:v>3.4914579510560699</c:v>
                </c:pt>
                <c:pt idx="4">
                  <c:v>3.7823029394193375</c:v>
                </c:pt>
                <c:pt idx="5">
                  <c:v>4.0587854674206145</c:v>
                </c:pt>
                <c:pt idx="6">
                  <c:v>3.8331621267141913</c:v>
                </c:pt>
                <c:pt idx="7">
                  <c:v>5.6439092778600539</c:v>
                </c:pt>
                <c:pt idx="8">
                  <c:v>5.224099512766867</c:v>
                </c:pt>
                <c:pt idx="9">
                  <c:v>5.9453339379856027</c:v>
                </c:pt>
                <c:pt idx="10">
                  <c:v>4.3459618082748985</c:v>
                </c:pt>
                <c:pt idx="11">
                  <c:v>5.2611134461890057</c:v>
                </c:pt>
                <c:pt idx="12">
                  <c:v>7.7141172693507993</c:v>
                </c:pt>
                <c:pt idx="13">
                  <c:v>7.7424374995932554</c:v>
                </c:pt>
                <c:pt idx="14">
                  <c:v>11.660917262071168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4C-484B-B4A7-0BAAFEBA6B36}"/>
            </c:ext>
          </c:extLst>
        </c:ser>
        <c:ser>
          <c:idx val="2"/>
          <c:order val="2"/>
          <c:tx>
            <c:strRef>
              <c:f>'Analyse ratios d''aide'!$B$8</c:f>
              <c:strCache>
                <c:ptCount val="1"/>
                <c:pt idx="0">
                  <c:v>Ratio FC global €/MWh/20ans (hors métha, hors CCR)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'Analyse ratios d''aide'!$C$2:$Q$2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'Analyse ratios d''aide'!$C$8:$Q$8</c:f>
              <c:numCache>
                <c:formatCode>_(* #,##0.00_);_(* \(#,##0.00\);_(* "-"??_);_(@_)</c:formatCode>
                <c:ptCount val="15"/>
                <c:pt idx="0">
                  <c:v>3.723158477331546</c:v>
                </c:pt>
                <c:pt idx="1">
                  <c:v>3.4160313826605355</c:v>
                </c:pt>
                <c:pt idx="2">
                  <c:v>3.7549612735491045</c:v>
                </c:pt>
                <c:pt idx="3">
                  <c:v>3.4914579510560699</c:v>
                </c:pt>
                <c:pt idx="4">
                  <c:v>3.7823029394193375</c:v>
                </c:pt>
                <c:pt idx="5">
                  <c:v>4.0587854674206145</c:v>
                </c:pt>
                <c:pt idx="6">
                  <c:v>3.8331621267141913</c:v>
                </c:pt>
                <c:pt idx="7">
                  <c:v>5.6439092778600539</c:v>
                </c:pt>
                <c:pt idx="8">
                  <c:v>5.1851657031615668</c:v>
                </c:pt>
                <c:pt idx="9">
                  <c:v>5.852862077316237</c:v>
                </c:pt>
                <c:pt idx="10">
                  <c:v>4.3251937396472391</c:v>
                </c:pt>
                <c:pt idx="11">
                  <c:v>5.0936116631630304</c:v>
                </c:pt>
                <c:pt idx="12">
                  <c:v>7.5245565765538585</c:v>
                </c:pt>
                <c:pt idx="13">
                  <c:v>7.4261601296217092</c:v>
                </c:pt>
                <c:pt idx="14">
                  <c:v>10.534367784393107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4C-484B-B4A7-0BAAFEBA6B36}"/>
            </c:ext>
          </c:extLst>
        </c:ser>
        <c:ser>
          <c:idx val="3"/>
          <c:order val="3"/>
          <c:tx>
            <c:strRef>
              <c:f>'Analyse ratios d''aide'!$B$7</c:f>
              <c:strCache>
                <c:ptCount val="1"/>
                <c:pt idx="0">
                  <c:v>Ratio FC global €/MWh/20ans (hors métha, hors CCR, hors BCIAT BCIB)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'Analyse ratios d''aide'!$C$2:$Q$2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'Analyse ratios d''aide'!$C$7:$Q$7</c:f>
              <c:numCache>
                <c:formatCode>_(* #,##0.00_);_(* \(#,##0.00\);_(* "-"??_);_(@_)</c:formatCode>
                <c:ptCount val="15"/>
                <c:pt idx="0">
                  <c:v>9.6778484732258043</c:v>
                </c:pt>
                <c:pt idx="1">
                  <c:v>7.0491369067540699</c:v>
                </c:pt>
                <c:pt idx="2">
                  <c:v>5.1413489417455525</c:v>
                </c:pt>
                <c:pt idx="3">
                  <c:v>4.5394087982361704</c:v>
                </c:pt>
                <c:pt idx="4">
                  <c:v>4.7893103343555854</c:v>
                </c:pt>
                <c:pt idx="5">
                  <c:v>5.9200531791687272</c:v>
                </c:pt>
                <c:pt idx="6">
                  <c:v>4.4895379895867409</c:v>
                </c:pt>
                <c:pt idx="7">
                  <c:v>7.282108877636313</c:v>
                </c:pt>
                <c:pt idx="8">
                  <c:v>5.3310226799101326</c:v>
                </c:pt>
                <c:pt idx="9">
                  <c:v>6.5295924146863173</c:v>
                </c:pt>
                <c:pt idx="10">
                  <c:v>5.375903292848017</c:v>
                </c:pt>
                <c:pt idx="11">
                  <c:v>7.110148590405724</c:v>
                </c:pt>
                <c:pt idx="12">
                  <c:v>11.137262495583226</c:v>
                </c:pt>
                <c:pt idx="13">
                  <c:v>9.6411088254237747</c:v>
                </c:pt>
                <c:pt idx="14">
                  <c:v>11.528057703080339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4C-484B-B4A7-0BAAFEBA6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942608"/>
        <c:axId val="1764759120"/>
      </c:barChart>
      <c:catAx>
        <c:axId val="71494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4759120"/>
        <c:crosses val="autoZero"/>
        <c:auto val="1"/>
        <c:lblAlgn val="ctr"/>
        <c:lblOffset val="100"/>
        <c:noMultiLvlLbl val="0"/>
      </c:catAx>
      <c:valAx>
        <c:axId val="17647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494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'FC 2009-2022 Aide k€'!$Q$12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AF-4D40-8977-90A1C09A03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AF-4D40-8977-90A1C09A03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AF-4D40-8977-90A1C09A03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AF-4D40-8977-90A1C09A03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AF-4D40-8977-90A1C09A03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6AF-4D40-8977-90A1C09A03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6AF-4D40-8977-90A1C09A032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6AF-4D40-8977-90A1C09A032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6AF-4D40-8977-90A1C09A032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6AF-4D40-8977-90A1C09A032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6AF-4D40-8977-90A1C09A032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6AF-4D40-8977-90A1C09A032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A6AF-4D40-8977-90A1C09A032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A6AF-4D40-8977-90A1C09A032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A6AF-4D40-8977-90A1C09A032F}"/>
                </c:ext>
              </c:extLst>
            </c:dLbl>
            <c:dLbl>
              <c:idx val="6"/>
              <c:layout>
                <c:manualLayout>
                  <c:x val="-0.21640488656195461"/>
                  <c:y val="6.93641618497109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6AF-4D40-8977-90A1C09A032F}"/>
                </c:ext>
              </c:extLst>
            </c:dLbl>
            <c:dLbl>
              <c:idx val="7"/>
              <c:layout>
                <c:manualLayout>
                  <c:x val="-0.1093659104130308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6AF-4D40-8977-90A1C09A032F}"/>
                </c:ext>
              </c:extLst>
            </c:dLbl>
            <c:dLbl>
              <c:idx val="8"/>
              <c:layout>
                <c:manualLayout>
                  <c:x val="9.0750436300174514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6AF-4D40-8977-90A1C09A032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'FC 2009-2022 Aide k€'!$B$13:$B$21</c:f>
              <c:strCache>
                <c:ptCount val="9"/>
                <c:pt idx="0">
                  <c:v>Bois Hors BCIAT</c:v>
                </c:pt>
                <c:pt idx="1">
                  <c:v>BCIAT/BCIB</c:v>
                </c:pt>
                <c:pt idx="2">
                  <c:v>Géothermie et PAC</c:v>
                </c:pt>
                <c:pt idx="3">
                  <c:v>Biométhane</c:v>
                </c:pt>
                <c:pt idx="4">
                  <c:v>Solaire</c:v>
                </c:pt>
                <c:pt idx="5">
                  <c:v>Réseau de chaleur</c:v>
                </c:pt>
                <c:pt idx="6">
                  <c:v>Récup Chaleur Fatale</c:v>
                </c:pt>
                <c:pt idx="7">
                  <c:v>Froid EnR</c:v>
                </c:pt>
                <c:pt idx="8">
                  <c:v>Approv Bois </c:v>
                </c:pt>
              </c:strCache>
            </c:strRef>
          </c:cat>
          <c:val>
            <c:numRef>
              <c:f>'FC 2009-2022 Aide k€'!$Q$13:$Q$21</c:f>
              <c:numCache>
                <c:formatCode>_-* #\ ##0_-;\-* #\ ##0_-;_-* "-"??_-;_-@_-</c:formatCode>
                <c:ptCount val="9"/>
                <c:pt idx="0">
                  <c:v>579537.19056000013</c:v>
                </c:pt>
                <c:pt idx="1">
                  <c:v>614570.05532000004</c:v>
                </c:pt>
                <c:pt idx="2">
                  <c:v>281790.65837999998</c:v>
                </c:pt>
                <c:pt idx="3">
                  <c:v>269457.93027000001</c:v>
                </c:pt>
                <c:pt idx="4">
                  <c:v>117990.24818</c:v>
                </c:pt>
                <c:pt idx="5">
                  <c:v>1378950.6292799998</c:v>
                </c:pt>
                <c:pt idx="6">
                  <c:v>64232.080560000002</c:v>
                </c:pt>
                <c:pt idx="7">
                  <c:v>2734</c:v>
                </c:pt>
                <c:pt idx="8">
                  <c:v>40334.407250000004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6AF-4D40-8977-90A1C09A032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'FC 2009-2022 Aide k€'!$Q$12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45-4B58-8A2D-85876CAA51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45-4B58-8A2D-85876CAA51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E45-4B58-8A2D-85876CAA51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E45-4B58-8A2D-85876CAA51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E45-4B58-8A2D-85876CAA51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E45-4B58-8A2D-85876CAA511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E45-4B58-8A2D-85876CAA511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E45-4B58-8A2D-85876CAA511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E45-4B58-8A2D-85876CAA511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E45-4B58-8A2D-85876CAA511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E45-4B58-8A2D-85876CAA511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E45-4B58-8A2D-85876CAA511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E45-4B58-8A2D-85876CAA511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4E45-4B58-8A2D-85876CAA511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4E45-4B58-8A2D-85876CAA511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4E45-4B58-8A2D-85876CAA5111}"/>
                </c:ext>
              </c:extLst>
            </c:dLbl>
            <c:dLbl>
              <c:idx val="6"/>
              <c:layout>
                <c:manualLayout>
                  <c:x val="-0.14144271570014144"/>
                  <c:y val="0.1626794258373205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E45-4B58-8A2D-85876CAA5111}"/>
                </c:ext>
              </c:extLst>
            </c:dLbl>
            <c:dLbl>
              <c:idx val="7"/>
              <c:layout>
                <c:manualLayout>
                  <c:x val="-0.23385195662423386"/>
                  <c:y val="4.46570972886762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E45-4B58-8A2D-85876CAA5111}"/>
                </c:ext>
              </c:extLst>
            </c:dLbl>
            <c:dLbl>
              <c:idx val="8"/>
              <c:layout>
                <c:manualLayout>
                  <c:x val="-0.13767090994813769"/>
                  <c:y val="-2.71132376395534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86508369622114"/>
                      <c:h val="0.103381180223285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4E45-4B58-8A2D-85876CAA5111}"/>
                </c:ext>
              </c:extLst>
            </c:dLbl>
            <c:dLbl>
              <c:idx val="9"/>
              <c:layout>
                <c:manualLayout>
                  <c:x val="6.8835454974068844E-2"/>
                  <c:y val="-3.18979266347687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479483381409006"/>
                      <c:h val="8.743221690590111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4E45-4B58-8A2D-85876CAA511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('FC 2009-2022 Aide k€'!$B$13:$B$21,'FC 2009-2022 Aide k€'!$B$24)</c:f>
              <c:strCache>
                <c:ptCount val="10"/>
                <c:pt idx="0">
                  <c:v>Bois Hors BCIAT</c:v>
                </c:pt>
                <c:pt idx="1">
                  <c:v>BCIAT/BCIB</c:v>
                </c:pt>
                <c:pt idx="2">
                  <c:v>Géothermie et PAC</c:v>
                </c:pt>
                <c:pt idx="3">
                  <c:v>Biométhane</c:v>
                </c:pt>
                <c:pt idx="4">
                  <c:v>Solaire</c:v>
                </c:pt>
                <c:pt idx="5">
                  <c:v>Réseau de chaleur</c:v>
                </c:pt>
                <c:pt idx="6">
                  <c:v>Récup Chaleur Fatale</c:v>
                </c:pt>
                <c:pt idx="7">
                  <c:v>Froid EnR</c:v>
                </c:pt>
                <c:pt idx="8">
                  <c:v>Approv Bois </c:v>
                </c:pt>
                <c:pt idx="9">
                  <c:v>Aide BCIAT FDI CAPEX</c:v>
                </c:pt>
              </c:strCache>
            </c:strRef>
          </c:cat>
          <c:val>
            <c:numRef>
              <c:f>('FC 2009-2022 Aide k€'!$Q$13:$Q$21,'FC 2009-2022 Aide k€'!$Q$24)</c:f>
              <c:numCache>
                <c:formatCode>_-* #\ ##0_-;\-* #\ ##0_-;_-* "-"??_-;_-@_-</c:formatCode>
                <c:ptCount val="10"/>
                <c:pt idx="0">
                  <c:v>579537.19056000013</c:v>
                </c:pt>
                <c:pt idx="1">
                  <c:v>614570.05532000004</c:v>
                </c:pt>
                <c:pt idx="2">
                  <c:v>281790.65837999998</c:v>
                </c:pt>
                <c:pt idx="3">
                  <c:v>269457.93027000001</c:v>
                </c:pt>
                <c:pt idx="4">
                  <c:v>117990.24818</c:v>
                </c:pt>
                <c:pt idx="5">
                  <c:v>1378950.6292799998</c:v>
                </c:pt>
                <c:pt idx="6">
                  <c:v>64232.080560000002</c:v>
                </c:pt>
                <c:pt idx="7">
                  <c:v>2734</c:v>
                </c:pt>
                <c:pt idx="8">
                  <c:v>40334.407250000004</c:v>
                </c:pt>
                <c:pt idx="9">
                  <c:v>267780.45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E45-4B58-8A2D-85876CAA511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Budget BCIAT/BCIB - FC et FDI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'FC 2009-2022 Aide k€'!$B$49</c:f>
              <c:strCache>
                <c:ptCount val="1"/>
                <c:pt idx="0">
                  <c:v>BCIAT/BCIB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 2009-2022 Aide k€'!$C$48:$P$48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Aide k€'!$C$49:$P$49</c:f>
              <c:numCache>
                <c:formatCode>_-* #\ ##0_-;\-* #\ ##0_-;_-* "-"??_-;_-@_-</c:formatCode>
                <c:ptCount val="14"/>
                <c:pt idx="0">
                  <c:v>62783</c:v>
                </c:pt>
                <c:pt idx="1">
                  <c:v>91021.432229999991</c:v>
                </c:pt>
                <c:pt idx="2">
                  <c:v>38284</c:v>
                </c:pt>
                <c:pt idx="3">
                  <c:v>40503.417999999998</c:v>
                </c:pt>
                <c:pt idx="4">
                  <c:v>27125.606090000001</c:v>
                </c:pt>
                <c:pt idx="5">
                  <c:v>25817</c:v>
                </c:pt>
                <c:pt idx="6">
                  <c:v>47452.12</c:v>
                </c:pt>
                <c:pt idx="7">
                  <c:v>31192</c:v>
                </c:pt>
                <c:pt idx="8">
                  <c:v>7504</c:v>
                </c:pt>
                <c:pt idx="9">
                  <c:v>25316</c:v>
                </c:pt>
                <c:pt idx="10">
                  <c:v>34766</c:v>
                </c:pt>
                <c:pt idx="11">
                  <c:v>51040</c:v>
                </c:pt>
                <c:pt idx="12">
                  <c:v>40922</c:v>
                </c:pt>
                <c:pt idx="13">
                  <c:v>90843.479000000007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A-4147-8106-C5F13AF8C75D}"/>
            </c:ext>
          </c:extLst>
        </c:ser>
        <c:ser>
          <c:idx val="1"/>
          <c:order val="1"/>
          <c:tx>
            <c:strRef>
              <c:f>'FC 2009-2022 Aide k€'!$B$50</c:f>
              <c:strCache>
                <c:ptCount val="1"/>
                <c:pt idx="0">
                  <c:v>Aide BCIAT FDI CAPEX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'FC 2009-2022 Aide k€'!$C$48:$P$48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Aide k€'!$C$50:$P$50</c:f>
              <c:numCache>
                <c:formatCode>General</c:formatCode>
                <c:ptCount val="14"/>
                <c:pt idx="12" formatCode="_-* #\ ##0_-;\-* #\ ##0_-;_-* &quot;-&quot;??_-;_-@_-">
                  <c:v>86952.517000000007</c:v>
                </c:pt>
                <c:pt idx="13" formatCode="_-* #\ ##0_-;\-* #\ ##0_-;_-* &quot;-&quot;??_-;_-@_-">
                  <c:v>180827.93299999999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A-4147-8106-C5F13AF8C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569807"/>
        <c:axId val="362544863"/>
      </c:barChart>
      <c:catAx>
        <c:axId val="40756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2544863"/>
        <c:crosses val="autoZero"/>
        <c:auto val="1"/>
        <c:lblAlgn val="ctr"/>
        <c:lblOffset val="100"/>
        <c:noMultiLvlLbl val="0"/>
      </c:catAx>
      <c:valAx>
        <c:axId val="36254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5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'FC 2009-2022 Aide k€'!$P$12</c:f>
              <c:strCache>
                <c:ptCount val="1"/>
                <c:pt idx="0">
                  <c:v>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5D-4822-809E-83B29FDE30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95D-4822-809E-83B29FDE30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5D-4822-809E-83B29FDE30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95D-4822-809E-83B29FDE30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95D-4822-809E-83B29FDE30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95D-4822-809E-83B29FDE304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95D-4822-809E-83B29FDE304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95D-4822-809E-83B29FDE304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995D-4822-809E-83B29FDE304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95D-4822-809E-83B29FDE304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95D-4822-809E-83B29FDE304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95D-4822-809E-83B29FDE304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995D-4822-809E-83B29FDE304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95D-4822-809E-83B29FDE304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995D-4822-809E-83B29FDE304A}"/>
                </c:ext>
              </c:extLst>
            </c:dLbl>
            <c:dLbl>
              <c:idx val="6"/>
              <c:layout>
                <c:manualLayout>
                  <c:x val="-3.7200195790504167E-2"/>
                  <c:y val="0.1351351351351351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5D-4822-809E-83B29FDE304A}"/>
                </c:ext>
              </c:extLst>
            </c:dLbl>
            <c:dLbl>
              <c:idx val="7"/>
              <c:layout>
                <c:manualLayout>
                  <c:x val="-0.1213901125795399"/>
                  <c:y val="-0.1531531531531531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95D-4822-809E-83B29FDE304A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995D-4822-809E-83B29FDE304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'FC 2009-2022 Aide k€'!$B$13:$B$24</c15:sqref>
                  </c15:fullRef>
                </c:ext>
              </c:extLst>
              <c:f>('FC 2009-2022 Aide k€'!$B$13:$B$19,'FC 2009-2022 Aide k€'!$B$21,'FC 2009-2022 Aide k€'!$B$24)</c:f>
              <c:strCache>
                <c:ptCount val="9"/>
                <c:pt idx="0">
                  <c:v>Bois Hors BCIAT</c:v>
                </c:pt>
                <c:pt idx="1">
                  <c:v>BCIAT/BCIB</c:v>
                </c:pt>
                <c:pt idx="2">
                  <c:v>Géothermie et PAC</c:v>
                </c:pt>
                <c:pt idx="3">
                  <c:v>Biométhane</c:v>
                </c:pt>
                <c:pt idx="4">
                  <c:v>Solaire</c:v>
                </c:pt>
                <c:pt idx="5">
                  <c:v>Réseau de chaleur</c:v>
                </c:pt>
                <c:pt idx="6">
                  <c:v>Récup Chaleur Fatale</c:v>
                </c:pt>
                <c:pt idx="7">
                  <c:v>Approv Bois </c:v>
                </c:pt>
                <c:pt idx="8">
                  <c:v>Aide BCIAT FDI CAPEX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'FC 2009-2022 Aide k€'!$P$13:$P$24</c15:sqref>
                  </c15:fullRef>
                </c:ext>
              </c:extLst>
              <c:f>('FC 2009-2022 Aide k€'!$P$13:$P$19,'FC 2009-2022 Aide k€'!$P$21,'FC 2009-2022 Aide k€'!$P$24)</c:f>
              <c:numCache>
                <c:formatCode>_-* #\ ##0_-;\-* #\ ##0_-;_-* "-"??_-;_-@_-</c:formatCode>
                <c:ptCount val="9"/>
                <c:pt idx="0">
                  <c:v>54710.487559999994</c:v>
                </c:pt>
                <c:pt idx="1">
                  <c:v>90843.479000000007</c:v>
                </c:pt>
                <c:pt idx="2">
                  <c:v>34169.6086</c:v>
                </c:pt>
                <c:pt idx="3">
                  <c:v>30990.111250000002</c:v>
                </c:pt>
                <c:pt idx="4">
                  <c:v>9993.2621799999997</c:v>
                </c:pt>
                <c:pt idx="5">
                  <c:v>220615.95671999999</c:v>
                </c:pt>
                <c:pt idx="6">
                  <c:v>19367.058059999999</c:v>
                </c:pt>
                <c:pt idx="7">
                  <c:v>2609.4072500000002</c:v>
                </c:pt>
                <c:pt idx="8">
                  <c:v>180827.93299999999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'FC 2009-2022 Aide k€'!$P$20</c15:sqref>
                  <c15:dLbl>
                    <c:idx val="6"/>
                    <c:layout>
                      <c:manualLayout>
                        <c:x val="-9.006363191385218E-2"/>
                        <c:y val="1.5015015015014906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2-E077-4CA0-8B74-2CE7DD5D1F2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995D-4822-809E-83B29FDE304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Bilan</a:t>
            </a:r>
            <a:r>
              <a:rPr lang="fr-FR" sz="1100" baseline="0"/>
              <a:t> Fonds Chaleur - Aide à l'investissement k€</a:t>
            </a:r>
            <a:endParaRPr lang="fr-F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'FC 2009-2022 Aide k€'!$B$13</c:f>
              <c:strCache>
                <c:ptCount val="1"/>
                <c:pt idx="0">
                  <c:v>Bois Hors BCIAT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 2009-2022 Aide k€'!$C$12:$P$12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Aide k€'!$C$13:$P$13</c:f>
              <c:numCache>
                <c:formatCode>_-* #\ ##0_-;\-* #\ ##0_-;_-* "-"??_-;_-@_-</c:formatCode>
                <c:ptCount val="14"/>
                <c:pt idx="0">
                  <c:v>29417</c:v>
                </c:pt>
                <c:pt idx="1">
                  <c:v>49482</c:v>
                </c:pt>
                <c:pt idx="2">
                  <c:v>58093</c:v>
                </c:pt>
                <c:pt idx="3">
                  <c:v>57166.734670000005</c:v>
                </c:pt>
                <c:pt idx="4">
                  <c:v>51883.468029999989</c:v>
                </c:pt>
                <c:pt idx="5">
                  <c:v>36069</c:v>
                </c:pt>
                <c:pt idx="6">
                  <c:v>22572.5723</c:v>
                </c:pt>
                <c:pt idx="7">
                  <c:v>23085</c:v>
                </c:pt>
                <c:pt idx="8">
                  <c:v>37055</c:v>
                </c:pt>
                <c:pt idx="9">
                  <c:v>36389.5</c:v>
                </c:pt>
                <c:pt idx="10">
                  <c:v>31175.928</c:v>
                </c:pt>
                <c:pt idx="11">
                  <c:v>46238.600000000006</c:v>
                </c:pt>
                <c:pt idx="12">
                  <c:v>46198.9</c:v>
                </c:pt>
                <c:pt idx="13">
                  <c:v>54710.487559999994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D-40FF-B372-7C8FC09AE1D6}"/>
            </c:ext>
          </c:extLst>
        </c:ser>
        <c:ser>
          <c:idx val="1"/>
          <c:order val="1"/>
          <c:tx>
            <c:strRef>
              <c:f>'FC 2009-2022 Aide k€'!$B$14</c:f>
              <c:strCache>
                <c:ptCount val="1"/>
                <c:pt idx="0">
                  <c:v>BCIAT/BCIB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'FC 2009-2022 Aide k€'!$C$12:$P$12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Aide k€'!$C$14:$P$14</c:f>
              <c:numCache>
                <c:formatCode>_-* #\ ##0_-;\-* #\ ##0_-;_-* "-"??_-;_-@_-</c:formatCode>
                <c:ptCount val="14"/>
                <c:pt idx="0">
                  <c:v>62783</c:v>
                </c:pt>
                <c:pt idx="1">
                  <c:v>91021.432229999991</c:v>
                </c:pt>
                <c:pt idx="2">
                  <c:v>38284</c:v>
                </c:pt>
                <c:pt idx="3">
                  <c:v>40503.417999999998</c:v>
                </c:pt>
                <c:pt idx="4">
                  <c:v>27125.606090000001</c:v>
                </c:pt>
                <c:pt idx="5">
                  <c:v>25817</c:v>
                </c:pt>
                <c:pt idx="6">
                  <c:v>47452.12</c:v>
                </c:pt>
                <c:pt idx="7">
                  <c:v>31192</c:v>
                </c:pt>
                <c:pt idx="8">
                  <c:v>7504</c:v>
                </c:pt>
                <c:pt idx="9">
                  <c:v>25316</c:v>
                </c:pt>
                <c:pt idx="10">
                  <c:v>34766</c:v>
                </c:pt>
                <c:pt idx="11">
                  <c:v>51040</c:v>
                </c:pt>
                <c:pt idx="12">
                  <c:v>40922</c:v>
                </c:pt>
                <c:pt idx="13">
                  <c:v>90843.479000000007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D-40FF-B372-7C8FC09AE1D6}"/>
            </c:ext>
          </c:extLst>
        </c:ser>
        <c:ser>
          <c:idx val="2"/>
          <c:order val="2"/>
          <c:tx>
            <c:strRef>
              <c:f>'FC 2009-2022 Aide k€'!$B$15</c:f>
              <c:strCache>
                <c:ptCount val="1"/>
                <c:pt idx="0">
                  <c:v>Géothermie et PAC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'FC 2009-2022 Aide k€'!$C$12:$P$12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Aide k€'!$C$15:$P$15</c:f>
              <c:numCache>
                <c:formatCode>_-* #\ ##0_-;\-* #\ ##0_-;_-* "-"??_-;_-@_-</c:formatCode>
                <c:ptCount val="14"/>
                <c:pt idx="0">
                  <c:v>4275</c:v>
                </c:pt>
                <c:pt idx="1">
                  <c:v>20921</c:v>
                </c:pt>
                <c:pt idx="2">
                  <c:v>26103</c:v>
                </c:pt>
                <c:pt idx="3">
                  <c:v>14483.69371</c:v>
                </c:pt>
                <c:pt idx="4">
                  <c:v>9165.08007</c:v>
                </c:pt>
                <c:pt idx="5">
                  <c:v>11592</c:v>
                </c:pt>
                <c:pt idx="6">
                  <c:v>19712.675999999999</c:v>
                </c:pt>
                <c:pt idx="7">
                  <c:v>17268</c:v>
                </c:pt>
                <c:pt idx="8">
                  <c:v>17811.7</c:v>
                </c:pt>
                <c:pt idx="9">
                  <c:v>22502</c:v>
                </c:pt>
                <c:pt idx="10">
                  <c:v>29225</c:v>
                </c:pt>
                <c:pt idx="11">
                  <c:v>30730.6</c:v>
                </c:pt>
                <c:pt idx="12">
                  <c:v>23831.3</c:v>
                </c:pt>
                <c:pt idx="13">
                  <c:v>34169.6086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CD-40FF-B372-7C8FC09AE1D6}"/>
            </c:ext>
          </c:extLst>
        </c:ser>
        <c:ser>
          <c:idx val="3"/>
          <c:order val="3"/>
          <c:tx>
            <c:strRef>
              <c:f>'FC 2009-2022 Aide k€'!$B$16</c:f>
              <c:strCache>
                <c:ptCount val="1"/>
                <c:pt idx="0">
                  <c:v>Biométhane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'FC 2009-2022 Aide k€'!$C$12:$P$12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Aide k€'!$C$16:$P$16</c:f>
              <c:numCache>
                <c:formatCode>_-* #\ ##0_-;\-* #\ ##0_-;_-* "-"??_-;_-@_-</c:formatCode>
                <c:ptCount val="14"/>
                <c:pt idx="0">
                  <c:v>361</c:v>
                </c:pt>
                <c:pt idx="1">
                  <c:v>538</c:v>
                </c:pt>
                <c:pt idx="2">
                  <c:v>1237</c:v>
                </c:pt>
                <c:pt idx="3">
                  <c:v>0</c:v>
                </c:pt>
                <c:pt idx="4">
                  <c:v>1648.8670199999999</c:v>
                </c:pt>
                <c:pt idx="5">
                  <c:v>3796</c:v>
                </c:pt>
                <c:pt idx="6">
                  <c:v>23562.952000000001</c:v>
                </c:pt>
                <c:pt idx="7">
                  <c:v>16659</c:v>
                </c:pt>
                <c:pt idx="8">
                  <c:v>18877</c:v>
                </c:pt>
                <c:pt idx="9">
                  <c:v>22498</c:v>
                </c:pt>
                <c:pt idx="10">
                  <c:v>55101</c:v>
                </c:pt>
                <c:pt idx="11">
                  <c:v>52521</c:v>
                </c:pt>
                <c:pt idx="12">
                  <c:v>41668</c:v>
                </c:pt>
                <c:pt idx="13">
                  <c:v>30990.111250000002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CD-40FF-B372-7C8FC09AE1D6}"/>
            </c:ext>
          </c:extLst>
        </c:ser>
        <c:ser>
          <c:idx val="4"/>
          <c:order val="4"/>
          <c:tx>
            <c:strRef>
              <c:f>'FC 2009-2022 Aide k€'!$B$17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'FC 2009-2022 Aide k€'!$C$12:$P$12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Aide k€'!$C$17:$P$17</c:f>
              <c:numCache>
                <c:formatCode>_-* #\ ##0_-;\-* #\ ##0_-;_-* "-"??_-;_-@_-</c:formatCode>
                <c:ptCount val="14"/>
                <c:pt idx="0">
                  <c:v>12672</c:v>
                </c:pt>
                <c:pt idx="1">
                  <c:v>19279</c:v>
                </c:pt>
                <c:pt idx="2">
                  <c:v>16323</c:v>
                </c:pt>
                <c:pt idx="3">
                  <c:v>10135</c:v>
                </c:pt>
                <c:pt idx="4">
                  <c:v>6132</c:v>
                </c:pt>
                <c:pt idx="5">
                  <c:v>5038</c:v>
                </c:pt>
                <c:pt idx="6">
                  <c:v>4090</c:v>
                </c:pt>
                <c:pt idx="7">
                  <c:v>2739</c:v>
                </c:pt>
                <c:pt idx="8">
                  <c:v>4547.33</c:v>
                </c:pt>
                <c:pt idx="9">
                  <c:v>5474.2</c:v>
                </c:pt>
                <c:pt idx="10">
                  <c:v>12661.056</c:v>
                </c:pt>
                <c:pt idx="11">
                  <c:v>4856.7</c:v>
                </c:pt>
                <c:pt idx="12">
                  <c:v>4049.7000000000003</c:v>
                </c:pt>
                <c:pt idx="13">
                  <c:v>9993.2621799999997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CD-40FF-B372-7C8FC09AE1D6}"/>
            </c:ext>
          </c:extLst>
        </c:ser>
        <c:ser>
          <c:idx val="5"/>
          <c:order val="5"/>
          <c:tx>
            <c:strRef>
              <c:f>'FC 2009-2022 Aide k€'!$B$18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'FC 2009-2022 Aide k€'!$C$12:$P$12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Aide k€'!$C$18:$P$18</c:f>
              <c:numCache>
                <c:formatCode>_-* #\ ##0_-;\-* #\ ##0_-;_-* "-"??_-;_-@_-</c:formatCode>
                <c:ptCount val="14"/>
                <c:pt idx="0">
                  <c:v>45202</c:v>
                </c:pt>
                <c:pt idx="1">
                  <c:v>75769</c:v>
                </c:pt>
                <c:pt idx="2">
                  <c:v>90648</c:v>
                </c:pt>
                <c:pt idx="3">
                  <c:v>98466.389820000011</c:v>
                </c:pt>
                <c:pt idx="4">
                  <c:v>96043.420539999992</c:v>
                </c:pt>
                <c:pt idx="5">
                  <c:v>49809</c:v>
                </c:pt>
                <c:pt idx="6">
                  <c:v>50057.094199999992</c:v>
                </c:pt>
                <c:pt idx="7">
                  <c:v>79220</c:v>
                </c:pt>
                <c:pt idx="8">
                  <c:v>87876.4</c:v>
                </c:pt>
                <c:pt idx="9">
                  <c:v>118902.99</c:v>
                </c:pt>
                <c:pt idx="10">
                  <c:v>103070.178</c:v>
                </c:pt>
                <c:pt idx="11">
                  <c:v>127864</c:v>
                </c:pt>
                <c:pt idx="12">
                  <c:v>135406.20000000001</c:v>
                </c:pt>
                <c:pt idx="13">
                  <c:v>220615.95671999999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CD-40FF-B372-7C8FC09AE1D6}"/>
            </c:ext>
          </c:extLst>
        </c:ser>
        <c:ser>
          <c:idx val="6"/>
          <c:order val="6"/>
          <c:tx>
            <c:strRef>
              <c:f>'FC 2009-2022 Aide k€'!$B$19</c:f>
              <c:strCache>
                <c:ptCount val="1"/>
                <c:pt idx="0">
                  <c:v>Récup Chaleur Fatale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2009-2022 Aide k€'!$C$12:$P$12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Aide k€'!$C$19:$P$19</c:f>
              <c:numCache>
                <c:formatCode>_-* #\ ##0_-;\-* #\ ##0_-;_-* "-"??_-;_-@_-</c:formatCode>
                <c:ptCount val="14"/>
                <c:pt idx="2">
                  <c:v>2254</c:v>
                </c:pt>
                <c:pt idx="3">
                  <c:v>1957.3</c:v>
                </c:pt>
                <c:pt idx="4">
                  <c:v>1118.6120000000001</c:v>
                </c:pt>
                <c:pt idx="5">
                  <c:v>1090</c:v>
                </c:pt>
                <c:pt idx="6">
                  <c:v>6912.1104999999998</c:v>
                </c:pt>
                <c:pt idx="7">
                  <c:v>4110</c:v>
                </c:pt>
                <c:pt idx="8">
                  <c:v>5761</c:v>
                </c:pt>
                <c:pt idx="9">
                  <c:v>6610</c:v>
                </c:pt>
                <c:pt idx="10">
                  <c:v>6608</c:v>
                </c:pt>
                <c:pt idx="11">
                  <c:v>1238</c:v>
                </c:pt>
                <c:pt idx="12">
                  <c:v>7206</c:v>
                </c:pt>
                <c:pt idx="13">
                  <c:v>19367.058059999999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CD-40FF-B372-7C8FC09AE1D6}"/>
            </c:ext>
          </c:extLst>
        </c:ser>
        <c:ser>
          <c:idx val="7"/>
          <c:order val="7"/>
          <c:tx>
            <c:strRef>
              <c:f>'FC 2009-2022 Aide k€'!$B$20</c:f>
              <c:strCache>
                <c:ptCount val="1"/>
                <c:pt idx="0">
                  <c:v>Froid EnR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2009-2022 Aide k€'!$C$12:$P$12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Aide k€'!$C$20:$P$20</c:f>
              <c:numCache>
                <c:formatCode>_-* #\ ##0_-;\-* #\ ##0_-;_-* "-"??_-;_-@_-</c:formatCode>
                <c:ptCount val="14"/>
                <c:pt idx="9">
                  <c:v>295</c:v>
                </c:pt>
                <c:pt idx="10">
                  <c:v>2332</c:v>
                </c:pt>
                <c:pt idx="11">
                  <c:v>107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CD-40FF-B372-7C8FC09AE1D6}"/>
            </c:ext>
          </c:extLst>
        </c:ser>
        <c:ser>
          <c:idx val="8"/>
          <c:order val="8"/>
          <c:tx>
            <c:strRef>
              <c:f>'FC 2009-2022 Aide k€'!$B$21</c:f>
              <c:strCache>
                <c:ptCount val="1"/>
                <c:pt idx="0">
                  <c:v>Approv Bois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2009-2022 Aide k€'!$C$12:$P$12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Aide k€'!$C$21:$P$21</c:f>
              <c:numCache>
                <c:formatCode>_-* #\ ##0_-;\-* #\ ##0_-;_-* "-"??_-;_-@_-</c:formatCode>
                <c:ptCount val="14"/>
                <c:pt idx="0">
                  <c:v>5072</c:v>
                </c:pt>
                <c:pt idx="1">
                  <c:v>52</c:v>
                </c:pt>
                <c:pt idx="2">
                  <c:v>0</c:v>
                </c:pt>
                <c:pt idx="3">
                  <c:v>0</c:v>
                </c:pt>
                <c:pt idx="4">
                  <c:v>1816</c:v>
                </c:pt>
                <c:pt idx="5">
                  <c:v>1646</c:v>
                </c:pt>
                <c:pt idx="6">
                  <c:v>13067</c:v>
                </c:pt>
                <c:pt idx="7">
                  <c:v>8222</c:v>
                </c:pt>
                <c:pt idx="8">
                  <c:v>1165</c:v>
                </c:pt>
                <c:pt idx="9">
                  <c:v>644</c:v>
                </c:pt>
                <c:pt idx="10">
                  <c:v>2021</c:v>
                </c:pt>
                <c:pt idx="11">
                  <c:v>2393</c:v>
                </c:pt>
                <c:pt idx="12">
                  <c:v>1627</c:v>
                </c:pt>
                <c:pt idx="13">
                  <c:v>2609.4072500000002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CD-40FF-B372-7C8FC09A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647279"/>
        <c:axId val="219649775"/>
      </c:barChart>
      <c:catAx>
        <c:axId val="21964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649775"/>
        <c:crosses val="autoZero"/>
        <c:auto val="1"/>
        <c:lblAlgn val="ctr"/>
        <c:lblOffset val="100"/>
        <c:noMultiLvlLbl val="0"/>
      </c:catAx>
      <c:valAx>
        <c:axId val="21964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64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Bilan Fonds Chaleur</a:t>
            </a:r>
            <a:r>
              <a:rPr lang="fr-FR" sz="1100" baseline="0"/>
              <a:t> - </a:t>
            </a:r>
            <a:r>
              <a:rPr lang="fr-FR" sz="1100"/>
              <a:t>Engagement production GWh/an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'FC 2009-2022 Prod GWh'!$B$5</c:f>
              <c:strCache>
                <c:ptCount val="1"/>
                <c:pt idx="0">
                  <c:v>Biomasse hors BCIAT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 2009-2022 Prod GWh'!$C$4:$P$4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Prod GWh'!$C$5:$P$5</c:f>
              <c:numCache>
                <c:formatCode>_-* #\ ##0_-;\-* #\ ##0_-;_-* "-"??_-;_-@_-</c:formatCode>
                <c:ptCount val="14"/>
                <c:pt idx="0">
                  <c:v>457.57072000000005</c:v>
                </c:pt>
                <c:pt idx="1">
                  <c:v>730.52682000000004</c:v>
                </c:pt>
                <c:pt idx="2">
                  <c:v>1363.71054</c:v>
                </c:pt>
                <c:pt idx="3">
                  <c:v>1471.57879</c:v>
                </c:pt>
                <c:pt idx="4">
                  <c:v>1228.17452</c:v>
                </c:pt>
                <c:pt idx="5">
                  <c:v>811.3204300000001</c:v>
                </c:pt>
                <c:pt idx="6">
                  <c:v>514.30186000000003</c:v>
                </c:pt>
                <c:pt idx="7">
                  <c:v>371.78784000000002</c:v>
                </c:pt>
                <c:pt idx="8">
                  <c:v>617.45996000000002</c:v>
                </c:pt>
                <c:pt idx="9">
                  <c:v>582.42200000000003</c:v>
                </c:pt>
                <c:pt idx="10">
                  <c:v>694.76400000000001</c:v>
                </c:pt>
                <c:pt idx="11">
                  <c:v>621.90200000000004</c:v>
                </c:pt>
                <c:pt idx="12">
                  <c:v>537.95500000000004</c:v>
                </c:pt>
                <c:pt idx="13">
                  <c:v>666.06799999999998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F-4F28-8FA2-3F3ADCFD73C0}"/>
            </c:ext>
          </c:extLst>
        </c:ser>
        <c:ser>
          <c:idx val="1"/>
          <c:order val="1"/>
          <c:tx>
            <c:strRef>
              <c:f>'FC 2009-2022 Prod GWh'!$B$6</c:f>
              <c:strCache>
                <c:ptCount val="1"/>
                <c:pt idx="0">
                  <c:v>Biomasse BCIAT/BCIB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'FC 2009-2022 Prod GWh'!$C$4:$P$4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Prod GWh'!$C$6:$P$6</c:f>
              <c:numCache>
                <c:formatCode>_-* #\ ##0_-;\-* #\ ##0_-;_-* "-"??_-;_-@_-</c:formatCode>
                <c:ptCount val="14"/>
                <c:pt idx="0">
                  <c:v>1714.3201500000002</c:v>
                </c:pt>
                <c:pt idx="1">
                  <c:v>2629.1126899999999</c:v>
                </c:pt>
                <c:pt idx="2">
                  <c:v>1259.9825700000001</c:v>
                </c:pt>
                <c:pt idx="3">
                  <c:v>1211.0667900000001</c:v>
                </c:pt>
                <c:pt idx="4">
                  <c:v>851.52534000000003</c:v>
                </c:pt>
                <c:pt idx="5">
                  <c:v>842.88424999999995</c:v>
                </c:pt>
                <c:pt idx="6">
                  <c:v>896.13801999999998</c:v>
                </c:pt>
                <c:pt idx="7">
                  <c:v>605.4694300000001</c:v>
                </c:pt>
                <c:pt idx="8">
                  <c:v>116.77683</c:v>
                </c:pt>
                <c:pt idx="9">
                  <c:v>397.13899999999995</c:v>
                </c:pt>
                <c:pt idx="10">
                  <c:v>860.57100000000003</c:v>
                </c:pt>
                <c:pt idx="11">
                  <c:v>1149.52</c:v>
                </c:pt>
                <c:pt idx="12">
                  <c:v>814.08600000000001</c:v>
                </c:pt>
                <c:pt idx="13">
                  <c:v>1178.8050000000001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F-4F28-8FA2-3F3ADCFD73C0}"/>
            </c:ext>
          </c:extLst>
        </c:ser>
        <c:ser>
          <c:idx val="2"/>
          <c:order val="2"/>
          <c:tx>
            <c:strRef>
              <c:f>'FC 2009-2022 Prod GWh'!$B$7</c:f>
              <c:strCache>
                <c:ptCount val="1"/>
                <c:pt idx="0">
                  <c:v>Géothermie et PAC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'FC 2009-2022 Prod GWh'!$C$4:$P$4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Prod GWh'!$C$7:$P$7</c:f>
              <c:numCache>
                <c:formatCode>_-* #\ ##0_-;\-* #\ ##0_-;_-* "-"??_-;_-@_-</c:formatCode>
                <c:ptCount val="14"/>
                <c:pt idx="0">
                  <c:v>39.914160000000003</c:v>
                </c:pt>
                <c:pt idx="1">
                  <c:v>149.82929000000001</c:v>
                </c:pt>
                <c:pt idx="2">
                  <c:v>353.93579000000005</c:v>
                </c:pt>
                <c:pt idx="3">
                  <c:v>160.82686100000001</c:v>
                </c:pt>
                <c:pt idx="4">
                  <c:v>232.87619899999993</c:v>
                </c:pt>
                <c:pt idx="5">
                  <c:v>199.11723000000001</c:v>
                </c:pt>
                <c:pt idx="6">
                  <c:v>412.2835</c:v>
                </c:pt>
                <c:pt idx="7">
                  <c:v>179.52068000000003</c:v>
                </c:pt>
                <c:pt idx="8">
                  <c:v>142.73499000000001</c:v>
                </c:pt>
                <c:pt idx="9">
                  <c:v>343.41500000000002</c:v>
                </c:pt>
                <c:pt idx="10">
                  <c:v>257.87599999999998</c:v>
                </c:pt>
                <c:pt idx="11">
                  <c:v>352.12200000000001</c:v>
                </c:pt>
                <c:pt idx="12">
                  <c:v>332.03</c:v>
                </c:pt>
                <c:pt idx="13">
                  <c:v>231.93916000000002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6F-4F28-8FA2-3F3ADCFD73C0}"/>
            </c:ext>
          </c:extLst>
        </c:ser>
        <c:ser>
          <c:idx val="3"/>
          <c:order val="3"/>
          <c:tx>
            <c:strRef>
              <c:f>'FC 2009-2022 Prod GWh'!$B$8</c:f>
              <c:strCache>
                <c:ptCount val="1"/>
                <c:pt idx="0">
                  <c:v>Biométhane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'FC 2009-2022 Prod GWh'!$C$4:$P$4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Prod GWh'!$C$8:$P$8</c:f>
              <c:numCache>
                <c:formatCode>_-* #\ ##0_-;\-* #\ ##0_-;_-* "-"??_-;_-@_-</c:formatCode>
                <c:ptCount val="14"/>
                <c:pt idx="0">
                  <c:v>16.386670000000002</c:v>
                </c:pt>
                <c:pt idx="1">
                  <c:v>36.390270000000001</c:v>
                </c:pt>
                <c:pt idx="2">
                  <c:v>93.388900000000007</c:v>
                </c:pt>
                <c:pt idx="3">
                  <c:v>166.58400999999998</c:v>
                </c:pt>
                <c:pt idx="4">
                  <c:v>117.28499999999998</c:v>
                </c:pt>
                <c:pt idx="5">
                  <c:v>241.81096000000002</c:v>
                </c:pt>
                <c:pt idx="6">
                  <c:v>417.59841000000006</c:v>
                </c:pt>
                <c:pt idx="7">
                  <c:v>343.60835000000003</c:v>
                </c:pt>
                <c:pt idx="8">
                  <c:v>298.32112999999998</c:v>
                </c:pt>
                <c:pt idx="9">
                  <c:v>628.61500000000001</c:v>
                </c:pt>
                <c:pt idx="10">
                  <c:v>1122.0540000000001</c:v>
                </c:pt>
                <c:pt idx="11">
                  <c:v>1125.9190000000001</c:v>
                </c:pt>
                <c:pt idx="12">
                  <c:v>1352.59</c:v>
                </c:pt>
                <c:pt idx="13">
                  <c:v>510.64600000000002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6F-4F28-8FA2-3F3ADCFD73C0}"/>
            </c:ext>
          </c:extLst>
        </c:ser>
        <c:ser>
          <c:idx val="4"/>
          <c:order val="4"/>
          <c:tx>
            <c:strRef>
              <c:f>'FC 2009-2022 Prod GWh'!$B$9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'FC 2009-2022 Prod GWh'!$C$4:$P$4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Prod GWh'!$C$9:$P$9</c:f>
              <c:numCache>
                <c:formatCode>_-* #\ ##0_-;\-* #\ ##0_-;_-* "-"??_-;_-@_-</c:formatCode>
                <c:ptCount val="14"/>
                <c:pt idx="0">
                  <c:v>12.223130000000001</c:v>
                </c:pt>
                <c:pt idx="1">
                  <c:v>19.108090000000001</c:v>
                </c:pt>
                <c:pt idx="2">
                  <c:v>18.514960000000002</c:v>
                </c:pt>
                <c:pt idx="3">
                  <c:v>11.211086000000002</c:v>
                </c:pt>
                <c:pt idx="4">
                  <c:v>6.8817440000000003</c:v>
                </c:pt>
                <c:pt idx="5">
                  <c:v>5.4893600000000005</c:v>
                </c:pt>
                <c:pt idx="6">
                  <c:v>4.0356100000000001</c:v>
                </c:pt>
                <c:pt idx="7">
                  <c:v>2.8958700000000004</c:v>
                </c:pt>
                <c:pt idx="8">
                  <c:v>6.8617000000000008</c:v>
                </c:pt>
                <c:pt idx="9">
                  <c:v>11.489000000000001</c:v>
                </c:pt>
                <c:pt idx="10">
                  <c:v>26.143000000000001</c:v>
                </c:pt>
                <c:pt idx="11">
                  <c:v>7.8109999999999999</c:v>
                </c:pt>
                <c:pt idx="12">
                  <c:v>8.1319999999999997</c:v>
                </c:pt>
                <c:pt idx="13">
                  <c:v>19.031496000000001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F-4F28-8FA2-3F3ADCFD73C0}"/>
            </c:ext>
          </c:extLst>
        </c:ser>
        <c:ser>
          <c:idx val="5"/>
          <c:order val="5"/>
          <c:tx>
            <c:strRef>
              <c:f>'FC 2009-2022 Prod GWh'!$B$10</c:f>
              <c:strCache>
                <c:ptCount val="1"/>
                <c:pt idx="0">
                  <c:v>UIOM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'FC 2009-2022 Prod GWh'!$C$4:$P$4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Prod GWh'!$C$10:$P$10</c:f>
              <c:numCache>
                <c:formatCode>_-* #\ ##0_-;\-* #\ ##0_-;_-* "-"??_-;_-@_-</c:formatCode>
                <c:ptCount val="14"/>
                <c:pt idx="0">
                  <c:v>34.994670000000006</c:v>
                </c:pt>
                <c:pt idx="1">
                  <c:v>240.36884000000003</c:v>
                </c:pt>
                <c:pt idx="2">
                  <c:v>189.74345000000002</c:v>
                </c:pt>
                <c:pt idx="3">
                  <c:v>312.61200000000002</c:v>
                </c:pt>
                <c:pt idx="4">
                  <c:v>229.39149999999998</c:v>
                </c:pt>
                <c:pt idx="5">
                  <c:v>98.889889999999994</c:v>
                </c:pt>
                <c:pt idx="6">
                  <c:v>425.87897000000004</c:v>
                </c:pt>
                <c:pt idx="7">
                  <c:v>253.91779</c:v>
                </c:pt>
                <c:pt idx="8">
                  <c:v>721.68802000000005</c:v>
                </c:pt>
                <c:pt idx="9">
                  <c:v>505.91199999999998</c:v>
                </c:pt>
                <c:pt idx="10">
                  <c:v>395.97699999999998</c:v>
                </c:pt>
                <c:pt idx="11">
                  <c:v>508.26999999999992</c:v>
                </c:pt>
                <c:pt idx="12">
                  <c:v>225.78299999999999</c:v>
                </c:pt>
                <c:pt idx="13">
                  <c:v>309.47500000000002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6F-4F28-8FA2-3F3ADCFD73C0}"/>
            </c:ext>
          </c:extLst>
        </c:ser>
        <c:ser>
          <c:idx val="6"/>
          <c:order val="6"/>
          <c:tx>
            <c:strRef>
              <c:f>'FC 2009-2022 Prod GWh'!$B$11</c:f>
              <c:strCache>
                <c:ptCount val="1"/>
                <c:pt idx="0">
                  <c:v>Récup Process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2009-2022 Prod GWh'!$C$4:$P$4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Prod GWh'!$C$11:$P$11</c:f>
              <c:numCache>
                <c:formatCode>_-* #\ ##0_-;\-* #\ ##0_-;_-* "-"??_-;_-@_-</c:formatCode>
                <c:ptCount val="14"/>
                <c:pt idx="0">
                  <c:v>0</c:v>
                </c:pt>
                <c:pt idx="1">
                  <c:v>52.009360000000001</c:v>
                </c:pt>
                <c:pt idx="2">
                  <c:v>33.23854</c:v>
                </c:pt>
                <c:pt idx="3">
                  <c:v>146.17699999999999</c:v>
                </c:pt>
                <c:pt idx="4">
                  <c:v>32.812529999999995</c:v>
                </c:pt>
                <c:pt idx="5">
                  <c:v>25.772080000000003</c:v>
                </c:pt>
                <c:pt idx="6">
                  <c:v>246.31177000000002</c:v>
                </c:pt>
                <c:pt idx="7">
                  <c:v>319.09231</c:v>
                </c:pt>
                <c:pt idx="8">
                  <c:v>90.388360000000006</c:v>
                </c:pt>
                <c:pt idx="9">
                  <c:v>97.65000000000002</c:v>
                </c:pt>
                <c:pt idx="10">
                  <c:v>283.363</c:v>
                </c:pt>
                <c:pt idx="11">
                  <c:v>183.92099999999999</c:v>
                </c:pt>
                <c:pt idx="12">
                  <c:v>56.704000000000001</c:v>
                </c:pt>
                <c:pt idx="13">
                  <c:v>565.81899999999996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6F-4F28-8FA2-3F3ADCFD73C0}"/>
            </c:ext>
          </c:extLst>
        </c:ser>
        <c:ser>
          <c:idx val="7"/>
          <c:order val="7"/>
          <c:tx>
            <c:strRef>
              <c:f>'FC 2009-2022 Prod GWh'!$B$12</c:f>
              <c:strCache>
                <c:ptCount val="1"/>
                <c:pt idx="0">
                  <c:v>Froid EnR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2009-2022 Prod GWh'!$C$4:$P$4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Prod GWh'!$C$12:$P$12</c:f>
              <c:numCache>
                <c:formatCode>_-* #\ ##0_-;\-* #\ ##0_-;_-*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4.9340000000000002</c:v>
                </c:pt>
                <c:pt idx="10">
                  <c:v>203.53299999999996</c:v>
                </c:pt>
                <c:pt idx="11">
                  <c:v>0.53300000000000003</c:v>
                </c:pt>
                <c:pt idx="12">
                  <c:v>8.4090000000000007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6F-4F28-8FA2-3F3ADCFD73C0}"/>
            </c:ext>
          </c:extLst>
        </c:ser>
        <c:ser>
          <c:idx val="8"/>
          <c:order val="8"/>
          <c:tx>
            <c:strRef>
              <c:f>'FC 2009-2022 Prod GWh'!$B$13</c:f>
              <c:strCache>
                <c:ptCount val="1"/>
                <c:pt idx="0">
                  <c:v>Mélange EnR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2009-2022 Prod GWh'!$C$4:$P$4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Prod GWh'!$C$13:$P$13</c:f>
              <c:numCache>
                <c:formatCode>_-* #\ ##0_-;\-* #\ ##0_-;_-* "-"??_-;_-@_-</c:formatCode>
                <c:ptCount val="14"/>
                <c:pt idx="0">
                  <c:v>0</c:v>
                </c:pt>
                <c:pt idx="1">
                  <c:v>27.516580000000001</c:v>
                </c:pt>
                <c:pt idx="2">
                  <c:v>72.745650000000012</c:v>
                </c:pt>
                <c:pt idx="3">
                  <c:v>0</c:v>
                </c:pt>
                <c:pt idx="4">
                  <c:v>121.336</c:v>
                </c:pt>
                <c:pt idx="5">
                  <c:v>3.9193100000000003</c:v>
                </c:pt>
                <c:pt idx="6">
                  <c:v>15.828430000000001</c:v>
                </c:pt>
                <c:pt idx="7">
                  <c:v>6.7221400000000004</c:v>
                </c:pt>
                <c:pt idx="8">
                  <c:v>11.350880000000002</c:v>
                </c:pt>
                <c:pt idx="9">
                  <c:v>46.061</c:v>
                </c:pt>
                <c:pt idx="10">
                  <c:v>33.238999999999997</c:v>
                </c:pt>
                <c:pt idx="11">
                  <c:v>0</c:v>
                </c:pt>
                <c:pt idx="12">
                  <c:v>12.529</c:v>
                </c:pt>
                <c:pt idx="13">
                  <c:v>197.923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6F-4F28-8FA2-3F3ADCFD7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2526623"/>
        <c:axId val="372534527"/>
      </c:barChart>
      <c:catAx>
        <c:axId val="37252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2534527"/>
        <c:crosses val="autoZero"/>
        <c:auto val="1"/>
        <c:lblAlgn val="ctr"/>
        <c:lblOffset val="100"/>
        <c:noMultiLvlLbl val="0"/>
      </c:catAx>
      <c:valAx>
        <c:axId val="37253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252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000" b="0" i="0" baseline="0">
                <a:effectLst/>
              </a:rPr>
              <a:t>Bilan Fonds Chaleur + FDI BCIAT - Engagement production GWh/an</a:t>
            </a:r>
            <a:endParaRPr lang="fr-FR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'FC 2009-2022 Prod GWh'!$B$5</c:f>
              <c:strCache>
                <c:ptCount val="1"/>
                <c:pt idx="0">
                  <c:v>Biomasse hors BCIAT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 2009-2022 Prod GWh'!$C$4:$P$4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Prod GWh'!$C$5:$P$5</c:f>
              <c:numCache>
                <c:formatCode>_-* #\ ##0_-;\-* #\ ##0_-;_-* "-"??_-;_-@_-</c:formatCode>
                <c:ptCount val="14"/>
                <c:pt idx="0">
                  <c:v>457.57072000000005</c:v>
                </c:pt>
                <c:pt idx="1">
                  <c:v>730.52682000000004</c:v>
                </c:pt>
                <c:pt idx="2">
                  <c:v>1363.71054</c:v>
                </c:pt>
                <c:pt idx="3">
                  <c:v>1471.57879</c:v>
                </c:pt>
                <c:pt idx="4">
                  <c:v>1228.17452</c:v>
                </c:pt>
                <c:pt idx="5">
                  <c:v>811.3204300000001</c:v>
                </c:pt>
                <c:pt idx="6">
                  <c:v>514.30186000000003</c:v>
                </c:pt>
                <c:pt idx="7">
                  <c:v>371.78784000000002</c:v>
                </c:pt>
                <c:pt idx="8">
                  <c:v>617.45996000000002</c:v>
                </c:pt>
                <c:pt idx="9">
                  <c:v>582.42200000000003</c:v>
                </c:pt>
                <c:pt idx="10">
                  <c:v>694.76400000000001</c:v>
                </c:pt>
                <c:pt idx="11">
                  <c:v>621.90200000000004</c:v>
                </c:pt>
                <c:pt idx="12">
                  <c:v>537.95500000000004</c:v>
                </c:pt>
                <c:pt idx="13">
                  <c:v>666.06799999999998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5-4B5F-B003-86EF6B5C8BAE}"/>
            </c:ext>
          </c:extLst>
        </c:ser>
        <c:ser>
          <c:idx val="1"/>
          <c:order val="1"/>
          <c:tx>
            <c:strRef>
              <c:f>'FC 2009-2022 Prod GWh'!$B$6</c:f>
              <c:strCache>
                <c:ptCount val="1"/>
                <c:pt idx="0">
                  <c:v>Biomasse BCIAT/BCIB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'FC 2009-2022 Prod GWh'!$C$4:$P$4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Prod GWh'!$C$6:$P$6</c:f>
              <c:numCache>
                <c:formatCode>_-* #\ ##0_-;\-* #\ ##0_-;_-* "-"??_-;_-@_-</c:formatCode>
                <c:ptCount val="14"/>
                <c:pt idx="0">
                  <c:v>1714.3201500000002</c:v>
                </c:pt>
                <c:pt idx="1">
                  <c:v>2629.1126899999999</c:v>
                </c:pt>
                <c:pt idx="2">
                  <c:v>1259.9825700000001</c:v>
                </c:pt>
                <c:pt idx="3">
                  <c:v>1211.0667900000001</c:v>
                </c:pt>
                <c:pt idx="4">
                  <c:v>851.52534000000003</c:v>
                </c:pt>
                <c:pt idx="5">
                  <c:v>842.88424999999995</c:v>
                </c:pt>
                <c:pt idx="6">
                  <c:v>896.13801999999998</c:v>
                </c:pt>
                <c:pt idx="7">
                  <c:v>605.4694300000001</c:v>
                </c:pt>
                <c:pt idx="8">
                  <c:v>116.77683</c:v>
                </c:pt>
                <c:pt idx="9">
                  <c:v>397.13899999999995</c:v>
                </c:pt>
                <c:pt idx="10">
                  <c:v>860.57100000000003</c:v>
                </c:pt>
                <c:pt idx="11">
                  <c:v>1149.52</c:v>
                </c:pt>
                <c:pt idx="12">
                  <c:v>814.08600000000001</c:v>
                </c:pt>
                <c:pt idx="13">
                  <c:v>1178.8050000000001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5-4B5F-B003-86EF6B5C8BAE}"/>
            </c:ext>
          </c:extLst>
        </c:ser>
        <c:ser>
          <c:idx val="2"/>
          <c:order val="2"/>
          <c:tx>
            <c:strRef>
              <c:f>'FC 2009-2022 Prod GWh'!$B$7</c:f>
              <c:strCache>
                <c:ptCount val="1"/>
                <c:pt idx="0">
                  <c:v>Géothermie et PAC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'FC 2009-2022 Prod GWh'!$C$4:$P$4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Prod GWh'!$C$7:$P$7</c:f>
              <c:numCache>
                <c:formatCode>_-* #\ ##0_-;\-* #\ ##0_-;_-* "-"??_-;_-@_-</c:formatCode>
                <c:ptCount val="14"/>
                <c:pt idx="0">
                  <c:v>39.914160000000003</c:v>
                </c:pt>
                <c:pt idx="1">
                  <c:v>149.82929000000001</c:v>
                </c:pt>
                <c:pt idx="2">
                  <c:v>353.93579000000005</c:v>
                </c:pt>
                <c:pt idx="3">
                  <c:v>160.82686100000001</c:v>
                </c:pt>
                <c:pt idx="4">
                  <c:v>232.87619899999993</c:v>
                </c:pt>
                <c:pt idx="5">
                  <c:v>199.11723000000001</c:v>
                </c:pt>
                <c:pt idx="6">
                  <c:v>412.2835</c:v>
                </c:pt>
                <c:pt idx="7">
                  <c:v>179.52068000000003</c:v>
                </c:pt>
                <c:pt idx="8">
                  <c:v>142.73499000000001</c:v>
                </c:pt>
                <c:pt idx="9">
                  <c:v>343.41500000000002</c:v>
                </c:pt>
                <c:pt idx="10">
                  <c:v>257.87599999999998</c:v>
                </c:pt>
                <c:pt idx="11">
                  <c:v>352.12200000000001</c:v>
                </c:pt>
                <c:pt idx="12">
                  <c:v>332.03</c:v>
                </c:pt>
                <c:pt idx="13">
                  <c:v>231.93916000000002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5-4B5F-B003-86EF6B5C8BAE}"/>
            </c:ext>
          </c:extLst>
        </c:ser>
        <c:ser>
          <c:idx val="3"/>
          <c:order val="3"/>
          <c:tx>
            <c:strRef>
              <c:f>'FC 2009-2022 Prod GWh'!$B$8</c:f>
              <c:strCache>
                <c:ptCount val="1"/>
                <c:pt idx="0">
                  <c:v>Biométhane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'FC 2009-2022 Prod GWh'!$C$4:$P$4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Prod GWh'!$C$8:$P$8</c:f>
              <c:numCache>
                <c:formatCode>_-* #\ ##0_-;\-* #\ ##0_-;_-* "-"??_-;_-@_-</c:formatCode>
                <c:ptCount val="14"/>
                <c:pt idx="0">
                  <c:v>16.386670000000002</c:v>
                </c:pt>
                <c:pt idx="1">
                  <c:v>36.390270000000001</c:v>
                </c:pt>
                <c:pt idx="2">
                  <c:v>93.388900000000007</c:v>
                </c:pt>
                <c:pt idx="3">
                  <c:v>166.58400999999998</c:v>
                </c:pt>
                <c:pt idx="4">
                  <c:v>117.28499999999998</c:v>
                </c:pt>
                <c:pt idx="5">
                  <c:v>241.81096000000002</c:v>
                </c:pt>
                <c:pt idx="6">
                  <c:v>417.59841000000006</c:v>
                </c:pt>
                <c:pt idx="7">
                  <c:v>343.60835000000003</c:v>
                </c:pt>
                <c:pt idx="8">
                  <c:v>298.32112999999998</c:v>
                </c:pt>
                <c:pt idx="9">
                  <c:v>628.61500000000001</c:v>
                </c:pt>
                <c:pt idx="10">
                  <c:v>1122.0540000000001</c:v>
                </c:pt>
                <c:pt idx="11">
                  <c:v>1125.9190000000001</c:v>
                </c:pt>
                <c:pt idx="12">
                  <c:v>1352.59</c:v>
                </c:pt>
                <c:pt idx="13">
                  <c:v>510.64600000000002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95-4B5F-B003-86EF6B5C8BAE}"/>
            </c:ext>
          </c:extLst>
        </c:ser>
        <c:ser>
          <c:idx val="4"/>
          <c:order val="4"/>
          <c:tx>
            <c:strRef>
              <c:f>'FC 2009-2022 Prod GWh'!$B$9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'FC 2009-2022 Prod GWh'!$C$4:$P$4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Prod GWh'!$C$9:$P$9</c:f>
              <c:numCache>
                <c:formatCode>_-* #\ ##0_-;\-* #\ ##0_-;_-* "-"??_-;_-@_-</c:formatCode>
                <c:ptCount val="14"/>
                <c:pt idx="0">
                  <c:v>12.223130000000001</c:v>
                </c:pt>
                <c:pt idx="1">
                  <c:v>19.108090000000001</c:v>
                </c:pt>
                <c:pt idx="2">
                  <c:v>18.514960000000002</c:v>
                </c:pt>
                <c:pt idx="3">
                  <c:v>11.211086000000002</c:v>
                </c:pt>
                <c:pt idx="4">
                  <c:v>6.8817440000000003</c:v>
                </c:pt>
                <c:pt idx="5">
                  <c:v>5.4893600000000005</c:v>
                </c:pt>
                <c:pt idx="6">
                  <c:v>4.0356100000000001</c:v>
                </c:pt>
                <c:pt idx="7">
                  <c:v>2.8958700000000004</c:v>
                </c:pt>
                <c:pt idx="8">
                  <c:v>6.8617000000000008</c:v>
                </c:pt>
                <c:pt idx="9">
                  <c:v>11.489000000000001</c:v>
                </c:pt>
                <c:pt idx="10">
                  <c:v>26.143000000000001</c:v>
                </c:pt>
                <c:pt idx="11">
                  <c:v>7.8109999999999999</c:v>
                </c:pt>
                <c:pt idx="12">
                  <c:v>8.1319999999999997</c:v>
                </c:pt>
                <c:pt idx="13">
                  <c:v>19.031496000000001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95-4B5F-B003-86EF6B5C8BAE}"/>
            </c:ext>
          </c:extLst>
        </c:ser>
        <c:ser>
          <c:idx val="5"/>
          <c:order val="5"/>
          <c:tx>
            <c:strRef>
              <c:f>'FC 2009-2022 Prod GWh'!$B$10</c:f>
              <c:strCache>
                <c:ptCount val="1"/>
                <c:pt idx="0">
                  <c:v>UIOM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'FC 2009-2022 Prod GWh'!$C$4:$P$4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Prod GWh'!$C$10:$P$10</c:f>
              <c:numCache>
                <c:formatCode>_-* #\ ##0_-;\-* #\ ##0_-;_-* "-"??_-;_-@_-</c:formatCode>
                <c:ptCount val="14"/>
                <c:pt idx="0">
                  <c:v>34.994670000000006</c:v>
                </c:pt>
                <c:pt idx="1">
                  <c:v>240.36884000000003</c:v>
                </c:pt>
                <c:pt idx="2">
                  <c:v>189.74345000000002</c:v>
                </c:pt>
                <c:pt idx="3">
                  <c:v>312.61200000000002</c:v>
                </c:pt>
                <c:pt idx="4">
                  <c:v>229.39149999999998</c:v>
                </c:pt>
                <c:pt idx="5">
                  <c:v>98.889889999999994</c:v>
                </c:pt>
                <c:pt idx="6">
                  <c:v>425.87897000000004</c:v>
                </c:pt>
                <c:pt idx="7">
                  <c:v>253.91779</c:v>
                </c:pt>
                <c:pt idx="8">
                  <c:v>721.68802000000005</c:v>
                </c:pt>
                <c:pt idx="9">
                  <c:v>505.91199999999998</c:v>
                </c:pt>
                <c:pt idx="10">
                  <c:v>395.97699999999998</c:v>
                </c:pt>
                <c:pt idx="11">
                  <c:v>508.26999999999992</c:v>
                </c:pt>
                <c:pt idx="12">
                  <c:v>225.78299999999999</c:v>
                </c:pt>
                <c:pt idx="13">
                  <c:v>309.47500000000002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95-4B5F-B003-86EF6B5C8BAE}"/>
            </c:ext>
          </c:extLst>
        </c:ser>
        <c:ser>
          <c:idx val="6"/>
          <c:order val="6"/>
          <c:tx>
            <c:strRef>
              <c:f>'FC 2009-2022 Prod GWh'!$B$11</c:f>
              <c:strCache>
                <c:ptCount val="1"/>
                <c:pt idx="0">
                  <c:v>Récup Process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2009-2022 Prod GWh'!$C$4:$P$4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Prod GWh'!$C$11:$P$11</c:f>
              <c:numCache>
                <c:formatCode>_-* #\ ##0_-;\-* #\ ##0_-;_-* "-"??_-;_-@_-</c:formatCode>
                <c:ptCount val="14"/>
                <c:pt idx="0">
                  <c:v>0</c:v>
                </c:pt>
                <c:pt idx="1">
                  <c:v>52.009360000000001</c:v>
                </c:pt>
                <c:pt idx="2">
                  <c:v>33.23854</c:v>
                </c:pt>
                <c:pt idx="3">
                  <c:v>146.17699999999999</c:v>
                </c:pt>
                <c:pt idx="4">
                  <c:v>32.812529999999995</c:v>
                </c:pt>
                <c:pt idx="5">
                  <c:v>25.772080000000003</c:v>
                </c:pt>
                <c:pt idx="6">
                  <c:v>246.31177000000002</c:v>
                </c:pt>
                <c:pt idx="7">
                  <c:v>319.09231</c:v>
                </c:pt>
                <c:pt idx="8">
                  <c:v>90.388360000000006</c:v>
                </c:pt>
                <c:pt idx="9">
                  <c:v>97.65000000000002</c:v>
                </c:pt>
                <c:pt idx="10">
                  <c:v>283.363</c:v>
                </c:pt>
                <c:pt idx="11">
                  <c:v>183.92099999999999</c:v>
                </c:pt>
                <c:pt idx="12">
                  <c:v>56.704000000000001</c:v>
                </c:pt>
                <c:pt idx="13">
                  <c:v>565.81899999999996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95-4B5F-B003-86EF6B5C8BAE}"/>
            </c:ext>
          </c:extLst>
        </c:ser>
        <c:ser>
          <c:idx val="7"/>
          <c:order val="7"/>
          <c:tx>
            <c:strRef>
              <c:f>'FC 2009-2022 Prod GWh'!$B$12</c:f>
              <c:strCache>
                <c:ptCount val="1"/>
                <c:pt idx="0">
                  <c:v>Froid EnR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2009-2022 Prod GWh'!$C$4:$P$4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Prod GWh'!$C$12:$P$12</c:f>
              <c:numCache>
                <c:formatCode>_-* #\ ##0_-;\-* #\ ##0_-;_-*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4.9340000000000002</c:v>
                </c:pt>
                <c:pt idx="10">
                  <c:v>203.53299999999996</c:v>
                </c:pt>
                <c:pt idx="11">
                  <c:v>0.53300000000000003</c:v>
                </c:pt>
                <c:pt idx="12">
                  <c:v>8.4090000000000007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95-4B5F-B003-86EF6B5C8BAE}"/>
            </c:ext>
          </c:extLst>
        </c:ser>
        <c:ser>
          <c:idx val="8"/>
          <c:order val="8"/>
          <c:tx>
            <c:strRef>
              <c:f>'FC 2009-2022 Prod GWh'!$B$13</c:f>
              <c:strCache>
                <c:ptCount val="1"/>
                <c:pt idx="0">
                  <c:v>Mélange EnR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2009-2022 Prod GWh'!$C$4:$P$4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Prod GWh'!$C$13:$P$13</c:f>
              <c:numCache>
                <c:formatCode>_-* #\ ##0_-;\-* #\ ##0_-;_-* "-"??_-;_-@_-</c:formatCode>
                <c:ptCount val="14"/>
                <c:pt idx="0">
                  <c:v>0</c:v>
                </c:pt>
                <c:pt idx="1">
                  <c:v>27.516580000000001</c:v>
                </c:pt>
                <c:pt idx="2">
                  <c:v>72.745650000000012</c:v>
                </c:pt>
                <c:pt idx="3">
                  <c:v>0</c:v>
                </c:pt>
                <c:pt idx="4">
                  <c:v>121.336</c:v>
                </c:pt>
                <c:pt idx="5">
                  <c:v>3.9193100000000003</c:v>
                </c:pt>
                <c:pt idx="6">
                  <c:v>15.828430000000001</c:v>
                </c:pt>
                <c:pt idx="7">
                  <c:v>6.7221400000000004</c:v>
                </c:pt>
                <c:pt idx="8">
                  <c:v>11.350880000000002</c:v>
                </c:pt>
                <c:pt idx="9">
                  <c:v>46.061</c:v>
                </c:pt>
                <c:pt idx="10">
                  <c:v>33.238999999999997</c:v>
                </c:pt>
                <c:pt idx="11">
                  <c:v>0</c:v>
                </c:pt>
                <c:pt idx="12">
                  <c:v>12.529</c:v>
                </c:pt>
                <c:pt idx="13">
                  <c:v>197.923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95-4B5F-B003-86EF6B5C8BAE}"/>
            </c:ext>
          </c:extLst>
        </c:ser>
        <c:ser>
          <c:idx val="9"/>
          <c:order val="9"/>
          <c:tx>
            <c:strRef>
              <c:f>'FC 2009-2022 Prod GWh'!$B$16</c:f>
              <c:strCache>
                <c:ptCount val="1"/>
                <c:pt idx="0">
                  <c:v>BCIAT FDI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2009-2022 Prod GWh'!$C$4:$P$4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Prod GWh'!$C$16:$P$16</c:f>
              <c:numCache>
                <c:formatCode>_-* #\ ##0_-;\-* #\ ##0_-;_-* "-"??_-;_-@_-</c:formatCode>
                <c:ptCount val="14"/>
                <c:pt idx="12">
                  <c:v>1558.453</c:v>
                </c:pt>
                <c:pt idx="13">
                  <c:v>2632.7939999999999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95-4B5F-B003-86EF6B5C8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3699088"/>
        <c:axId val="2033705744"/>
      </c:barChart>
      <c:catAx>
        <c:axId val="203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3705744"/>
        <c:crosses val="autoZero"/>
        <c:auto val="1"/>
        <c:lblAlgn val="ctr"/>
        <c:lblOffset val="100"/>
        <c:noMultiLvlLbl val="0"/>
      </c:catAx>
      <c:valAx>
        <c:axId val="20337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369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000" b="1" i="0" baseline="0">
                <a:effectLst/>
              </a:rPr>
              <a:t>Bilan Fonds Chaleur 2009/2022- </a:t>
            </a:r>
          </a:p>
          <a:p>
            <a:pPr>
              <a:defRPr sz="1000"/>
            </a:pPr>
            <a:r>
              <a:rPr lang="fr-FR" sz="1000" b="1" i="0" baseline="0">
                <a:effectLst/>
              </a:rPr>
              <a:t>repartition des Engagements production 42,6 TWh/an</a:t>
            </a:r>
            <a:endParaRPr lang="fr-FR" sz="10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'FC 2009-2022 Prod GWh'!$Q$4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5FD-4C9F-BF9C-9461518439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FD-4C9F-BF9C-9461518439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5FD-4C9F-BF9C-9461518439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5FD-4C9F-BF9C-9461518439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5FD-4C9F-BF9C-9461518439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5FD-4C9F-BF9C-9461518439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5FD-4C9F-BF9C-9461518439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5FD-4C9F-BF9C-94615184393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5FD-4C9F-BF9C-94615184393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5FD-4C9F-BF9C-94615184393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5FD-4C9F-BF9C-94615184393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5FD-4C9F-BF9C-94615184393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5FD-4C9F-BF9C-94615184393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E5FD-4C9F-BF9C-94615184393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E5FD-4C9F-BF9C-94615184393C}"/>
                </c:ext>
              </c:extLst>
            </c:dLbl>
            <c:dLbl>
              <c:idx val="6"/>
              <c:layout>
                <c:manualLayout>
                  <c:x val="-2.1225277375783922E-2"/>
                  <c:y val="3.093580066236701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5FD-4C9F-BF9C-94615184393C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E5FD-4C9F-BF9C-94615184393C}"/>
                </c:ext>
              </c:extLst>
            </c:dLbl>
            <c:dLbl>
              <c:idx val="8"/>
              <c:layout>
                <c:manualLayout>
                  <c:x val="9.2619392185238777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5FD-4C9F-BF9C-94615184393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'FC 2009-2022 Prod GWh'!$B$5:$B$13</c:f>
              <c:strCache>
                <c:ptCount val="9"/>
                <c:pt idx="0">
                  <c:v>Biomasse hors BCIAT</c:v>
                </c:pt>
                <c:pt idx="1">
                  <c:v>Biomasse BCIAT/BCIB</c:v>
                </c:pt>
                <c:pt idx="2">
                  <c:v>Géothermie et PAC</c:v>
                </c:pt>
                <c:pt idx="3">
                  <c:v>Biométhane</c:v>
                </c:pt>
                <c:pt idx="4">
                  <c:v>Solaire</c:v>
                </c:pt>
                <c:pt idx="5">
                  <c:v>UIOM</c:v>
                </c:pt>
                <c:pt idx="6">
                  <c:v>Récup Process</c:v>
                </c:pt>
                <c:pt idx="7">
                  <c:v>Froid EnR</c:v>
                </c:pt>
                <c:pt idx="8">
                  <c:v>Mélange EnR </c:v>
                </c:pt>
              </c:strCache>
            </c:strRef>
          </c:cat>
          <c:val>
            <c:numRef>
              <c:f>'FC 2009-2022 Prod GWh'!$Q$5:$Q$13</c:f>
              <c:numCache>
                <c:formatCode>_-* #\ ##0_-;\-* #\ ##0_-;_-* "-"??_-;_-@_-</c:formatCode>
                <c:ptCount val="9"/>
                <c:pt idx="0">
                  <c:v>10669.542479999998</c:v>
                </c:pt>
                <c:pt idx="1">
                  <c:v>14527.397070000001</c:v>
                </c:pt>
                <c:pt idx="2">
                  <c:v>3388.4208600000002</c:v>
                </c:pt>
                <c:pt idx="3">
                  <c:v>6471.1976999999997</c:v>
                </c:pt>
                <c:pt idx="4">
                  <c:v>159.82804600000003</c:v>
                </c:pt>
                <c:pt idx="5">
                  <c:v>4452.9021300000004</c:v>
                </c:pt>
                <c:pt idx="6">
                  <c:v>2133.2589500000004</c:v>
                </c:pt>
                <c:pt idx="7">
                  <c:v>217.40899999999993</c:v>
                </c:pt>
                <c:pt idx="8">
                  <c:v>549.17098999999996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5FD-4C9F-BF9C-94615184393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'FC 2009-2022 Prod GWh'!$Q$4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19-4323-AEBC-AFD975D3B3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19-4323-AEBC-AFD975D3B3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19-4323-AEBC-AFD975D3B3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619-4323-AEBC-AFD975D3B3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619-4323-AEBC-AFD975D3B3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619-4323-AEBC-AFD975D3B3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619-4323-AEBC-AFD975D3B39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619-4323-AEBC-AFD975D3B39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619-4323-AEBC-AFD975D3B39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619-4323-AEBC-AFD975D3B39C}"/>
              </c:ext>
            </c:extLst>
          </c:dPt>
          <c:dLbls>
            <c:dLbl>
              <c:idx val="0"/>
              <c:layout>
                <c:manualLayout>
                  <c:x val="0.125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19-4323-AEBC-AFD975D3B39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619-4323-AEBC-AFD975D3B39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619-4323-AEBC-AFD975D3B39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6619-4323-AEBC-AFD975D3B39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6619-4323-AEBC-AFD975D3B39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6619-4323-AEBC-AFD975D3B39C}"/>
                </c:ext>
              </c:extLst>
            </c:dLbl>
            <c:dLbl>
              <c:idx val="6"/>
              <c:layout>
                <c:manualLayout>
                  <c:x val="-0.13055555555555559"/>
                  <c:y val="1.38888888888888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619-4323-AEBC-AFD975D3B39C}"/>
                </c:ext>
              </c:extLst>
            </c:dLbl>
            <c:dLbl>
              <c:idx val="7"/>
              <c:layout>
                <c:manualLayout>
                  <c:x val="-6.6666666666666693E-2"/>
                  <c:y val="-1.38888888888888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619-4323-AEBC-AFD975D3B39C}"/>
                </c:ext>
              </c:extLst>
            </c:dLbl>
            <c:dLbl>
              <c:idx val="8"/>
              <c:layout>
                <c:manualLayout>
                  <c:x val="0.11666666666666667"/>
                  <c:y val="-3.70370370370370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619-4323-AEBC-AFD975D3B39C}"/>
                </c:ext>
              </c:extLst>
            </c:dLbl>
            <c:dLbl>
              <c:idx val="9"/>
              <c:layout>
                <c:manualLayout>
                  <c:x val="0.19444444444444445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619-4323-AEBC-AFD975D3B39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('FC 2009-2022 Prod GWh'!$B$5:$B$13,'FC 2009-2022 Prod GWh'!$B$16)</c:f>
              <c:strCache>
                <c:ptCount val="10"/>
                <c:pt idx="0">
                  <c:v>Biomasse hors BCIAT</c:v>
                </c:pt>
                <c:pt idx="1">
                  <c:v>Biomasse BCIAT/BCIB</c:v>
                </c:pt>
                <c:pt idx="2">
                  <c:v>Géothermie et PAC</c:v>
                </c:pt>
                <c:pt idx="3">
                  <c:v>Biométhane</c:v>
                </c:pt>
                <c:pt idx="4">
                  <c:v>Solaire</c:v>
                </c:pt>
                <c:pt idx="5">
                  <c:v>UIOM</c:v>
                </c:pt>
                <c:pt idx="6">
                  <c:v>Récup Process</c:v>
                </c:pt>
                <c:pt idx="7">
                  <c:v>Froid EnR</c:v>
                </c:pt>
                <c:pt idx="8">
                  <c:v>Mélange EnR </c:v>
                </c:pt>
                <c:pt idx="9">
                  <c:v>BCIAT FDI</c:v>
                </c:pt>
              </c:strCache>
            </c:strRef>
          </c:cat>
          <c:val>
            <c:numRef>
              <c:f>('FC 2009-2022 Prod GWh'!$Q$5:$Q$13,'FC 2009-2022 Prod GWh'!$Q$16)</c:f>
              <c:numCache>
                <c:formatCode>_-* #\ ##0_-;\-* #\ ##0_-;_-* "-"??_-;_-@_-</c:formatCode>
                <c:ptCount val="10"/>
                <c:pt idx="0">
                  <c:v>10669.542479999998</c:v>
                </c:pt>
                <c:pt idx="1">
                  <c:v>14527.397070000001</c:v>
                </c:pt>
                <c:pt idx="2">
                  <c:v>3388.4208600000002</c:v>
                </c:pt>
                <c:pt idx="3">
                  <c:v>6471.1976999999997</c:v>
                </c:pt>
                <c:pt idx="4">
                  <c:v>159.82804600000003</c:v>
                </c:pt>
                <c:pt idx="5">
                  <c:v>4452.9021300000004</c:v>
                </c:pt>
                <c:pt idx="6">
                  <c:v>2133.2589500000004</c:v>
                </c:pt>
                <c:pt idx="7">
                  <c:v>217.40899999999993</c:v>
                </c:pt>
                <c:pt idx="8">
                  <c:v>549.17098999999996</c:v>
                </c:pt>
                <c:pt idx="9">
                  <c:v>4191.2469999999994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619-4323-AEBC-AFD975D3B39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Engagement GWh/an BCIAT/BCIB - FC et FDI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'FC 2009-2022 Prod GWh'!$B$47</c:f>
              <c:strCache>
                <c:ptCount val="1"/>
                <c:pt idx="0">
                  <c:v>Biomasse BCIAT/BCIB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 2009-2022 Prod GWh'!$C$46:$P$46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Prod GWh'!$C$47:$P$47</c:f>
              <c:numCache>
                <c:formatCode>_-* #\ ##0_-;\-* #\ ##0_-;_-* "-"??_-;_-@_-</c:formatCode>
                <c:ptCount val="14"/>
                <c:pt idx="0">
                  <c:v>1714.3201500000002</c:v>
                </c:pt>
                <c:pt idx="1">
                  <c:v>2629.1126899999999</c:v>
                </c:pt>
                <c:pt idx="2">
                  <c:v>1259.9825700000001</c:v>
                </c:pt>
                <c:pt idx="3">
                  <c:v>1211.0667900000001</c:v>
                </c:pt>
                <c:pt idx="4">
                  <c:v>851.52534000000003</c:v>
                </c:pt>
                <c:pt idx="5">
                  <c:v>842.88424999999995</c:v>
                </c:pt>
                <c:pt idx="6">
                  <c:v>896.13801999999998</c:v>
                </c:pt>
                <c:pt idx="7">
                  <c:v>605.4694300000001</c:v>
                </c:pt>
                <c:pt idx="8">
                  <c:v>116.77683</c:v>
                </c:pt>
                <c:pt idx="9">
                  <c:v>397.13899999999995</c:v>
                </c:pt>
                <c:pt idx="10">
                  <c:v>860.57100000000003</c:v>
                </c:pt>
                <c:pt idx="11">
                  <c:v>1149.52</c:v>
                </c:pt>
                <c:pt idx="12">
                  <c:v>814.08600000000001</c:v>
                </c:pt>
                <c:pt idx="13">
                  <c:v>1178.8050000000001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8-4E18-BABB-86896A30E220}"/>
            </c:ext>
          </c:extLst>
        </c:ser>
        <c:ser>
          <c:idx val="1"/>
          <c:order val="1"/>
          <c:tx>
            <c:strRef>
              <c:f>'FC 2009-2022 Prod GWh'!$B$48</c:f>
              <c:strCache>
                <c:ptCount val="1"/>
                <c:pt idx="0">
                  <c:v>BCIAT FDI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'FC 2009-2022 Prod GWh'!$C$46:$P$46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Prod GWh'!$C$48:$P$48</c:f>
              <c:numCache>
                <c:formatCode>_-* #\ ##0_-;\-* #\ ##0_-;_-* "-"??_-;_-@_-</c:formatCode>
                <c:ptCount val="14"/>
                <c:pt idx="12">
                  <c:v>1558.453</c:v>
                </c:pt>
                <c:pt idx="13">
                  <c:v>2632.7939999999999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8-4E18-BABB-86896A30E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3786671"/>
        <c:axId val="498639007"/>
      </c:barChart>
      <c:catAx>
        <c:axId val="50378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8639007"/>
        <c:crosses val="autoZero"/>
        <c:auto val="1"/>
        <c:lblAlgn val="ctr"/>
        <c:lblOffset val="100"/>
        <c:noMultiLvlLbl val="0"/>
      </c:catAx>
      <c:valAx>
        <c:axId val="49863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378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Ratio efficience Fonds Chaleur 2009 à 2023 en €/MWh/20ans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'Analyse ratios d''aide'!$B$3</c:f>
              <c:strCache>
                <c:ptCount val="1"/>
                <c:pt idx="0">
                  <c:v>Ratio FC global €/MWh/20ans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'Analyse ratios d''aide'!$C$2:$Q$2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'Analyse ratios d''aide'!$C$3:$Q$3</c:f>
              <c:numCache>
                <c:formatCode>_(* #,##0.00_);_(* \(#,##0.00\);_(* "-"??_);_(@_)</c:formatCode>
                <c:ptCount val="15"/>
                <c:pt idx="0">
                  <c:v>3.7042782848537819</c:v>
                </c:pt>
                <c:pt idx="1">
                  <c:v>3.3909570541907081</c:v>
                </c:pt>
                <c:pt idx="2">
                  <c:v>3.669643847781991</c:v>
                </c:pt>
                <c:pt idx="3">
                  <c:v>3.3243281759936529</c:v>
                </c:pt>
                <c:pt idx="4">
                  <c:v>3.654243425308259</c:v>
                </c:pt>
                <c:pt idx="5">
                  <c:v>3.7036546743998251</c:v>
                </c:pt>
                <c:pt idx="6">
                  <c:v>3.6890555294540497</c:v>
                </c:pt>
                <c:pt idx="7">
                  <c:v>5.1127826811337327</c:v>
                </c:pt>
                <c:pt idx="8">
                  <c:v>4.9176501580561256</c:v>
                </c:pt>
                <c:pt idx="9">
                  <c:v>4.9473246290452035</c:v>
                </c:pt>
                <c:pt idx="10">
                  <c:v>3.7988714436031281</c:v>
                </c:pt>
                <c:pt idx="11">
                  <c:v>4.4262933804017122</c:v>
                </c:pt>
                <c:pt idx="12">
                  <c:v>5.2200628567196041</c:v>
                </c:pt>
                <c:pt idx="13">
                  <c:v>7.0890867296352225</c:v>
                </c:pt>
                <c:pt idx="14">
                  <c:v>10.662617429904401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4-4D49-94A6-FF7AA3647D97}"/>
            </c:ext>
          </c:extLst>
        </c:ser>
        <c:ser>
          <c:idx val="1"/>
          <c:order val="1"/>
          <c:tx>
            <c:strRef>
              <c:f>'Analyse ratios d''aide'!$B$4</c:f>
              <c:strCache>
                <c:ptCount val="1"/>
                <c:pt idx="0">
                  <c:v>Ratio FC global €/MWh/20ans (hors métha)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'Analyse ratios d''aide'!$C$2:$Q$2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'Analyse ratios d''aide'!$C$4:$Q$4</c:f>
              <c:numCache>
                <c:formatCode>_(* #,##0.00_);_(* \(#,##0.00\);_(* "-"??_);_(@_)</c:formatCode>
                <c:ptCount val="15"/>
                <c:pt idx="0">
                  <c:v>3.723158477331546</c:v>
                </c:pt>
                <c:pt idx="1">
                  <c:v>3.4160313826605355</c:v>
                </c:pt>
                <c:pt idx="2">
                  <c:v>3.7549612735491045</c:v>
                </c:pt>
                <c:pt idx="3">
                  <c:v>3.4914579510560699</c:v>
                </c:pt>
                <c:pt idx="4">
                  <c:v>3.7823029394193375</c:v>
                </c:pt>
                <c:pt idx="5">
                  <c:v>4.0587854674206145</c:v>
                </c:pt>
                <c:pt idx="6">
                  <c:v>3.8331621267141913</c:v>
                </c:pt>
                <c:pt idx="7">
                  <c:v>5.6439092778600539</c:v>
                </c:pt>
                <c:pt idx="8">
                  <c:v>5.224099512766867</c:v>
                </c:pt>
                <c:pt idx="9">
                  <c:v>5.9453339379856027</c:v>
                </c:pt>
                <c:pt idx="10">
                  <c:v>4.3459618082748985</c:v>
                </c:pt>
                <c:pt idx="11">
                  <c:v>5.2611134461890057</c:v>
                </c:pt>
                <c:pt idx="12">
                  <c:v>7.7141172693507993</c:v>
                </c:pt>
                <c:pt idx="13">
                  <c:v>7.7424374995932554</c:v>
                </c:pt>
                <c:pt idx="14">
                  <c:v>11.660917262071168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4-4D49-94A6-FF7AA3647D97}"/>
            </c:ext>
          </c:extLst>
        </c:ser>
        <c:ser>
          <c:idx val="2"/>
          <c:order val="2"/>
          <c:tx>
            <c:strRef>
              <c:f>'Analyse ratios d''aide'!$B$5</c:f>
              <c:strCache>
                <c:ptCount val="1"/>
                <c:pt idx="0">
                  <c:v>Ratio FC global €/MWh/20ans (hors CCR)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'Analyse ratios d''aide'!$C$2:$Q$2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'Analyse ratios d''aide'!$C$5:$Q$5</c:f>
              <c:numCache>
                <c:formatCode>_(* #,##0.00_);_(* \(#,##0.00\);_(* "-"??_);_(@_)</c:formatCode>
                <c:ptCount val="15"/>
                <c:pt idx="0">
                  <c:v>3.7042782848537819</c:v>
                </c:pt>
                <c:pt idx="1">
                  <c:v>3.3909570541907081</c:v>
                </c:pt>
                <c:pt idx="2">
                  <c:v>3.669643847781991</c:v>
                </c:pt>
                <c:pt idx="3">
                  <c:v>3.3243281759936529</c:v>
                </c:pt>
                <c:pt idx="4">
                  <c:v>3.654243425308259</c:v>
                </c:pt>
                <c:pt idx="5">
                  <c:v>3.7036546743998251</c:v>
                </c:pt>
                <c:pt idx="6">
                  <c:v>3.6890555294540497</c:v>
                </c:pt>
                <c:pt idx="7">
                  <c:v>5.1127826811337327</c:v>
                </c:pt>
                <c:pt idx="8">
                  <c:v>4.8827751092636706</c:v>
                </c:pt>
                <c:pt idx="9">
                  <c:v>4.8666622909298694</c:v>
                </c:pt>
                <c:pt idx="10">
                  <c:v>3.7831621376608005</c:v>
                </c:pt>
                <c:pt idx="11">
                  <c:v>4.299196192461018</c:v>
                </c:pt>
                <c:pt idx="12">
                  <c:v>5.0687016479590516</c:v>
                </c:pt>
                <c:pt idx="13">
                  <c:v>6.8016441190347221</c:v>
                </c:pt>
                <c:pt idx="14">
                  <c:v>9.5369171511654507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4-4D49-94A6-FF7AA3647D97}"/>
            </c:ext>
          </c:extLst>
        </c:ser>
        <c:ser>
          <c:idx val="3"/>
          <c:order val="3"/>
          <c:tx>
            <c:strRef>
              <c:f>'Analyse ratios d''aide'!$B$6</c:f>
              <c:strCache>
                <c:ptCount val="1"/>
                <c:pt idx="0">
                  <c:v>Ratio FC global €/MWh/20ans (hors BCIAT BCIB)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ratios d''aide'!$C$2:$Q$2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'Analyse ratios d''aide'!$C$6:$Q$6</c:f>
              <c:numCache>
                <c:formatCode>_(* #,##0.00_);_(* \(#,##0.00\);_(* "-"??_);_(@_)</c:formatCode>
                <c:ptCount val="15"/>
                <c:pt idx="0">
                  <c:v>9.4273755151474621</c:v>
                </c:pt>
                <c:pt idx="1">
                  <c:v>6.8662819336742569</c:v>
                </c:pt>
                <c:pt idx="2">
                  <c:v>4.9445300052840633</c:v>
                </c:pt>
                <c:pt idx="3">
                  <c:v>4.2061358420056347</c:v>
                </c:pt>
                <c:pt idx="4">
                  <c:v>4.5458720676980811</c:v>
                </c:pt>
                <c:pt idx="5">
                  <c:v>5.0243477104977945</c:v>
                </c:pt>
                <c:pt idx="6">
                  <c:v>4.1473991345463919</c:v>
                </c:pt>
                <c:pt idx="7">
                  <c:v>6.1523676930633959</c:v>
                </c:pt>
                <c:pt idx="8">
                  <c:v>5.023043564093836</c:v>
                </c:pt>
                <c:pt idx="9">
                  <c:v>5.2621078694959413</c:v>
                </c:pt>
                <c:pt idx="10">
                  <c:v>4.3063041503187494</c:v>
                </c:pt>
                <c:pt idx="11">
                  <c:v>5.3318933410653475</c:v>
                </c:pt>
                <c:pt idx="12">
                  <c:v>6.0895835015697672</c:v>
                </c:pt>
                <c:pt idx="13">
                  <c:v>8.6143274056035111</c:v>
                </c:pt>
                <c:pt idx="14">
                  <c:v>11.436891751998099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4-4D49-94A6-FF7AA3647D97}"/>
            </c:ext>
          </c:extLst>
        </c:ser>
        <c:ser>
          <c:idx val="4"/>
          <c:order val="4"/>
          <c:tx>
            <c:strRef>
              <c:f>'Analyse ratios d''aide'!$B$7</c:f>
              <c:strCache>
                <c:ptCount val="1"/>
                <c:pt idx="0">
                  <c:v>Ratio FC global €/MWh/20ans (hors métha, hors CCR, hors BCIAT BCIB)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'Analyse ratios d''aide'!$C$2:$Q$2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'Analyse ratios d''aide'!$C$7:$Q$7</c:f>
              <c:numCache>
                <c:formatCode>_(* #,##0.00_);_(* \(#,##0.00\);_(* "-"??_);_(@_)</c:formatCode>
                <c:ptCount val="15"/>
                <c:pt idx="0">
                  <c:v>9.6778484732258043</c:v>
                </c:pt>
                <c:pt idx="1">
                  <c:v>7.0491369067540699</c:v>
                </c:pt>
                <c:pt idx="2">
                  <c:v>5.1413489417455525</c:v>
                </c:pt>
                <c:pt idx="3">
                  <c:v>4.5394087982361704</c:v>
                </c:pt>
                <c:pt idx="4">
                  <c:v>4.7893103343555854</c:v>
                </c:pt>
                <c:pt idx="5">
                  <c:v>5.9200531791687272</c:v>
                </c:pt>
                <c:pt idx="6">
                  <c:v>4.4895379895867409</c:v>
                </c:pt>
                <c:pt idx="7">
                  <c:v>7.282108877636313</c:v>
                </c:pt>
                <c:pt idx="8">
                  <c:v>5.3310226799101326</c:v>
                </c:pt>
                <c:pt idx="9">
                  <c:v>6.5295924146863173</c:v>
                </c:pt>
                <c:pt idx="10">
                  <c:v>5.375903292848017</c:v>
                </c:pt>
                <c:pt idx="11">
                  <c:v>7.110148590405724</c:v>
                </c:pt>
                <c:pt idx="12">
                  <c:v>11.137262495583226</c:v>
                </c:pt>
                <c:pt idx="13">
                  <c:v>9.6411088254237747</c:v>
                </c:pt>
                <c:pt idx="14">
                  <c:v>11.528057703080339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4-4D49-94A6-FF7AA3647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936559"/>
        <c:axId val="1764817648"/>
      </c:barChart>
      <c:catAx>
        <c:axId val="13769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4817648"/>
        <c:crosses val="autoZero"/>
        <c:auto val="1"/>
        <c:lblAlgn val="ctr"/>
        <c:lblOffset val="100"/>
        <c:noMultiLvlLbl val="0"/>
      </c:catAx>
      <c:valAx>
        <c:axId val="17648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69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'FC 2009-2022 Prod GWh'!$P$4</c:f>
              <c:strCache>
                <c:ptCount val="1"/>
                <c:pt idx="0">
                  <c:v>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D4C-4EFB-B463-406425D94B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D4C-4EFB-B463-406425D94B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4C-4EFB-B463-406425D94B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D4C-4EFB-B463-406425D94B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4C-4EFB-B463-406425D94B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D4C-4EFB-B463-406425D94B4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D4C-4EFB-B463-406425D94B4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D4C-4EFB-B463-406425D94B4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D4C-4EFB-B463-406425D94B4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D4C-4EFB-B463-406425D94B4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D4C-4EFB-B463-406425D94B4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D4C-4EFB-B463-406425D94B4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0D4C-4EFB-B463-406425D94B4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D4C-4EFB-B463-406425D94B4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0D4C-4EFB-B463-406425D94B4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0D4C-4EFB-B463-406425D94B4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4C-4EFB-B463-406425D94B4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0D4C-4EFB-B463-406425D94B4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'FC 2009-2022 Prod GWh'!$B$5:$B$13</c:f>
              <c:strCache>
                <c:ptCount val="9"/>
                <c:pt idx="0">
                  <c:v>Biomasse hors BCIAT</c:v>
                </c:pt>
                <c:pt idx="1">
                  <c:v>Biomasse BCIAT/BCIB</c:v>
                </c:pt>
                <c:pt idx="2">
                  <c:v>Géothermie et PAC</c:v>
                </c:pt>
                <c:pt idx="3">
                  <c:v>Biométhane</c:v>
                </c:pt>
                <c:pt idx="4">
                  <c:v>Solaire</c:v>
                </c:pt>
                <c:pt idx="5">
                  <c:v>UIOM</c:v>
                </c:pt>
                <c:pt idx="6">
                  <c:v>Récup Process</c:v>
                </c:pt>
                <c:pt idx="7">
                  <c:v>Froid EnR</c:v>
                </c:pt>
                <c:pt idx="8">
                  <c:v>Mélange EnR </c:v>
                </c:pt>
              </c:strCache>
            </c:strRef>
          </c:cat>
          <c:val>
            <c:numRef>
              <c:f>'FC 2009-2022 Prod GWh'!$P$5:$P$13</c:f>
              <c:numCache>
                <c:formatCode>_-* #\ ##0_-;\-* #\ ##0_-;_-* "-"??_-;_-@_-</c:formatCode>
                <c:ptCount val="9"/>
                <c:pt idx="0">
                  <c:v>666.06799999999998</c:v>
                </c:pt>
                <c:pt idx="1">
                  <c:v>1178.8050000000001</c:v>
                </c:pt>
                <c:pt idx="2">
                  <c:v>231.93916000000002</c:v>
                </c:pt>
                <c:pt idx="3">
                  <c:v>510.64600000000002</c:v>
                </c:pt>
                <c:pt idx="4">
                  <c:v>19.031496000000001</c:v>
                </c:pt>
                <c:pt idx="5">
                  <c:v>309.47500000000002</c:v>
                </c:pt>
                <c:pt idx="6">
                  <c:v>565.81899999999996</c:v>
                </c:pt>
                <c:pt idx="7">
                  <c:v>0</c:v>
                </c:pt>
                <c:pt idx="8">
                  <c:v>197.923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C-4EFB-B463-406425D94B4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Bilan</a:t>
            </a:r>
            <a:r>
              <a:rPr lang="fr-FR" sz="1100" baseline="0"/>
              <a:t> Fonds Chaleur - Nombre d'installations EnR&amp;R</a:t>
            </a:r>
            <a:endParaRPr lang="fr-F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935719432639782E-2"/>
          <c:y val="0.13776826067656076"/>
          <c:w val="0.90646382799068093"/>
          <c:h val="0.697603014436169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'FC Nb installations'!$B$5</c:f>
              <c:strCache>
                <c:ptCount val="1"/>
                <c:pt idx="0">
                  <c:v>Bois Hors BCIAT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 Nb installations'!$C$4:$Q$4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Nb installations'!$C$5:$Q$5</c:f>
              <c:numCache>
                <c:formatCode>_-* #\ ##0_-;\-* #\ ##0_-;_-* "-"??_-;_-@_-</c:formatCode>
                <c:ptCount val="15"/>
                <c:pt idx="0">
                  <c:v>46</c:v>
                </c:pt>
                <c:pt idx="1">
                  <c:v>73</c:v>
                </c:pt>
                <c:pt idx="2">
                  <c:v>117</c:v>
                </c:pt>
                <c:pt idx="3">
                  <c:v>118</c:v>
                </c:pt>
                <c:pt idx="4">
                  <c:v>107</c:v>
                </c:pt>
                <c:pt idx="5">
                  <c:v>68</c:v>
                </c:pt>
                <c:pt idx="6">
                  <c:v>47</c:v>
                </c:pt>
                <c:pt idx="7">
                  <c:v>44</c:v>
                </c:pt>
                <c:pt idx="8">
                  <c:v>68</c:v>
                </c:pt>
                <c:pt idx="9">
                  <c:v>148</c:v>
                </c:pt>
                <c:pt idx="10">
                  <c:v>125</c:v>
                </c:pt>
                <c:pt idx="11">
                  <c:v>208</c:v>
                </c:pt>
                <c:pt idx="12">
                  <c:v>156</c:v>
                </c:pt>
                <c:pt idx="13">
                  <c:v>449</c:v>
                </c:pt>
                <c:pt idx="14">
                  <c:v>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4-40E5-A2AE-D610CD5B49E6}"/>
            </c:ext>
          </c:extLst>
        </c:ser>
        <c:ser>
          <c:idx val="1"/>
          <c:order val="1"/>
          <c:tx>
            <c:strRef>
              <c:f>'FC Nb installations'!$B$6</c:f>
              <c:strCache>
                <c:ptCount val="1"/>
                <c:pt idx="0">
                  <c:v>BCIAT BCIB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'FC Nb installations'!$C$4:$Q$4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Nb installations'!$C$6:$Q$6</c:f>
              <c:numCache>
                <c:formatCode>_-* #\ ##0_-;\-* #\ ##0_-;_-* "-"??_-;_-@_-</c:formatCode>
                <c:ptCount val="15"/>
                <c:pt idx="0">
                  <c:v>31</c:v>
                </c:pt>
                <c:pt idx="1">
                  <c:v>37</c:v>
                </c:pt>
                <c:pt idx="2">
                  <c:v>22</c:v>
                </c:pt>
                <c:pt idx="3">
                  <c:v>22</c:v>
                </c:pt>
                <c:pt idx="4">
                  <c:v>14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5</c:v>
                </c:pt>
                <c:pt idx="9">
                  <c:v>6</c:v>
                </c:pt>
                <c:pt idx="10">
                  <c:v>10</c:v>
                </c:pt>
                <c:pt idx="11">
                  <c:v>19</c:v>
                </c:pt>
                <c:pt idx="12">
                  <c:v>12</c:v>
                </c:pt>
                <c:pt idx="13">
                  <c:v>20</c:v>
                </c:pt>
                <c:pt idx="1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84-40E5-A2AE-D610CD5B49E6}"/>
            </c:ext>
          </c:extLst>
        </c:ser>
        <c:ser>
          <c:idx val="2"/>
          <c:order val="2"/>
          <c:tx>
            <c:strRef>
              <c:f>'FC Nb installations'!$B$7</c:f>
              <c:strCache>
                <c:ptCount val="1"/>
                <c:pt idx="0">
                  <c:v>Géothermie et PAC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'FC Nb installations'!$C$4:$Q$4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Nb installations'!$C$7:$Q$7</c:f>
              <c:numCache>
                <c:formatCode>_-* #\ ##0_-;\-* #\ ##0_-;_-* "-"??_-;_-@_-</c:formatCode>
                <c:ptCount val="15"/>
                <c:pt idx="0">
                  <c:v>16</c:v>
                </c:pt>
                <c:pt idx="1">
                  <c:v>77</c:v>
                </c:pt>
                <c:pt idx="2">
                  <c:v>88</c:v>
                </c:pt>
                <c:pt idx="3">
                  <c:v>64</c:v>
                </c:pt>
                <c:pt idx="4">
                  <c:v>51</c:v>
                </c:pt>
                <c:pt idx="5">
                  <c:v>46</c:v>
                </c:pt>
                <c:pt idx="6">
                  <c:v>52</c:v>
                </c:pt>
                <c:pt idx="7">
                  <c:v>50</c:v>
                </c:pt>
                <c:pt idx="8">
                  <c:v>55</c:v>
                </c:pt>
                <c:pt idx="9">
                  <c:v>77</c:v>
                </c:pt>
                <c:pt idx="10">
                  <c:v>79</c:v>
                </c:pt>
                <c:pt idx="11">
                  <c:v>80</c:v>
                </c:pt>
                <c:pt idx="12">
                  <c:v>94</c:v>
                </c:pt>
                <c:pt idx="13">
                  <c:v>152</c:v>
                </c:pt>
                <c:pt idx="14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4-40E5-A2AE-D610CD5B49E6}"/>
            </c:ext>
          </c:extLst>
        </c:ser>
        <c:ser>
          <c:idx val="3"/>
          <c:order val="3"/>
          <c:tx>
            <c:strRef>
              <c:f>'FC Nb installations'!$B$8</c:f>
              <c:strCache>
                <c:ptCount val="1"/>
                <c:pt idx="0">
                  <c:v>Biométhane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'FC Nb installations'!$C$4:$Q$4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Nb installations'!$C$8:$Q$8</c:f>
              <c:numCache>
                <c:formatCode>_-* #\ ##0_-;\-* #\ ##0_-;_-* "-"??_-;_-@_-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9</c:v>
                </c:pt>
                <c:pt idx="5">
                  <c:v>10</c:v>
                </c:pt>
                <c:pt idx="6">
                  <c:v>25</c:v>
                </c:pt>
                <c:pt idx="7">
                  <c:v>20</c:v>
                </c:pt>
                <c:pt idx="8">
                  <c:v>27</c:v>
                </c:pt>
                <c:pt idx="9">
                  <c:v>48</c:v>
                </c:pt>
                <c:pt idx="10">
                  <c:v>107</c:v>
                </c:pt>
                <c:pt idx="11">
                  <c:v>113</c:v>
                </c:pt>
                <c:pt idx="12">
                  <c:v>110</c:v>
                </c:pt>
                <c:pt idx="13">
                  <c:v>36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84-40E5-A2AE-D610CD5B49E6}"/>
            </c:ext>
          </c:extLst>
        </c:ser>
        <c:ser>
          <c:idx val="4"/>
          <c:order val="4"/>
          <c:tx>
            <c:strRef>
              <c:f>'FC Nb installations'!$B$9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'FC Nb installations'!$C$4:$Q$4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Nb installations'!$C$9:$Q$9</c:f>
              <c:numCache>
                <c:formatCode>_-* #\ ##0_-;\-* #\ ##0_-;_-* "-"??_-;_-@_-</c:formatCode>
                <c:ptCount val="15"/>
                <c:pt idx="0">
                  <c:v>171</c:v>
                </c:pt>
                <c:pt idx="1">
                  <c:v>404</c:v>
                </c:pt>
                <c:pt idx="2">
                  <c:v>456</c:v>
                </c:pt>
                <c:pt idx="3">
                  <c:v>224</c:v>
                </c:pt>
                <c:pt idx="4">
                  <c:v>140</c:v>
                </c:pt>
                <c:pt idx="5">
                  <c:v>119</c:v>
                </c:pt>
                <c:pt idx="6">
                  <c:v>76</c:v>
                </c:pt>
                <c:pt idx="7">
                  <c:v>64</c:v>
                </c:pt>
                <c:pt idx="8">
                  <c:v>43</c:v>
                </c:pt>
                <c:pt idx="9">
                  <c:v>70</c:v>
                </c:pt>
                <c:pt idx="10">
                  <c:v>69</c:v>
                </c:pt>
                <c:pt idx="11">
                  <c:v>86</c:v>
                </c:pt>
                <c:pt idx="12">
                  <c:v>82</c:v>
                </c:pt>
                <c:pt idx="13">
                  <c:v>87</c:v>
                </c:pt>
                <c:pt idx="14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4-40E5-A2AE-D610CD5B49E6}"/>
            </c:ext>
          </c:extLst>
        </c:ser>
        <c:ser>
          <c:idx val="5"/>
          <c:order val="5"/>
          <c:tx>
            <c:strRef>
              <c:f>'FC Nb installations'!$B$10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'FC Nb installations'!$C$4:$Q$4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Nb installations'!$C$10:$Q$10</c:f>
              <c:numCache>
                <c:formatCode>_-* #\ ##0_-;\-* #\ ##0_-;_-* "-"??_-;_-@_-</c:formatCode>
                <c:ptCount val="15"/>
                <c:pt idx="0">
                  <c:v>45</c:v>
                </c:pt>
                <c:pt idx="1">
                  <c:v>98</c:v>
                </c:pt>
                <c:pt idx="2">
                  <c:v>123</c:v>
                </c:pt>
                <c:pt idx="3">
                  <c:v>143</c:v>
                </c:pt>
                <c:pt idx="4">
                  <c:v>122</c:v>
                </c:pt>
                <c:pt idx="5">
                  <c:v>72</c:v>
                </c:pt>
                <c:pt idx="6">
                  <c:v>65</c:v>
                </c:pt>
                <c:pt idx="7">
                  <c:v>72</c:v>
                </c:pt>
                <c:pt idx="8">
                  <c:v>81</c:v>
                </c:pt>
                <c:pt idx="9">
                  <c:v>117</c:v>
                </c:pt>
                <c:pt idx="10">
                  <c:v>109</c:v>
                </c:pt>
                <c:pt idx="11">
                  <c:v>122</c:v>
                </c:pt>
                <c:pt idx="12">
                  <c:v>78</c:v>
                </c:pt>
                <c:pt idx="13">
                  <c:v>126</c:v>
                </c:pt>
                <c:pt idx="1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84-40E5-A2AE-D610CD5B49E6}"/>
            </c:ext>
          </c:extLst>
        </c:ser>
        <c:ser>
          <c:idx val="6"/>
          <c:order val="6"/>
          <c:tx>
            <c:strRef>
              <c:f>'FC Nb installations'!$B$11</c:f>
              <c:strCache>
                <c:ptCount val="1"/>
                <c:pt idx="0">
                  <c:v>Récup Chaleur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Nb installations'!$C$4:$Q$4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Nb installations'!$C$11:$Q$11</c:f>
              <c:numCache>
                <c:formatCode>_-* #\ ##0_-;\-* #\ ##0_-;_-* "-"??_-;_-@_-</c:formatCode>
                <c:ptCount val="15"/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20</c:v>
                </c:pt>
                <c:pt idx="7">
                  <c:v>19</c:v>
                </c:pt>
                <c:pt idx="8">
                  <c:v>23</c:v>
                </c:pt>
                <c:pt idx="9">
                  <c:v>25</c:v>
                </c:pt>
                <c:pt idx="10">
                  <c:v>23</c:v>
                </c:pt>
                <c:pt idx="11">
                  <c:v>13</c:v>
                </c:pt>
                <c:pt idx="12">
                  <c:v>16</c:v>
                </c:pt>
                <c:pt idx="13">
                  <c:v>29</c:v>
                </c:pt>
                <c:pt idx="1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84-40E5-A2AE-D610CD5B4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3715312"/>
        <c:axId val="2033716560"/>
      </c:barChart>
      <c:catAx>
        <c:axId val="203371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3716560"/>
        <c:crosses val="autoZero"/>
        <c:auto val="1"/>
        <c:lblAlgn val="ctr"/>
        <c:lblOffset val="100"/>
        <c:noMultiLvlLbl val="0"/>
      </c:catAx>
      <c:valAx>
        <c:axId val="20337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371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 b="0" i="0" baseline="0">
                <a:effectLst/>
              </a:rPr>
              <a:t>Bilan Fonds Chaleur + FDI BCIAT - Nombre d'installations EnR&amp;R</a:t>
            </a:r>
            <a:endParaRPr lang="fr-F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'FC Nb installations'!$B$5</c:f>
              <c:strCache>
                <c:ptCount val="1"/>
                <c:pt idx="0">
                  <c:v>Bois Hors BCIAT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 Nb installations'!$C$4:$P$4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Nb installations'!$C$5:$P$5</c:f>
              <c:numCache>
                <c:formatCode>_-* #\ ##0_-;\-* #\ ##0_-;_-* "-"??_-;_-@_-</c:formatCode>
                <c:ptCount val="14"/>
                <c:pt idx="0">
                  <c:v>46</c:v>
                </c:pt>
                <c:pt idx="1">
                  <c:v>73</c:v>
                </c:pt>
                <c:pt idx="2">
                  <c:v>117</c:v>
                </c:pt>
                <c:pt idx="3">
                  <c:v>118</c:v>
                </c:pt>
                <c:pt idx="4">
                  <c:v>107</c:v>
                </c:pt>
                <c:pt idx="5">
                  <c:v>68</c:v>
                </c:pt>
                <c:pt idx="6">
                  <c:v>47</c:v>
                </c:pt>
                <c:pt idx="7">
                  <c:v>44</c:v>
                </c:pt>
                <c:pt idx="8">
                  <c:v>68</c:v>
                </c:pt>
                <c:pt idx="9">
                  <c:v>148</c:v>
                </c:pt>
                <c:pt idx="10">
                  <c:v>125</c:v>
                </c:pt>
                <c:pt idx="11">
                  <c:v>208</c:v>
                </c:pt>
                <c:pt idx="12">
                  <c:v>156</c:v>
                </c:pt>
                <c:pt idx="13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F-436A-8A0B-8C0B4E99BD43}"/>
            </c:ext>
          </c:extLst>
        </c:ser>
        <c:ser>
          <c:idx val="1"/>
          <c:order val="1"/>
          <c:tx>
            <c:strRef>
              <c:f>'FC Nb installations'!$B$6</c:f>
              <c:strCache>
                <c:ptCount val="1"/>
                <c:pt idx="0">
                  <c:v>BCIAT BCIB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'FC Nb installations'!$C$4:$P$4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Nb installations'!$C$6:$P$6</c:f>
              <c:numCache>
                <c:formatCode>_-* #\ ##0_-;\-* #\ ##0_-;_-* "-"??_-;_-@_-</c:formatCode>
                <c:ptCount val="14"/>
                <c:pt idx="0">
                  <c:v>31</c:v>
                </c:pt>
                <c:pt idx="1">
                  <c:v>37</c:v>
                </c:pt>
                <c:pt idx="2">
                  <c:v>22</c:v>
                </c:pt>
                <c:pt idx="3">
                  <c:v>22</c:v>
                </c:pt>
                <c:pt idx="4">
                  <c:v>14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5</c:v>
                </c:pt>
                <c:pt idx="9">
                  <c:v>6</c:v>
                </c:pt>
                <c:pt idx="10">
                  <c:v>10</c:v>
                </c:pt>
                <c:pt idx="11">
                  <c:v>19</c:v>
                </c:pt>
                <c:pt idx="12">
                  <c:v>12</c:v>
                </c:pt>
                <c:pt idx="1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F-436A-8A0B-8C0B4E99BD43}"/>
            </c:ext>
          </c:extLst>
        </c:ser>
        <c:ser>
          <c:idx val="2"/>
          <c:order val="2"/>
          <c:tx>
            <c:strRef>
              <c:f>'FC Nb installations'!$B$7</c:f>
              <c:strCache>
                <c:ptCount val="1"/>
                <c:pt idx="0">
                  <c:v>Géothermie et PAC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'FC Nb installations'!$C$4:$P$4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Nb installations'!$C$7:$P$7</c:f>
              <c:numCache>
                <c:formatCode>_-* #\ ##0_-;\-* #\ ##0_-;_-* "-"??_-;_-@_-</c:formatCode>
                <c:ptCount val="14"/>
                <c:pt idx="0">
                  <c:v>16</c:v>
                </c:pt>
                <c:pt idx="1">
                  <c:v>77</c:v>
                </c:pt>
                <c:pt idx="2">
                  <c:v>88</c:v>
                </c:pt>
                <c:pt idx="3">
                  <c:v>64</c:v>
                </c:pt>
                <c:pt idx="4">
                  <c:v>51</c:v>
                </c:pt>
                <c:pt idx="5">
                  <c:v>46</c:v>
                </c:pt>
                <c:pt idx="6">
                  <c:v>52</c:v>
                </c:pt>
                <c:pt idx="7">
                  <c:v>50</c:v>
                </c:pt>
                <c:pt idx="8">
                  <c:v>55</c:v>
                </c:pt>
                <c:pt idx="9">
                  <c:v>77</c:v>
                </c:pt>
                <c:pt idx="10">
                  <c:v>79</c:v>
                </c:pt>
                <c:pt idx="11">
                  <c:v>80</c:v>
                </c:pt>
                <c:pt idx="12">
                  <c:v>94</c:v>
                </c:pt>
                <c:pt idx="13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BF-436A-8A0B-8C0B4E99BD43}"/>
            </c:ext>
          </c:extLst>
        </c:ser>
        <c:ser>
          <c:idx val="3"/>
          <c:order val="3"/>
          <c:tx>
            <c:strRef>
              <c:f>'FC Nb installations'!$B$8</c:f>
              <c:strCache>
                <c:ptCount val="1"/>
                <c:pt idx="0">
                  <c:v>Biométhane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'FC Nb installations'!$C$4:$P$4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Nb installations'!$C$8:$P$8</c:f>
              <c:numCache>
                <c:formatCode>_-* #\ ##0_-;\-* #\ ##0_-;_-* "-"??_-;_-@_-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9</c:v>
                </c:pt>
                <c:pt idx="5">
                  <c:v>10</c:v>
                </c:pt>
                <c:pt idx="6">
                  <c:v>25</c:v>
                </c:pt>
                <c:pt idx="7">
                  <c:v>20</c:v>
                </c:pt>
                <c:pt idx="8">
                  <c:v>27</c:v>
                </c:pt>
                <c:pt idx="9">
                  <c:v>48</c:v>
                </c:pt>
                <c:pt idx="10">
                  <c:v>107</c:v>
                </c:pt>
                <c:pt idx="11">
                  <c:v>113</c:v>
                </c:pt>
                <c:pt idx="12">
                  <c:v>110</c:v>
                </c:pt>
                <c:pt idx="1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BF-436A-8A0B-8C0B4E99BD43}"/>
            </c:ext>
          </c:extLst>
        </c:ser>
        <c:ser>
          <c:idx val="4"/>
          <c:order val="4"/>
          <c:tx>
            <c:strRef>
              <c:f>'FC Nb installations'!$B$9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'FC Nb installations'!$C$4:$P$4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Nb installations'!$C$9:$P$9</c:f>
              <c:numCache>
                <c:formatCode>_-* #\ ##0_-;\-* #\ ##0_-;_-* "-"??_-;_-@_-</c:formatCode>
                <c:ptCount val="14"/>
                <c:pt idx="0">
                  <c:v>171</c:v>
                </c:pt>
                <c:pt idx="1">
                  <c:v>404</c:v>
                </c:pt>
                <c:pt idx="2">
                  <c:v>456</c:v>
                </c:pt>
                <c:pt idx="3">
                  <c:v>224</c:v>
                </c:pt>
                <c:pt idx="4">
                  <c:v>140</c:v>
                </c:pt>
                <c:pt idx="5">
                  <c:v>119</c:v>
                </c:pt>
                <c:pt idx="6">
                  <c:v>76</c:v>
                </c:pt>
                <c:pt idx="7">
                  <c:v>64</c:v>
                </c:pt>
                <c:pt idx="8">
                  <c:v>43</c:v>
                </c:pt>
                <c:pt idx="9">
                  <c:v>70</c:v>
                </c:pt>
                <c:pt idx="10">
                  <c:v>69</c:v>
                </c:pt>
                <c:pt idx="11">
                  <c:v>86</c:v>
                </c:pt>
                <c:pt idx="12">
                  <c:v>82</c:v>
                </c:pt>
                <c:pt idx="13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BF-436A-8A0B-8C0B4E99BD43}"/>
            </c:ext>
          </c:extLst>
        </c:ser>
        <c:ser>
          <c:idx val="5"/>
          <c:order val="5"/>
          <c:tx>
            <c:strRef>
              <c:f>'FC Nb installations'!$B$10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'FC Nb installations'!$C$4:$P$4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Nb installations'!$C$10:$P$10</c:f>
              <c:numCache>
                <c:formatCode>_-* #\ ##0_-;\-* #\ ##0_-;_-* "-"??_-;_-@_-</c:formatCode>
                <c:ptCount val="14"/>
                <c:pt idx="0">
                  <c:v>45</c:v>
                </c:pt>
                <c:pt idx="1">
                  <c:v>98</c:v>
                </c:pt>
                <c:pt idx="2">
                  <c:v>123</c:v>
                </c:pt>
                <c:pt idx="3">
                  <c:v>143</c:v>
                </c:pt>
                <c:pt idx="4">
                  <c:v>122</c:v>
                </c:pt>
                <c:pt idx="5">
                  <c:v>72</c:v>
                </c:pt>
                <c:pt idx="6">
                  <c:v>65</c:v>
                </c:pt>
                <c:pt idx="7">
                  <c:v>72</c:v>
                </c:pt>
                <c:pt idx="8">
                  <c:v>81</c:v>
                </c:pt>
                <c:pt idx="9">
                  <c:v>117</c:v>
                </c:pt>
                <c:pt idx="10">
                  <c:v>109</c:v>
                </c:pt>
                <c:pt idx="11">
                  <c:v>122</c:v>
                </c:pt>
                <c:pt idx="12">
                  <c:v>78</c:v>
                </c:pt>
                <c:pt idx="1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BF-436A-8A0B-8C0B4E99BD43}"/>
            </c:ext>
          </c:extLst>
        </c:ser>
        <c:ser>
          <c:idx val="6"/>
          <c:order val="6"/>
          <c:tx>
            <c:strRef>
              <c:f>'FC Nb installations'!$B$11</c:f>
              <c:strCache>
                <c:ptCount val="1"/>
                <c:pt idx="0">
                  <c:v>Récup Chaleur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Nb installations'!$C$4:$P$4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Nb installations'!$C$11:$P$11</c:f>
              <c:numCache>
                <c:formatCode>_-* #\ ##0_-;\-* #\ ##0_-;_-* "-"??_-;_-@_-</c:formatCode>
                <c:ptCount val="14"/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20</c:v>
                </c:pt>
                <c:pt idx="7">
                  <c:v>19</c:v>
                </c:pt>
                <c:pt idx="8">
                  <c:v>23</c:v>
                </c:pt>
                <c:pt idx="9">
                  <c:v>25</c:v>
                </c:pt>
                <c:pt idx="10">
                  <c:v>23</c:v>
                </c:pt>
                <c:pt idx="11">
                  <c:v>13</c:v>
                </c:pt>
                <c:pt idx="12">
                  <c:v>16</c:v>
                </c:pt>
                <c:pt idx="1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BF-436A-8A0B-8C0B4E99BD43}"/>
            </c:ext>
          </c:extLst>
        </c:ser>
        <c:ser>
          <c:idx val="7"/>
          <c:order val="7"/>
          <c:tx>
            <c:strRef>
              <c:f>'FC Nb installations'!$B$12</c:f>
              <c:strCache>
                <c:ptCount val="1"/>
                <c:pt idx="0">
                  <c:v>Froid EnR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Nb installations'!$C$4:$P$4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Nb installations'!$C$12:$P$12</c:f>
              <c:numCache>
                <c:formatCode>_-* #\ ##0_-;\-* #\ ##0_-;_-* "-"??_-;_-@_-</c:formatCode>
                <c:ptCount val="14"/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BF-436A-8A0B-8C0B4E99BD43}"/>
            </c:ext>
          </c:extLst>
        </c:ser>
        <c:ser>
          <c:idx val="8"/>
          <c:order val="8"/>
          <c:tx>
            <c:strRef>
              <c:f>'FC Nb installations'!$B$15</c:f>
              <c:strCache>
                <c:ptCount val="1"/>
                <c:pt idx="0">
                  <c:v>Aide BCIAT FDI/FRANCE2023 CAPEX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'FC Nb installations'!$C$4:$P$4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Nb installations'!$C$15:$P$15</c:f>
              <c:numCache>
                <c:formatCode>_-* #\ ##0_-;\-* #\ ##0_-;_-* "-"??_-;_-@_-</c:formatCode>
                <c:ptCount val="14"/>
                <c:pt idx="12">
                  <c:v>20</c:v>
                </c:pt>
                <c:pt idx="1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BF-436A-8A0B-8C0B4E99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1161775"/>
        <c:axId val="381168431"/>
      </c:barChart>
      <c:catAx>
        <c:axId val="38116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168431"/>
        <c:crosses val="autoZero"/>
        <c:auto val="1"/>
        <c:lblAlgn val="ctr"/>
        <c:lblOffset val="100"/>
        <c:noMultiLvlLbl val="0"/>
      </c:catAx>
      <c:valAx>
        <c:axId val="3811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16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'FC Nb installations'!$R$4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70-466D-98FD-E9B483C528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A70-466D-98FD-E9B483C528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A70-466D-98FD-E9B483C528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A70-466D-98FD-E9B483C528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A70-466D-98FD-E9B483C528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A70-466D-98FD-E9B483C528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A70-466D-98FD-E9B483C528E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A70-466D-98FD-E9B483C528E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A70-466D-98FD-E9B483C528E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A70-466D-98FD-E9B483C528E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A70-466D-98FD-E9B483C528E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BA70-466D-98FD-E9B483C528E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BA70-466D-98FD-E9B483C528E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BA70-466D-98FD-E9B483C528E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BA70-466D-98FD-E9B483C528E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A70-466D-98FD-E9B483C528E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'FC Nb installations'!$B$5:$B$12</c:f>
              <c:strCache>
                <c:ptCount val="8"/>
                <c:pt idx="0">
                  <c:v>Bois Hors BCIAT</c:v>
                </c:pt>
                <c:pt idx="1">
                  <c:v>BCIAT BCIB</c:v>
                </c:pt>
                <c:pt idx="2">
                  <c:v>Géothermie et PAC</c:v>
                </c:pt>
                <c:pt idx="3">
                  <c:v>Biométhane</c:v>
                </c:pt>
                <c:pt idx="4">
                  <c:v>Solaire</c:v>
                </c:pt>
                <c:pt idx="5">
                  <c:v>Réseaux de chaleur</c:v>
                </c:pt>
                <c:pt idx="6">
                  <c:v>Récup Chaleur</c:v>
                </c:pt>
                <c:pt idx="7">
                  <c:v>Froid EnR</c:v>
                </c:pt>
              </c:strCache>
            </c:strRef>
          </c:cat>
          <c:val>
            <c:numRef>
              <c:f>'FC Nb installations'!$R$5:$R$12</c:f>
              <c:numCache>
                <c:formatCode>_-* #\ ##0\ _€_-;\-* #\ ##0\ _€_-;_-* "-"??\ _€_-;_-@_-</c:formatCode>
                <c:ptCount val="8"/>
                <c:pt idx="0">
                  <c:v>2579</c:v>
                </c:pt>
                <c:pt idx="1">
                  <c:v>270</c:v>
                </c:pt>
                <c:pt idx="2">
                  <c:v>1229</c:v>
                </c:pt>
                <c:pt idx="3">
                  <c:v>529</c:v>
                </c:pt>
                <c:pt idx="4">
                  <c:v>2379</c:v>
                </c:pt>
                <c:pt idx="5">
                  <c:v>1434</c:v>
                </c:pt>
                <c:pt idx="6">
                  <c:v>216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A70-466D-98FD-E9B483C528E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'FC Nb installations'!$R$4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C7-4477-BAEE-8CC360B4E0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4C7-4477-BAEE-8CC360B4E0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4C7-4477-BAEE-8CC360B4E0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4C7-4477-BAEE-8CC360B4E0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4C7-4477-BAEE-8CC360B4E0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4C7-4477-BAEE-8CC360B4E0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4C7-4477-BAEE-8CC360B4E0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4C7-4477-BAEE-8CC360B4E0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4C7-4477-BAEE-8CC360B4E0CB}"/>
              </c:ext>
            </c:extLst>
          </c:dPt>
          <c:dLbls>
            <c:dLbl>
              <c:idx val="0"/>
              <c:layout>
                <c:manualLayout>
                  <c:x val="0.12777777777777777"/>
                  <c:y val="0.1018518518518518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C7-4477-BAEE-8CC360B4E0C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4C7-4477-BAEE-8CC360B4E0C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4C7-4477-BAEE-8CC360B4E0C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64C7-4477-BAEE-8CC360B4E0C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64C7-4477-BAEE-8CC360B4E0CB}"/>
                </c:ext>
              </c:extLst>
            </c:dLbl>
            <c:dLbl>
              <c:idx val="5"/>
              <c:layout>
                <c:manualLayout>
                  <c:x val="-0.13055555555555556"/>
                  <c:y val="0.11111111111111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4C7-4477-BAEE-8CC360B4E0CB}"/>
                </c:ext>
              </c:extLst>
            </c:dLbl>
            <c:dLbl>
              <c:idx val="6"/>
              <c:layout>
                <c:manualLayout>
                  <c:x val="-0.14166666666666669"/>
                  <c:y val="1.38888888888888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4C7-4477-BAEE-8CC360B4E0CB}"/>
                </c:ext>
              </c:extLst>
            </c:dLbl>
            <c:dLbl>
              <c:idx val="7"/>
              <c:layout>
                <c:manualLayout>
                  <c:x val="6.6666666666666666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4C7-4477-BAEE-8CC360B4E0CB}"/>
                </c:ext>
              </c:extLst>
            </c:dLbl>
            <c:dLbl>
              <c:idx val="8"/>
              <c:layout>
                <c:manualLayout>
                  <c:x val="0.23333344269466316"/>
                  <c:y val="2.77777777777777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98622047244096"/>
                      <c:h val="0.154675925925925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64C7-4477-BAEE-8CC360B4E0C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('FC Nb installations'!$B$5:$B$12,'FC Nb installations'!$B$15)</c:f>
              <c:strCache>
                <c:ptCount val="9"/>
                <c:pt idx="0">
                  <c:v>Bois Hors BCIAT</c:v>
                </c:pt>
                <c:pt idx="1">
                  <c:v>BCIAT BCIB</c:v>
                </c:pt>
                <c:pt idx="2">
                  <c:v>Géothermie et PAC</c:v>
                </c:pt>
                <c:pt idx="3">
                  <c:v>Biométhane</c:v>
                </c:pt>
                <c:pt idx="4">
                  <c:v>Solaire</c:v>
                </c:pt>
                <c:pt idx="5">
                  <c:v>Réseaux de chaleur</c:v>
                </c:pt>
                <c:pt idx="6">
                  <c:v>Récup Chaleur</c:v>
                </c:pt>
                <c:pt idx="7">
                  <c:v>Froid EnR</c:v>
                </c:pt>
                <c:pt idx="8">
                  <c:v>Aide BCIAT FDI/FRANCE2023 CAPEX</c:v>
                </c:pt>
              </c:strCache>
            </c:strRef>
          </c:cat>
          <c:val>
            <c:numRef>
              <c:f>('FC Nb installations'!$R$5:$R$12,'FC Nb installations'!$R$15)</c:f>
              <c:numCache>
                <c:formatCode>_-* #\ ##0\ _€_-;\-* #\ ##0\ _€_-;_-* "-"??\ _€_-;_-@_-</c:formatCode>
                <c:ptCount val="9"/>
                <c:pt idx="0">
                  <c:v>2579</c:v>
                </c:pt>
                <c:pt idx="1">
                  <c:v>270</c:v>
                </c:pt>
                <c:pt idx="2">
                  <c:v>1229</c:v>
                </c:pt>
                <c:pt idx="3">
                  <c:v>529</c:v>
                </c:pt>
                <c:pt idx="4">
                  <c:v>2379</c:v>
                </c:pt>
                <c:pt idx="5">
                  <c:v>1434</c:v>
                </c:pt>
                <c:pt idx="6">
                  <c:v>216</c:v>
                </c:pt>
                <c:pt idx="7">
                  <c:v>5</c:v>
                </c:pt>
                <c:pt idx="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4C7-4477-BAEE-8CC360B4E0C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Bilan</a:t>
            </a:r>
            <a:r>
              <a:rPr lang="fr-FR" sz="1100" baseline="0"/>
              <a:t> Fonds Chaleur - Investissement éligibles projets EnR&amp;R k€</a:t>
            </a:r>
            <a:endParaRPr lang="fr-F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'FC Invest. k€'!$B$13</c:f>
              <c:strCache>
                <c:ptCount val="1"/>
                <c:pt idx="0">
                  <c:v>Bois Hors BCIAT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 Invest. k€'!$C$12:$Q$12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Invest. k€'!$C$13:$Q$13</c:f>
              <c:numCache>
                <c:formatCode>_-* #\ ##0_-;\-* #\ ##0_-;_-* "-"??_-;_-@_-</c:formatCode>
                <c:ptCount val="15"/>
                <c:pt idx="0">
                  <c:v>91776</c:v>
                </c:pt>
                <c:pt idx="1">
                  <c:v>134465.23577</c:v>
                </c:pt>
                <c:pt idx="2">
                  <c:v>247348.39219000001</c:v>
                </c:pt>
                <c:pt idx="3">
                  <c:v>271483.33596000005</c:v>
                </c:pt>
                <c:pt idx="4">
                  <c:v>211789.35795999999</c:v>
                </c:pt>
                <c:pt idx="5">
                  <c:v>138325.84831</c:v>
                </c:pt>
                <c:pt idx="6">
                  <c:v>84887.283370000005</c:v>
                </c:pt>
                <c:pt idx="7">
                  <c:v>70842.059299999994</c:v>
                </c:pt>
                <c:pt idx="8">
                  <c:v>100332.52028988866</c:v>
                </c:pt>
                <c:pt idx="9">
                  <c:v>129101.88986724209</c:v>
                </c:pt>
                <c:pt idx="10">
                  <c:v>121723.40177107454</c:v>
                </c:pt>
                <c:pt idx="11">
                  <c:v>197408.67794154608</c:v>
                </c:pt>
                <c:pt idx="12">
                  <c:v>136797.51916572617</c:v>
                </c:pt>
                <c:pt idx="13">
                  <c:v>221720.60266860001</c:v>
                </c:pt>
                <c:pt idx="14">
                  <c:v>485962.50219223078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A-443B-AF86-7FCEC83DDC1C}"/>
            </c:ext>
          </c:extLst>
        </c:ser>
        <c:ser>
          <c:idx val="1"/>
          <c:order val="1"/>
          <c:tx>
            <c:strRef>
              <c:f>'FC Invest. k€'!$B$14</c:f>
              <c:strCache>
                <c:ptCount val="1"/>
                <c:pt idx="0">
                  <c:v>BCIAT/BCIB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'FC Invest. k€'!$C$12:$Q$12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Invest. k€'!$C$14:$Q$14</c:f>
              <c:numCache>
                <c:formatCode>_-* #\ ##0_-;\-* #\ ##0_-;_-* "-"??_-;_-@_-</c:formatCode>
                <c:ptCount val="15"/>
                <c:pt idx="0">
                  <c:v>153688</c:v>
                </c:pt>
                <c:pt idx="1">
                  <c:v>200561.86</c:v>
                </c:pt>
                <c:pt idx="2">
                  <c:v>122252.04734</c:v>
                </c:pt>
                <c:pt idx="3">
                  <c:v>112112.693</c:v>
                </c:pt>
                <c:pt idx="4">
                  <c:v>80476.426999999996</c:v>
                </c:pt>
                <c:pt idx="5">
                  <c:v>88026.714999999997</c:v>
                </c:pt>
                <c:pt idx="6">
                  <c:v>110411.257</c:v>
                </c:pt>
                <c:pt idx="7">
                  <c:v>72929.259999999995</c:v>
                </c:pt>
                <c:pt idx="8">
                  <c:v>15260.153</c:v>
                </c:pt>
                <c:pt idx="9">
                  <c:v>67738.702000000005</c:v>
                </c:pt>
                <c:pt idx="10">
                  <c:v>110511.76366</c:v>
                </c:pt>
                <c:pt idx="11">
                  <c:v>146640.11300000001</c:v>
                </c:pt>
                <c:pt idx="12">
                  <c:v>112139.24620000001</c:v>
                </c:pt>
                <c:pt idx="13">
                  <c:v>253622.50256999998</c:v>
                </c:pt>
                <c:pt idx="14">
                  <c:v>102155.7043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A-443B-AF86-7FCEC83DDC1C}"/>
            </c:ext>
          </c:extLst>
        </c:ser>
        <c:ser>
          <c:idx val="2"/>
          <c:order val="2"/>
          <c:tx>
            <c:strRef>
              <c:f>'FC Invest. k€'!$B$15</c:f>
              <c:strCache>
                <c:ptCount val="1"/>
                <c:pt idx="0">
                  <c:v>Géothermie et PAC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'FC Invest. k€'!$C$12:$Q$12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Invest. k€'!$C$15:$Q$15</c:f>
              <c:numCache>
                <c:formatCode>_-* #\ ##0_-;\-* #\ ##0_-;_-* "-"??_-;_-@_-</c:formatCode>
                <c:ptCount val="15"/>
                <c:pt idx="0">
                  <c:v>15975</c:v>
                </c:pt>
                <c:pt idx="1">
                  <c:v>56633.838479999999</c:v>
                </c:pt>
                <c:pt idx="2">
                  <c:v>107211.84026999999</c:v>
                </c:pt>
                <c:pt idx="3">
                  <c:v>77288.595749999993</c:v>
                </c:pt>
                <c:pt idx="4">
                  <c:v>70635.608089999994</c:v>
                </c:pt>
                <c:pt idx="5">
                  <c:v>85341.533950000012</c:v>
                </c:pt>
                <c:pt idx="6">
                  <c:v>86444.875110000008</c:v>
                </c:pt>
                <c:pt idx="7">
                  <c:v>65554.321819999983</c:v>
                </c:pt>
                <c:pt idx="8">
                  <c:v>75529.482537864373</c:v>
                </c:pt>
                <c:pt idx="9">
                  <c:v>103956.08549000001</c:v>
                </c:pt>
                <c:pt idx="10">
                  <c:v>118246.53414</c:v>
                </c:pt>
                <c:pt idx="11">
                  <c:v>105185.45540829393</c:v>
                </c:pt>
                <c:pt idx="12">
                  <c:v>126091.37498761991</c:v>
                </c:pt>
                <c:pt idx="13">
                  <c:v>132651.89509939999</c:v>
                </c:pt>
                <c:pt idx="14">
                  <c:v>208084.23929941608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FA-443B-AF86-7FCEC83DDC1C}"/>
            </c:ext>
          </c:extLst>
        </c:ser>
        <c:ser>
          <c:idx val="3"/>
          <c:order val="3"/>
          <c:tx>
            <c:strRef>
              <c:f>'FC Invest. k€'!$B$16</c:f>
              <c:strCache>
                <c:ptCount val="1"/>
                <c:pt idx="0">
                  <c:v>Biométhane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'FC Invest. k€'!$C$12:$Q$12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Invest. k€'!$C$16:$Q$16</c:f>
              <c:numCache>
                <c:formatCode>_-* #\ ##0_-;\-* #\ ##0_-;_-* "-"??_-;_-@_-</c:formatCode>
                <c:ptCount val="15"/>
                <c:pt idx="0">
                  <c:v>858</c:v>
                </c:pt>
                <c:pt idx="1">
                  <c:v>4045.0164</c:v>
                </c:pt>
                <c:pt idx="2">
                  <c:v>2130.7950000000001</c:v>
                </c:pt>
                <c:pt idx="3">
                  <c:v>0</c:v>
                </c:pt>
                <c:pt idx="4">
                  <c:v>11977.603999999999</c:v>
                </c:pt>
                <c:pt idx="5">
                  <c:v>24364.58754</c:v>
                </c:pt>
                <c:pt idx="6">
                  <c:v>156926.03787999999</c:v>
                </c:pt>
                <c:pt idx="7">
                  <c:v>113289.523</c:v>
                </c:pt>
                <c:pt idx="8">
                  <c:v>135440.85624000002</c:v>
                </c:pt>
                <c:pt idx="9">
                  <c:v>226522.69020999997</c:v>
                </c:pt>
                <c:pt idx="10">
                  <c:v>537285.58335999993</c:v>
                </c:pt>
                <c:pt idx="11">
                  <c:v>579782.25951999973</c:v>
                </c:pt>
                <c:pt idx="12">
                  <c:v>669073.47152999975</c:v>
                </c:pt>
                <c:pt idx="13">
                  <c:v>265220.89977999998</c:v>
                </c:pt>
                <c:pt idx="14">
                  <c:v>124626.83364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FA-443B-AF86-7FCEC83DDC1C}"/>
            </c:ext>
          </c:extLst>
        </c:ser>
        <c:ser>
          <c:idx val="4"/>
          <c:order val="4"/>
          <c:tx>
            <c:strRef>
              <c:f>'FC Invest. k€'!$B$17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'FC Invest. k€'!$C$12:$Q$12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Invest. k€'!$C$17:$Q$17</c:f>
              <c:numCache>
                <c:formatCode>_-* #\ ##0_-;\-* #\ ##0_-;_-* "-"??_-;_-@_-</c:formatCode>
                <c:ptCount val="15"/>
                <c:pt idx="0">
                  <c:v>22708</c:v>
                </c:pt>
                <c:pt idx="1">
                  <c:v>37189.215109999997</c:v>
                </c:pt>
                <c:pt idx="2">
                  <c:v>39194.350489999895</c:v>
                </c:pt>
                <c:pt idx="3">
                  <c:v>21371.11562</c:v>
                </c:pt>
                <c:pt idx="4">
                  <c:v>13716.6263</c:v>
                </c:pt>
                <c:pt idx="5">
                  <c:v>11588.248460000001</c:v>
                </c:pt>
                <c:pt idx="6">
                  <c:v>8930.0885799999996</c:v>
                </c:pt>
                <c:pt idx="7">
                  <c:v>9482.9892600000003</c:v>
                </c:pt>
                <c:pt idx="8">
                  <c:v>9496.3144722469642</c:v>
                </c:pt>
                <c:pt idx="9">
                  <c:v>11878.569992757908</c:v>
                </c:pt>
                <c:pt idx="10">
                  <c:v>24248.624658925473</c:v>
                </c:pt>
                <c:pt idx="11">
                  <c:v>11618.387510316996</c:v>
                </c:pt>
                <c:pt idx="12">
                  <c:v>7319.3665766539179</c:v>
                </c:pt>
                <c:pt idx="13">
                  <c:v>20520.515684599999</c:v>
                </c:pt>
                <c:pt idx="14">
                  <c:v>40722.166772947778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FA-443B-AF86-7FCEC83DDC1C}"/>
            </c:ext>
          </c:extLst>
        </c:ser>
        <c:ser>
          <c:idx val="5"/>
          <c:order val="5"/>
          <c:tx>
            <c:strRef>
              <c:f>'FC Invest. k€'!$B$18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'FC Invest. k€'!$C$12:$Q$12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Invest. k€'!$C$18:$Q$18</c:f>
              <c:numCache>
                <c:formatCode>_-* #\ ##0_-;\-* #\ ##0_-;_-* "-"??_-;_-@_-</c:formatCode>
                <c:ptCount val="15"/>
                <c:pt idx="0">
                  <c:v>208173</c:v>
                </c:pt>
                <c:pt idx="1">
                  <c:v>141254.38895000002</c:v>
                </c:pt>
                <c:pt idx="2">
                  <c:v>234277.25320000001</c:v>
                </c:pt>
                <c:pt idx="3">
                  <c:v>308180.77871999994</c:v>
                </c:pt>
                <c:pt idx="4">
                  <c:v>386770.71160000004</c:v>
                </c:pt>
                <c:pt idx="5">
                  <c:v>148567.59405000001</c:v>
                </c:pt>
                <c:pt idx="6">
                  <c:v>138262.99436000001</c:v>
                </c:pt>
                <c:pt idx="7">
                  <c:v>146972.83181999999</c:v>
                </c:pt>
                <c:pt idx="8">
                  <c:v>241412.80544999999</c:v>
                </c:pt>
                <c:pt idx="9">
                  <c:v>322398.86577000003</c:v>
                </c:pt>
                <c:pt idx="10">
                  <c:v>276007.51420999999</c:v>
                </c:pt>
                <c:pt idx="11">
                  <c:v>398128.52119999996</c:v>
                </c:pt>
                <c:pt idx="12">
                  <c:v>302843.61108</c:v>
                </c:pt>
                <c:pt idx="13">
                  <c:v>609357.07194520009</c:v>
                </c:pt>
                <c:pt idx="14">
                  <c:v>486689.56617999997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FA-443B-AF86-7FCEC83DDC1C}"/>
            </c:ext>
          </c:extLst>
        </c:ser>
        <c:ser>
          <c:idx val="6"/>
          <c:order val="6"/>
          <c:tx>
            <c:strRef>
              <c:f>'FC Invest. k€'!$B$19</c:f>
              <c:strCache>
                <c:ptCount val="1"/>
                <c:pt idx="0">
                  <c:v>Récup Chaleur Fatale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Invest. k€'!$C$12:$Q$12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Invest. k€'!$C$19:$Q$19</c:f>
              <c:numCache>
                <c:formatCode>General</c:formatCode>
                <c:ptCount val="15"/>
                <c:pt idx="2" formatCode="_-* #\ ##0_-;\-* #\ ##0_-;_-* &quot;-&quot;??_-;_-@_-">
                  <c:v>5804.6909999999998</c:v>
                </c:pt>
                <c:pt idx="3" formatCode="_-* #\ ##0_-;\-* #\ ##0_-;_-* &quot;-&quot;??_-;_-@_-">
                  <c:v>9417.1509999999998</c:v>
                </c:pt>
                <c:pt idx="4" formatCode="_-* #\ ##0_-;\-* #\ ##0_-;_-* &quot;-&quot;??_-;_-@_-">
                  <c:v>2959.1320000000001</c:v>
                </c:pt>
                <c:pt idx="5" formatCode="_-* #\ ##0_-;\-* #\ ##0_-;_-* &quot;-&quot;??_-;_-@_-">
                  <c:v>4007.46</c:v>
                </c:pt>
                <c:pt idx="6" formatCode="_-* #\ ##0_-;\-* #\ ##0_-;_-* &quot;-&quot;??_-;_-@_-">
                  <c:v>23676.935000000001</c:v>
                </c:pt>
                <c:pt idx="7" formatCode="_-* #\ ##0_-;\-* #\ ##0_-;_-* &quot;-&quot;??_-;_-@_-">
                  <c:v>20395.445459999999</c:v>
                </c:pt>
                <c:pt idx="8" formatCode="_-* #\ ##0_-;\-* #\ ##0_-;_-* &quot;-&quot;??_-;_-@_-">
                  <c:v>46799.208619999998</c:v>
                </c:pt>
                <c:pt idx="9" formatCode="_-* #\ ##0_-;\-* #\ ##0_-;_-* &quot;-&quot;??_-;_-@_-">
                  <c:v>27697.071250000001</c:v>
                </c:pt>
                <c:pt idx="10" formatCode="_-* #\ ##0_-;\-* #\ ##0_-;_-* &quot;-&quot;??_-;_-@_-">
                  <c:v>23729.249599999999</c:v>
                </c:pt>
                <c:pt idx="11" formatCode="_-* #\ ##0_-;\-* #\ ##0_-;_-* &quot;-&quot;??_-;_-@_-">
                  <c:v>4641.7044599999999</c:v>
                </c:pt>
                <c:pt idx="12" formatCode="_-* #\ ##0_-;\-* #\ ##0_-;_-* &quot;-&quot;??_-;_-@_-">
                  <c:v>21287.726029999998</c:v>
                </c:pt>
                <c:pt idx="13" formatCode="_-* #\ ##0_-;\-* #\ ##0_-;_-* &quot;-&quot;??_-;_-@_-">
                  <c:v>61837.267399999997</c:v>
                </c:pt>
                <c:pt idx="14" formatCode="_-* #\ ##0_-;\-* #\ ##0_-;_-* &quot;-&quot;??_-;_-@_-">
                  <c:v>93213.612039999993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FA-443B-AF86-7FCEC83DDC1C}"/>
            </c:ext>
          </c:extLst>
        </c:ser>
        <c:ser>
          <c:idx val="8"/>
          <c:order val="7"/>
          <c:tx>
            <c:strRef>
              <c:f>'FC Invest. k€'!$B$21</c:f>
              <c:strCache>
                <c:ptCount val="1"/>
                <c:pt idx="0">
                  <c:v>Approv Bois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Invest. k€'!$C$12:$Q$12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Invest. k€'!$C$21:$Q$21</c:f>
              <c:numCache>
                <c:formatCode>_-* #\ ##0_-;\-* #\ ##0_-;_-* "-"??_-;_-@_-</c:formatCode>
                <c:ptCount val="15"/>
                <c:pt idx="0">
                  <c:v>53570</c:v>
                </c:pt>
                <c:pt idx="1">
                  <c:v>670</c:v>
                </c:pt>
                <c:pt idx="4">
                  <c:v>11590</c:v>
                </c:pt>
                <c:pt idx="5">
                  <c:v>9387</c:v>
                </c:pt>
                <c:pt idx="6">
                  <c:v>40625</c:v>
                </c:pt>
                <c:pt idx="7">
                  <c:v>23424</c:v>
                </c:pt>
                <c:pt idx="8">
                  <c:v>4227</c:v>
                </c:pt>
                <c:pt idx="9">
                  <c:v>1906</c:v>
                </c:pt>
                <c:pt idx="10" formatCode="General">
                  <c:v>23772</c:v>
                </c:pt>
                <c:pt idx="11" formatCode="General">
                  <c:v>24234</c:v>
                </c:pt>
                <c:pt idx="12">
                  <c:v>24340</c:v>
                </c:pt>
                <c:pt idx="13">
                  <c:v>7266.2690000000002</c:v>
                </c:pt>
                <c:pt idx="14">
                  <c:v>6459.7429900000006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FA-443B-AF86-7FCEC83DD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647279"/>
        <c:axId val="219649775"/>
      </c:barChart>
      <c:catAx>
        <c:axId val="21964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649775"/>
        <c:crosses val="autoZero"/>
        <c:auto val="1"/>
        <c:lblAlgn val="ctr"/>
        <c:lblOffset val="100"/>
        <c:noMultiLvlLbl val="0"/>
      </c:catAx>
      <c:valAx>
        <c:axId val="21964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64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Bilan Fonds Chaleur + FDI BCIAT - Investissement éligibles EnR&amp;R k€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'FC Invest. k€'!$B$13</c:f>
              <c:strCache>
                <c:ptCount val="1"/>
                <c:pt idx="0">
                  <c:v>Bois Hors BCIAT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 Invest. k€'!$C$12:$Q$12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Invest. k€'!$C$13:$Q$13</c:f>
              <c:numCache>
                <c:formatCode>_-* #\ ##0_-;\-* #\ ##0_-;_-* "-"??_-;_-@_-</c:formatCode>
                <c:ptCount val="15"/>
                <c:pt idx="0">
                  <c:v>91776</c:v>
                </c:pt>
                <c:pt idx="1">
                  <c:v>134465.23577</c:v>
                </c:pt>
                <c:pt idx="2">
                  <c:v>247348.39219000001</c:v>
                </c:pt>
                <c:pt idx="3">
                  <c:v>271483.33596000005</c:v>
                </c:pt>
                <c:pt idx="4">
                  <c:v>211789.35795999999</c:v>
                </c:pt>
                <c:pt idx="5">
                  <c:v>138325.84831</c:v>
                </c:pt>
                <c:pt idx="6">
                  <c:v>84887.283370000005</c:v>
                </c:pt>
                <c:pt idx="7">
                  <c:v>70842.059299999994</c:v>
                </c:pt>
                <c:pt idx="8">
                  <c:v>100332.52028988866</c:v>
                </c:pt>
                <c:pt idx="9">
                  <c:v>129101.88986724209</c:v>
                </c:pt>
                <c:pt idx="10">
                  <c:v>121723.40177107454</c:v>
                </c:pt>
                <c:pt idx="11">
                  <c:v>197408.67794154608</c:v>
                </c:pt>
                <c:pt idx="12">
                  <c:v>136797.51916572617</c:v>
                </c:pt>
                <c:pt idx="13">
                  <c:v>221720.60266860001</c:v>
                </c:pt>
                <c:pt idx="14">
                  <c:v>485962.50219223078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F-48C9-84D4-786FC73B4240}"/>
            </c:ext>
          </c:extLst>
        </c:ser>
        <c:ser>
          <c:idx val="1"/>
          <c:order val="1"/>
          <c:tx>
            <c:strRef>
              <c:f>'FC Invest. k€'!$B$14</c:f>
              <c:strCache>
                <c:ptCount val="1"/>
                <c:pt idx="0">
                  <c:v>BCIAT/BCIB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'FC Invest. k€'!$C$12:$Q$12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Invest. k€'!$C$14:$Q$14</c:f>
              <c:numCache>
                <c:formatCode>_-* #\ ##0_-;\-* #\ ##0_-;_-* "-"??_-;_-@_-</c:formatCode>
                <c:ptCount val="15"/>
                <c:pt idx="0">
                  <c:v>153688</c:v>
                </c:pt>
                <c:pt idx="1">
                  <c:v>200561.86</c:v>
                </c:pt>
                <c:pt idx="2">
                  <c:v>122252.04734</c:v>
                </c:pt>
                <c:pt idx="3">
                  <c:v>112112.693</c:v>
                </c:pt>
                <c:pt idx="4">
                  <c:v>80476.426999999996</c:v>
                </c:pt>
                <c:pt idx="5">
                  <c:v>88026.714999999997</c:v>
                </c:pt>
                <c:pt idx="6">
                  <c:v>110411.257</c:v>
                </c:pt>
                <c:pt idx="7">
                  <c:v>72929.259999999995</c:v>
                </c:pt>
                <c:pt idx="8">
                  <c:v>15260.153</c:v>
                </c:pt>
                <c:pt idx="9">
                  <c:v>67738.702000000005</c:v>
                </c:pt>
                <c:pt idx="10">
                  <c:v>110511.76366</c:v>
                </c:pt>
                <c:pt idx="11">
                  <c:v>146640.11300000001</c:v>
                </c:pt>
                <c:pt idx="12">
                  <c:v>112139.24620000001</c:v>
                </c:pt>
                <c:pt idx="13">
                  <c:v>253622.50256999998</c:v>
                </c:pt>
                <c:pt idx="14">
                  <c:v>102155.7043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F-48C9-84D4-786FC73B4240}"/>
            </c:ext>
          </c:extLst>
        </c:ser>
        <c:ser>
          <c:idx val="2"/>
          <c:order val="2"/>
          <c:tx>
            <c:strRef>
              <c:f>'FC Invest. k€'!$B$15</c:f>
              <c:strCache>
                <c:ptCount val="1"/>
                <c:pt idx="0">
                  <c:v>Géothermie et PAC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'FC Invest. k€'!$C$12:$Q$12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Invest. k€'!$C$15:$Q$15</c:f>
              <c:numCache>
                <c:formatCode>_-* #\ ##0_-;\-* #\ ##0_-;_-* "-"??_-;_-@_-</c:formatCode>
                <c:ptCount val="15"/>
                <c:pt idx="0">
                  <c:v>15975</c:v>
                </c:pt>
                <c:pt idx="1">
                  <c:v>56633.838479999999</c:v>
                </c:pt>
                <c:pt idx="2">
                  <c:v>107211.84026999999</c:v>
                </c:pt>
                <c:pt idx="3">
                  <c:v>77288.595749999993</c:v>
                </c:pt>
                <c:pt idx="4">
                  <c:v>70635.608089999994</c:v>
                </c:pt>
                <c:pt idx="5">
                  <c:v>85341.533950000012</c:v>
                </c:pt>
                <c:pt idx="6">
                  <c:v>86444.875110000008</c:v>
                </c:pt>
                <c:pt idx="7">
                  <c:v>65554.321819999983</c:v>
                </c:pt>
                <c:pt idx="8">
                  <c:v>75529.482537864373</c:v>
                </c:pt>
                <c:pt idx="9">
                  <c:v>103956.08549000001</c:v>
                </c:pt>
                <c:pt idx="10">
                  <c:v>118246.53414</c:v>
                </c:pt>
                <c:pt idx="11">
                  <c:v>105185.45540829393</c:v>
                </c:pt>
                <c:pt idx="12">
                  <c:v>126091.37498761991</c:v>
                </c:pt>
                <c:pt idx="13">
                  <c:v>132651.89509939999</c:v>
                </c:pt>
                <c:pt idx="14">
                  <c:v>208084.23929941608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1F-48C9-84D4-786FC73B4240}"/>
            </c:ext>
          </c:extLst>
        </c:ser>
        <c:ser>
          <c:idx val="3"/>
          <c:order val="3"/>
          <c:tx>
            <c:strRef>
              <c:f>'FC Invest. k€'!$B$16</c:f>
              <c:strCache>
                <c:ptCount val="1"/>
                <c:pt idx="0">
                  <c:v>Biométhane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'FC Invest. k€'!$C$12:$Q$12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Invest. k€'!$C$16:$Q$16</c:f>
              <c:numCache>
                <c:formatCode>_-* #\ ##0_-;\-* #\ ##0_-;_-* "-"??_-;_-@_-</c:formatCode>
                <c:ptCount val="15"/>
                <c:pt idx="0">
                  <c:v>858</c:v>
                </c:pt>
                <c:pt idx="1">
                  <c:v>4045.0164</c:v>
                </c:pt>
                <c:pt idx="2">
                  <c:v>2130.7950000000001</c:v>
                </c:pt>
                <c:pt idx="3">
                  <c:v>0</c:v>
                </c:pt>
                <c:pt idx="4">
                  <c:v>11977.603999999999</c:v>
                </c:pt>
                <c:pt idx="5">
                  <c:v>24364.58754</c:v>
                </c:pt>
                <c:pt idx="6">
                  <c:v>156926.03787999999</c:v>
                </c:pt>
                <c:pt idx="7">
                  <c:v>113289.523</c:v>
                </c:pt>
                <c:pt idx="8">
                  <c:v>135440.85624000002</c:v>
                </c:pt>
                <c:pt idx="9">
                  <c:v>226522.69020999997</c:v>
                </c:pt>
                <c:pt idx="10">
                  <c:v>537285.58335999993</c:v>
                </c:pt>
                <c:pt idx="11">
                  <c:v>579782.25951999973</c:v>
                </c:pt>
                <c:pt idx="12">
                  <c:v>669073.47152999975</c:v>
                </c:pt>
                <c:pt idx="13">
                  <c:v>265220.89977999998</c:v>
                </c:pt>
                <c:pt idx="14">
                  <c:v>124626.83364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1F-48C9-84D4-786FC73B4240}"/>
            </c:ext>
          </c:extLst>
        </c:ser>
        <c:ser>
          <c:idx val="4"/>
          <c:order val="4"/>
          <c:tx>
            <c:strRef>
              <c:f>'FC Invest. k€'!$B$17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'FC Invest. k€'!$C$12:$Q$12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Invest. k€'!$C$17:$P$17</c:f>
              <c:numCache>
                <c:formatCode>_-* #\ ##0_-;\-* #\ ##0_-;_-* "-"??_-;_-@_-</c:formatCode>
                <c:ptCount val="14"/>
                <c:pt idx="0">
                  <c:v>22708</c:v>
                </c:pt>
                <c:pt idx="1">
                  <c:v>37189.215109999997</c:v>
                </c:pt>
                <c:pt idx="2">
                  <c:v>39194.350489999895</c:v>
                </c:pt>
                <c:pt idx="3">
                  <c:v>21371.11562</c:v>
                </c:pt>
                <c:pt idx="4">
                  <c:v>13716.6263</c:v>
                </c:pt>
                <c:pt idx="5">
                  <c:v>11588.248460000001</c:v>
                </c:pt>
                <c:pt idx="6">
                  <c:v>8930.0885799999996</c:v>
                </c:pt>
                <c:pt idx="7">
                  <c:v>9482.9892600000003</c:v>
                </c:pt>
                <c:pt idx="8">
                  <c:v>9496.3144722469642</c:v>
                </c:pt>
                <c:pt idx="9">
                  <c:v>11878.569992757908</c:v>
                </c:pt>
                <c:pt idx="10">
                  <c:v>24248.624658925473</c:v>
                </c:pt>
                <c:pt idx="11">
                  <c:v>11618.387510316996</c:v>
                </c:pt>
                <c:pt idx="12">
                  <c:v>7319.3665766539179</c:v>
                </c:pt>
                <c:pt idx="13">
                  <c:v>20520.515684599999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1F-48C9-84D4-786FC73B4240}"/>
            </c:ext>
          </c:extLst>
        </c:ser>
        <c:ser>
          <c:idx val="5"/>
          <c:order val="5"/>
          <c:tx>
            <c:strRef>
              <c:f>'FC Invest. k€'!$B$18</c:f>
              <c:strCache>
                <c:ptCount val="1"/>
                <c:pt idx="0">
                  <c:v>Réseau de chaleur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'FC Invest. k€'!$C$12:$Q$12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Invest. k€'!$C$18:$Q$18</c:f>
              <c:numCache>
                <c:formatCode>_-* #\ ##0_-;\-* #\ ##0_-;_-* "-"??_-;_-@_-</c:formatCode>
                <c:ptCount val="15"/>
                <c:pt idx="0">
                  <c:v>208173</c:v>
                </c:pt>
                <c:pt idx="1">
                  <c:v>141254.38895000002</c:v>
                </c:pt>
                <c:pt idx="2">
                  <c:v>234277.25320000001</c:v>
                </c:pt>
                <c:pt idx="3">
                  <c:v>308180.77871999994</c:v>
                </c:pt>
                <c:pt idx="4">
                  <c:v>386770.71160000004</c:v>
                </c:pt>
                <c:pt idx="5">
                  <c:v>148567.59405000001</c:v>
                </c:pt>
                <c:pt idx="6">
                  <c:v>138262.99436000001</c:v>
                </c:pt>
                <c:pt idx="7">
                  <c:v>146972.83181999999</c:v>
                </c:pt>
                <c:pt idx="8">
                  <c:v>241412.80544999999</c:v>
                </c:pt>
                <c:pt idx="9">
                  <c:v>322398.86577000003</c:v>
                </c:pt>
                <c:pt idx="10">
                  <c:v>276007.51420999999</c:v>
                </c:pt>
                <c:pt idx="11">
                  <c:v>398128.52119999996</c:v>
                </c:pt>
                <c:pt idx="12">
                  <c:v>302843.61108</c:v>
                </c:pt>
                <c:pt idx="13">
                  <c:v>609357.07194520009</c:v>
                </c:pt>
                <c:pt idx="14">
                  <c:v>486689.56617999997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1F-48C9-84D4-786FC73B4240}"/>
            </c:ext>
          </c:extLst>
        </c:ser>
        <c:ser>
          <c:idx val="6"/>
          <c:order val="6"/>
          <c:tx>
            <c:strRef>
              <c:f>'FC Invest. k€'!$B$19</c:f>
              <c:strCache>
                <c:ptCount val="1"/>
                <c:pt idx="0">
                  <c:v>Récup Chaleur Fatale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Invest. k€'!$C$12:$Q$12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Invest. k€'!$C$19:$Q$19</c:f>
              <c:numCache>
                <c:formatCode>General</c:formatCode>
                <c:ptCount val="15"/>
                <c:pt idx="2" formatCode="_-* #\ ##0_-;\-* #\ ##0_-;_-* &quot;-&quot;??_-;_-@_-">
                  <c:v>5804.6909999999998</c:v>
                </c:pt>
                <c:pt idx="3" formatCode="_-* #\ ##0_-;\-* #\ ##0_-;_-* &quot;-&quot;??_-;_-@_-">
                  <c:v>9417.1509999999998</c:v>
                </c:pt>
                <c:pt idx="4" formatCode="_-* #\ ##0_-;\-* #\ ##0_-;_-* &quot;-&quot;??_-;_-@_-">
                  <c:v>2959.1320000000001</c:v>
                </c:pt>
                <c:pt idx="5" formatCode="_-* #\ ##0_-;\-* #\ ##0_-;_-* &quot;-&quot;??_-;_-@_-">
                  <c:v>4007.46</c:v>
                </c:pt>
                <c:pt idx="6" formatCode="_-* #\ ##0_-;\-* #\ ##0_-;_-* &quot;-&quot;??_-;_-@_-">
                  <c:v>23676.935000000001</c:v>
                </c:pt>
                <c:pt idx="7" formatCode="_-* #\ ##0_-;\-* #\ ##0_-;_-* &quot;-&quot;??_-;_-@_-">
                  <c:v>20395.445459999999</c:v>
                </c:pt>
                <c:pt idx="8" formatCode="_-* #\ ##0_-;\-* #\ ##0_-;_-* &quot;-&quot;??_-;_-@_-">
                  <c:v>46799.208619999998</c:v>
                </c:pt>
                <c:pt idx="9" formatCode="_-* #\ ##0_-;\-* #\ ##0_-;_-* &quot;-&quot;??_-;_-@_-">
                  <c:v>27697.071250000001</c:v>
                </c:pt>
                <c:pt idx="10" formatCode="_-* #\ ##0_-;\-* #\ ##0_-;_-* &quot;-&quot;??_-;_-@_-">
                  <c:v>23729.249599999999</c:v>
                </c:pt>
                <c:pt idx="11" formatCode="_-* #\ ##0_-;\-* #\ ##0_-;_-* &quot;-&quot;??_-;_-@_-">
                  <c:v>4641.7044599999999</c:v>
                </c:pt>
                <c:pt idx="12" formatCode="_-* #\ ##0_-;\-* #\ ##0_-;_-* &quot;-&quot;??_-;_-@_-">
                  <c:v>21287.726029999998</c:v>
                </c:pt>
                <c:pt idx="13" formatCode="_-* #\ ##0_-;\-* #\ ##0_-;_-* &quot;-&quot;??_-;_-@_-">
                  <c:v>61837.267399999997</c:v>
                </c:pt>
                <c:pt idx="14" formatCode="_-* #\ ##0_-;\-* #\ ##0_-;_-* &quot;-&quot;??_-;_-@_-">
                  <c:v>93213.612039999993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1F-48C9-84D4-786FC73B4240}"/>
            </c:ext>
          </c:extLst>
        </c:ser>
        <c:ser>
          <c:idx val="8"/>
          <c:order val="7"/>
          <c:tx>
            <c:strRef>
              <c:f>'FC Invest. k€'!$B$21</c:f>
              <c:strCache>
                <c:ptCount val="1"/>
                <c:pt idx="0">
                  <c:v>Approv Bois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'FC Invest. k€'!$C$12:$Q$12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Invest. k€'!$C$21:$P$21</c:f>
              <c:numCache>
                <c:formatCode>_-* #\ ##0_-;\-* #\ ##0_-;_-* "-"??_-;_-@_-</c:formatCode>
                <c:ptCount val="14"/>
                <c:pt idx="0">
                  <c:v>53570</c:v>
                </c:pt>
                <c:pt idx="1">
                  <c:v>670</c:v>
                </c:pt>
                <c:pt idx="4">
                  <c:v>11590</c:v>
                </c:pt>
                <c:pt idx="5">
                  <c:v>9387</c:v>
                </c:pt>
                <c:pt idx="6">
                  <c:v>40625</c:v>
                </c:pt>
                <c:pt idx="7">
                  <c:v>23424</c:v>
                </c:pt>
                <c:pt idx="8">
                  <c:v>4227</c:v>
                </c:pt>
                <c:pt idx="9">
                  <c:v>1906</c:v>
                </c:pt>
                <c:pt idx="10" formatCode="General">
                  <c:v>23772</c:v>
                </c:pt>
                <c:pt idx="11" formatCode="General">
                  <c:v>24234</c:v>
                </c:pt>
                <c:pt idx="12">
                  <c:v>24340</c:v>
                </c:pt>
                <c:pt idx="13">
                  <c:v>7266.2690000000002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1F-48C9-84D4-786FC73B4240}"/>
            </c:ext>
          </c:extLst>
        </c:ser>
        <c:ser>
          <c:idx val="9"/>
          <c:order val="8"/>
          <c:tx>
            <c:strRef>
              <c:f>'FC Invest. k€'!$B$24</c:f>
              <c:strCache>
                <c:ptCount val="1"/>
                <c:pt idx="0">
                  <c:v>Aide BCIAT FDI CAPEX</c:v>
                </c:pt>
              </c:strCache>
            </c:strRef>
          </c:tx>
          <c:spPr>
            <a:solidFill>
              <a:srgbClr val="E2A2A2"/>
            </a:solidFill>
            <a:ln>
              <a:noFill/>
            </a:ln>
            <a:effectLst/>
          </c:spPr>
          <c:invertIfNegative val="0"/>
          <c:cat>
            <c:numRef>
              <c:f>'FC Invest. k€'!$C$12:$Q$12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Invest. k€'!$C$24:$Q$24</c:f>
              <c:numCache>
                <c:formatCode>General</c:formatCode>
                <c:ptCount val="15"/>
                <c:pt idx="12" formatCode="_-* #\ ##0_-;\-* #\ ##0_-;_-* &quot;-&quot;??_-;_-@_-">
                  <c:v>209905.745</c:v>
                </c:pt>
                <c:pt idx="13" formatCode="_-* #\ ##0_-;\-* #\ ##0_-;_-* &quot;-&quot;??_-;_-@_-">
                  <c:v>437096.82299999997</c:v>
                </c:pt>
                <c:pt idx="14" formatCode="_-* #\ ##0_-;\-* #\ ##0_-;_-* &quot;-&quot;??_-;_-@_-">
                  <c:v>537708.89899999998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1F-48C9-84D4-786FC73B4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2529951"/>
        <c:axId val="372524127"/>
      </c:barChart>
      <c:catAx>
        <c:axId val="37252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2524127"/>
        <c:crosses val="autoZero"/>
        <c:auto val="1"/>
        <c:lblAlgn val="ctr"/>
        <c:lblOffset val="100"/>
        <c:noMultiLvlLbl val="0"/>
      </c:catAx>
      <c:valAx>
        <c:axId val="37252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252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'FC Invest. k€'!$R$12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93-46C4-AC3C-A3A9BB3615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93-46C4-AC3C-A3A9BB3615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093-46C4-AC3C-A3A9BB3615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093-46C4-AC3C-A3A9BB3615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093-46C4-AC3C-A3A9BB3615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093-46C4-AC3C-A3A9BB3615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093-46C4-AC3C-A3A9BB36152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093-46C4-AC3C-A3A9BB36152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093-46C4-AC3C-A3A9BB36152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093-46C4-AC3C-A3A9BB36152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093-46C4-AC3C-A3A9BB36152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093-46C4-AC3C-A3A9BB36152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093-46C4-AC3C-A3A9BB36152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093-46C4-AC3C-A3A9BB36152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3093-46C4-AC3C-A3A9BB36152F}"/>
                </c:ext>
              </c:extLst>
            </c:dLbl>
            <c:dLbl>
              <c:idx val="6"/>
              <c:layout>
                <c:manualLayout>
                  <c:x val="-0.21640488656195461"/>
                  <c:y val="6.93641618497109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093-46C4-AC3C-A3A9BB36152F}"/>
                </c:ext>
              </c:extLst>
            </c:dLbl>
            <c:dLbl>
              <c:idx val="7"/>
              <c:layout>
                <c:manualLayout>
                  <c:x val="-0.1093659104130308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093-46C4-AC3C-A3A9BB36152F}"/>
                </c:ext>
              </c:extLst>
            </c:dLbl>
            <c:dLbl>
              <c:idx val="8"/>
              <c:layout>
                <c:manualLayout>
                  <c:x val="9.0750436300174514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093-46C4-AC3C-A3A9BB3615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'FC Invest. k€'!$B$13:$B$21</c:f>
              <c:strCache>
                <c:ptCount val="9"/>
                <c:pt idx="0">
                  <c:v>Bois Hors BCIAT</c:v>
                </c:pt>
                <c:pt idx="1">
                  <c:v>BCIAT/BCIB</c:v>
                </c:pt>
                <c:pt idx="2">
                  <c:v>Géothermie et PAC</c:v>
                </c:pt>
                <c:pt idx="3">
                  <c:v>Biométhane</c:v>
                </c:pt>
                <c:pt idx="4">
                  <c:v>Solaire</c:v>
                </c:pt>
                <c:pt idx="5">
                  <c:v>Réseau de chaleur</c:v>
                </c:pt>
                <c:pt idx="6">
                  <c:v>Récup Chaleur Fatale</c:v>
                </c:pt>
                <c:pt idx="7">
                  <c:v>Froid EnR</c:v>
                </c:pt>
                <c:pt idx="8">
                  <c:v>Approv Bois </c:v>
                </c:pt>
              </c:strCache>
            </c:strRef>
          </c:cat>
          <c:val>
            <c:numRef>
              <c:f>'FC Invest. k€'!$R$13:$R$21</c:f>
              <c:numCache>
                <c:formatCode>_-* #\ ##0_-;\-* #\ ##0_-;_-* "-"??_-;_-@_-</c:formatCode>
                <c:ptCount val="9"/>
                <c:pt idx="0">
                  <c:v>2643964.6267563086</c:v>
                </c:pt>
                <c:pt idx="1">
                  <c:v>1748526.44407</c:v>
                </c:pt>
                <c:pt idx="2">
                  <c:v>1434830.6804325944</c:v>
                </c:pt>
                <c:pt idx="3">
                  <c:v>2851544.1580999997</c:v>
                </c:pt>
                <c:pt idx="4">
                  <c:v>289984.57948844892</c:v>
                </c:pt>
                <c:pt idx="5">
                  <c:v>4349297.5085351998</c:v>
                </c:pt>
                <c:pt idx="6">
                  <c:v>345466.65386000002</c:v>
                </c:pt>
                <c:pt idx="7">
                  <c:v>11946.850999999999</c:v>
                </c:pt>
                <c:pt idx="8">
                  <c:v>231471.01199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093-46C4-AC3C-A3A9BB36152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'FC Invest. k€'!$R$12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BE8-4977-81D1-91F832AAF7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BE8-4977-81D1-91F832AAF7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BE8-4977-81D1-91F832AAF7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BE8-4977-81D1-91F832AAF7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BE8-4977-81D1-91F832AAF7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BE8-4977-81D1-91F832AAF7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BE8-4977-81D1-91F832AAF7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BE8-4977-81D1-91F832AAF7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BE8-4977-81D1-91F832AAF761}"/>
              </c:ext>
            </c:extLst>
          </c:dPt>
          <c:dPt>
            <c:idx val="9"/>
            <c:bubble3D val="0"/>
            <c:spPr>
              <a:solidFill>
                <a:srgbClr val="E2A2A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BE8-4977-81D1-91F832AAF76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BE8-4977-81D1-91F832AAF76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BE8-4977-81D1-91F832AAF76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BE8-4977-81D1-91F832AAF76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BE8-4977-81D1-91F832AAF76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BE8-4977-81D1-91F832AAF76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3BE8-4977-81D1-91F832AAF761}"/>
                </c:ext>
              </c:extLst>
            </c:dLbl>
            <c:dLbl>
              <c:idx val="6"/>
              <c:layout>
                <c:manualLayout>
                  <c:x val="-0.14144271570014144"/>
                  <c:y val="0.1626794258373205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BE8-4977-81D1-91F832AAF761}"/>
                </c:ext>
              </c:extLst>
            </c:dLbl>
            <c:dLbl>
              <c:idx val="7"/>
              <c:layout>
                <c:manualLayout>
                  <c:x val="-0.23385195662423386"/>
                  <c:y val="4.46570972886762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BE8-4977-81D1-91F832AAF761}"/>
                </c:ext>
              </c:extLst>
            </c:dLbl>
            <c:dLbl>
              <c:idx val="8"/>
              <c:layout>
                <c:manualLayout>
                  <c:x val="-0.13767090994813769"/>
                  <c:y val="-2.71132376395534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7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86508369622114"/>
                      <c:h val="0.103381180223285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3BE8-4977-81D1-91F832AAF761}"/>
                </c:ext>
              </c:extLst>
            </c:dLbl>
            <c:dLbl>
              <c:idx val="9"/>
              <c:layout>
                <c:manualLayout>
                  <c:x val="6.8835454974068844E-2"/>
                  <c:y val="-3.18979266347687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spc="0" baseline="0">
                      <a:solidFill>
                        <a:srgbClr val="E2A2A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479483381409006"/>
                      <c:h val="8.743221690590111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3BE8-4977-81D1-91F832AAF7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('FC Invest. k€'!$B$13:$B$21,'FC Invest. k€'!$B$24)</c:f>
              <c:strCache>
                <c:ptCount val="10"/>
                <c:pt idx="0">
                  <c:v>Bois Hors BCIAT</c:v>
                </c:pt>
                <c:pt idx="1">
                  <c:v>BCIAT/BCIB</c:v>
                </c:pt>
                <c:pt idx="2">
                  <c:v>Géothermie et PAC</c:v>
                </c:pt>
                <c:pt idx="3">
                  <c:v>Biométhane</c:v>
                </c:pt>
                <c:pt idx="4">
                  <c:v>Solaire</c:v>
                </c:pt>
                <c:pt idx="5">
                  <c:v>Réseau de chaleur</c:v>
                </c:pt>
                <c:pt idx="6">
                  <c:v>Récup Chaleur Fatale</c:v>
                </c:pt>
                <c:pt idx="7">
                  <c:v>Froid EnR</c:v>
                </c:pt>
                <c:pt idx="8">
                  <c:v>Approv Bois </c:v>
                </c:pt>
                <c:pt idx="9">
                  <c:v>Aide BCIAT FDI CAPEX</c:v>
                </c:pt>
              </c:strCache>
            </c:strRef>
          </c:cat>
          <c:val>
            <c:numRef>
              <c:f>('FC Invest. k€'!$R$13:$R$21,'FC Invest. k€'!$R$24)</c:f>
              <c:numCache>
                <c:formatCode>_-* #\ ##0_-;\-* #\ ##0_-;_-* "-"??_-;_-@_-</c:formatCode>
                <c:ptCount val="10"/>
                <c:pt idx="0">
                  <c:v>2643964.6267563086</c:v>
                </c:pt>
                <c:pt idx="1">
                  <c:v>1748526.44407</c:v>
                </c:pt>
                <c:pt idx="2">
                  <c:v>1434830.6804325944</c:v>
                </c:pt>
                <c:pt idx="3">
                  <c:v>2851544.1580999997</c:v>
                </c:pt>
                <c:pt idx="4">
                  <c:v>289984.57948844892</c:v>
                </c:pt>
                <c:pt idx="5">
                  <c:v>4349297.5085351998</c:v>
                </c:pt>
                <c:pt idx="6">
                  <c:v>345466.65386000002</c:v>
                </c:pt>
                <c:pt idx="7">
                  <c:v>11946.850999999999</c:v>
                </c:pt>
                <c:pt idx="8">
                  <c:v>231471.01199</c:v>
                </c:pt>
                <c:pt idx="9">
                  <c:v>1184711.4669999999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BE8-4977-81D1-91F832AAF76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Bilan Fonds Chaleur + FDI BCIAT Ratio</a:t>
            </a:r>
            <a:r>
              <a:rPr lang="fr-FR" sz="1100" baseline="0"/>
              <a:t> d'efficience d'aide €/MWh/20ans</a:t>
            </a:r>
            <a:endParaRPr lang="fr-F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'FC 2009-2022 Ratio aide'!$B$5</c:f>
              <c:strCache>
                <c:ptCount val="1"/>
                <c:pt idx="0">
                  <c:v>Ratio FC aide investissement EnR&amp;R €/MWh/20ans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 2009-2022 Ratio aide'!$C$4:$P$4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Ratio aide'!$C$5:$P$5</c:f>
              <c:numCache>
                <c:formatCode>_(* #,##0.00_);_(* \(#,##0.00\);_(* "-"??_);_(@_)</c:formatCode>
                <c:ptCount val="14"/>
                <c:pt idx="0">
                  <c:v>3.5110603168352781</c:v>
                </c:pt>
                <c:pt idx="1">
                  <c:v>3.3085143848123466</c:v>
                </c:pt>
                <c:pt idx="2">
                  <c:v>3.4405329646132992</c:v>
                </c:pt>
                <c:pt idx="3">
                  <c:v>3.19984077603507</c:v>
                </c:pt>
                <c:pt idx="4">
                  <c:v>3.4559132060993547</c:v>
                </c:pt>
                <c:pt idx="5">
                  <c:v>3.0247799134319493</c:v>
                </c:pt>
                <c:pt idx="6">
                  <c:v>3.1958126885456606</c:v>
                </c:pt>
                <c:pt idx="7">
                  <c:v>4.3805505887018814</c:v>
                </c:pt>
                <c:pt idx="8">
                  <c:v>4.5023699281844829</c:v>
                </c:pt>
                <c:pt idx="9">
                  <c:v>4.5581509200855574</c:v>
                </c:pt>
                <c:pt idx="10">
                  <c:v>3.5713569755926473</c:v>
                </c:pt>
                <c:pt idx="11">
                  <c:v>4.0125197531745593</c:v>
                </c:pt>
                <c:pt idx="12">
                  <c:v>4.4935709084653386</c:v>
                </c:pt>
                <c:pt idx="13">
                  <c:v>6.295330225094987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0-4908-82C6-79375C72DB41}"/>
            </c:ext>
          </c:extLst>
        </c:ser>
        <c:ser>
          <c:idx val="1"/>
          <c:order val="1"/>
          <c:tx>
            <c:strRef>
              <c:f>'FC 2009-2022 Ratio aide'!$B$6</c:f>
              <c:strCache>
                <c:ptCount val="1"/>
                <c:pt idx="0">
                  <c:v>Ratio FC global €/MWh/20ans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'FC 2009-2022 Ratio aide'!$C$4:$P$4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Ratio aide'!$C$6:$P$6</c:f>
              <c:numCache>
                <c:formatCode>_(* #,##0.00_);_(* \(#,##0.00\);_(* "-"??_);_(@_)</c:formatCode>
                <c:ptCount val="14"/>
                <c:pt idx="0">
                  <c:v>3.7042782848537819</c:v>
                </c:pt>
                <c:pt idx="1">
                  <c:v>3.3909570541907081</c:v>
                </c:pt>
                <c:pt idx="2">
                  <c:v>3.669643847781991</c:v>
                </c:pt>
                <c:pt idx="3">
                  <c:v>3.3243281759936529</c:v>
                </c:pt>
                <c:pt idx="4">
                  <c:v>3.654243425308259</c:v>
                </c:pt>
                <c:pt idx="5">
                  <c:v>3.7036546743998251</c:v>
                </c:pt>
                <c:pt idx="6">
                  <c:v>3.6890555294540497</c:v>
                </c:pt>
                <c:pt idx="7">
                  <c:v>5.1127826811337336</c:v>
                </c:pt>
                <c:pt idx="8">
                  <c:v>4.9176501580561256</c:v>
                </c:pt>
                <c:pt idx="9">
                  <c:v>4.9473246290452035</c:v>
                </c:pt>
                <c:pt idx="10">
                  <c:v>3.7988714436031281</c:v>
                </c:pt>
                <c:pt idx="11">
                  <c:v>4.4262933804017122</c:v>
                </c:pt>
                <c:pt idx="12">
                  <c:v>5.2200628567196032</c:v>
                </c:pt>
                <c:pt idx="13">
                  <c:v>7.0890867296352225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0-4908-82C6-79375C72DB41}"/>
            </c:ext>
          </c:extLst>
        </c:ser>
        <c:ser>
          <c:idx val="2"/>
          <c:order val="2"/>
          <c:tx>
            <c:strRef>
              <c:f>'FC 2009-2022 Ratio aide'!$B$8</c:f>
              <c:strCache>
                <c:ptCount val="1"/>
                <c:pt idx="0">
                  <c:v>Ratio aide FDI BCIAT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'FC 2009-2022 Ratio aide'!$C$4:$P$4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Ratio aide'!$C$8:$P$8</c:f>
              <c:numCache>
                <c:formatCode>_(* #,##0.00_);_(* \(#,##0.00\);_(* "-"??_);_(@_)</c:formatCode>
                <c:ptCount val="14"/>
                <c:pt idx="12">
                  <c:v>2.7897061059910055</c:v>
                </c:pt>
                <c:pt idx="13">
                  <c:v>3.4341451135181864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0-4908-82C6-79375C72DB41}"/>
            </c:ext>
          </c:extLst>
        </c:ser>
        <c:ser>
          <c:idx val="3"/>
          <c:order val="3"/>
          <c:tx>
            <c:strRef>
              <c:f>'FC 2009-2022 Ratio aide'!$B$9</c:f>
              <c:strCache>
                <c:ptCount val="1"/>
                <c:pt idx="0">
                  <c:v>Ratio FC aide investissement et FDI BCIAT €/MWh/20ans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'FC 2009-2022 Ratio aide'!$C$4:$P$4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Ratio aide'!$C$9:$P$9</c:f>
              <c:numCache>
                <c:formatCode>_(* #,##0.00_);_(* \(#,##0.00\);_(* "-"??_);_(@_)</c:formatCode>
                <c:ptCount val="14"/>
                <c:pt idx="0">
                  <c:v>3.7042782848537819</c:v>
                </c:pt>
                <c:pt idx="1">
                  <c:v>3.3909570541907081</c:v>
                </c:pt>
                <c:pt idx="2">
                  <c:v>3.669643847781991</c:v>
                </c:pt>
                <c:pt idx="3">
                  <c:v>3.3243281759936529</c:v>
                </c:pt>
                <c:pt idx="4">
                  <c:v>3.654243425308259</c:v>
                </c:pt>
                <c:pt idx="5">
                  <c:v>3.7036546743998251</c:v>
                </c:pt>
                <c:pt idx="6">
                  <c:v>3.6890555294540497</c:v>
                </c:pt>
                <c:pt idx="7">
                  <c:v>5.1127826811337336</c:v>
                </c:pt>
                <c:pt idx="8">
                  <c:v>4.9176501580561256</c:v>
                </c:pt>
                <c:pt idx="9">
                  <c:v>4.9473246290452035</c:v>
                </c:pt>
                <c:pt idx="10">
                  <c:v>3.7988714436031281</c:v>
                </c:pt>
                <c:pt idx="11">
                  <c:v>4.4262933804017122</c:v>
                </c:pt>
                <c:pt idx="12">
                  <c:v>3.9523907044103836</c:v>
                </c:pt>
                <c:pt idx="13">
                  <c:v>5.1019979143111867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30-4908-82C6-79375C72D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000799"/>
        <c:axId val="381005791"/>
      </c:barChart>
      <c:catAx>
        <c:axId val="38100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005791"/>
        <c:crosses val="autoZero"/>
        <c:auto val="1"/>
        <c:lblAlgn val="ctr"/>
        <c:lblOffset val="100"/>
        <c:noMultiLvlLbl val="0"/>
      </c:catAx>
      <c:valAx>
        <c:axId val="38100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00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Bilan Fonds Chaleur + F2030</a:t>
            </a:r>
            <a:r>
              <a:rPr lang="fr-FR" sz="1100" baseline="0"/>
              <a:t> BCIAT BCIB</a:t>
            </a:r>
            <a:r>
              <a:rPr lang="fr-FR" sz="1100"/>
              <a:t> Ratio</a:t>
            </a:r>
            <a:r>
              <a:rPr lang="fr-FR" sz="1100" baseline="0"/>
              <a:t> d'efficience d'aide €/MWh/20ans</a:t>
            </a:r>
            <a:endParaRPr lang="fr-F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'FC Ratio aide FC'!$B$5</c:f>
              <c:strCache>
                <c:ptCount val="1"/>
                <c:pt idx="0">
                  <c:v>Ratio FC aide investissement EnR&amp;R €/MWh/20ans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 Ratio aide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Ratio aide FC'!$C$5:$Q$5</c:f>
              <c:numCache>
                <c:formatCode>_(* #,##0.00_);_(* \(#,##0.00\);_(* "-"??_);_(@_)</c:formatCode>
                <c:ptCount val="15"/>
                <c:pt idx="0">
                  <c:v>3.5110603168352781</c:v>
                </c:pt>
                <c:pt idx="1">
                  <c:v>3.3085143848123466</c:v>
                </c:pt>
                <c:pt idx="2">
                  <c:v>3.4405329646132992</c:v>
                </c:pt>
                <c:pt idx="3">
                  <c:v>3.19984077603507</c:v>
                </c:pt>
                <c:pt idx="4">
                  <c:v>3.4559132060993547</c:v>
                </c:pt>
                <c:pt idx="5">
                  <c:v>3.0247799134319493</c:v>
                </c:pt>
                <c:pt idx="6">
                  <c:v>3.1958126885456606</c:v>
                </c:pt>
                <c:pt idx="7">
                  <c:v>4.3805505887018814</c:v>
                </c:pt>
                <c:pt idx="8">
                  <c:v>4.5023699281844829</c:v>
                </c:pt>
                <c:pt idx="9">
                  <c:v>4.5581509200855574</c:v>
                </c:pt>
                <c:pt idx="10">
                  <c:v>3.5713569755926473</c:v>
                </c:pt>
                <c:pt idx="11">
                  <c:v>4.0125197531745593</c:v>
                </c:pt>
                <c:pt idx="12">
                  <c:v>4.4935709084653386</c:v>
                </c:pt>
                <c:pt idx="13">
                  <c:v>6.295330225094987</c:v>
                </c:pt>
                <c:pt idx="14">
                  <c:v>9.4716637648538686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C-4F69-A08B-FE7B4CBEB5E3}"/>
            </c:ext>
          </c:extLst>
        </c:ser>
        <c:ser>
          <c:idx val="1"/>
          <c:order val="1"/>
          <c:tx>
            <c:strRef>
              <c:f>'FC Ratio aide FC'!$B$6</c:f>
              <c:strCache>
                <c:ptCount val="1"/>
                <c:pt idx="0">
                  <c:v>Ratio FC €/MWh/20ans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'FC Ratio aide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Ratio aide FC'!$C$6:$Q$6</c:f>
              <c:numCache>
                <c:formatCode>_(* #,##0.00_);_(* \(#,##0.00\);_(* "-"??_);_(@_)</c:formatCode>
                <c:ptCount val="15"/>
                <c:pt idx="0">
                  <c:v>3.7042782848537819</c:v>
                </c:pt>
                <c:pt idx="1">
                  <c:v>3.3909570541907081</c:v>
                </c:pt>
                <c:pt idx="2">
                  <c:v>3.669643847781991</c:v>
                </c:pt>
                <c:pt idx="3">
                  <c:v>3.3243281759936529</c:v>
                </c:pt>
                <c:pt idx="4">
                  <c:v>3.654243425308259</c:v>
                </c:pt>
                <c:pt idx="5">
                  <c:v>3.7036546743998251</c:v>
                </c:pt>
                <c:pt idx="6">
                  <c:v>3.6890555294540497</c:v>
                </c:pt>
                <c:pt idx="7">
                  <c:v>5.1127826811337327</c:v>
                </c:pt>
                <c:pt idx="8">
                  <c:v>4.9176501580561256</c:v>
                </c:pt>
                <c:pt idx="9">
                  <c:v>4.9473246290452035</c:v>
                </c:pt>
                <c:pt idx="10">
                  <c:v>3.7988714436031281</c:v>
                </c:pt>
                <c:pt idx="11">
                  <c:v>4.4262933804017122</c:v>
                </c:pt>
                <c:pt idx="12">
                  <c:v>5.2200628567196041</c:v>
                </c:pt>
                <c:pt idx="13">
                  <c:v>7.0890867296352225</c:v>
                </c:pt>
                <c:pt idx="14">
                  <c:v>10.662617429904401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C-4F69-A08B-FE7B4CBEB5E3}"/>
            </c:ext>
          </c:extLst>
        </c:ser>
        <c:ser>
          <c:idx val="2"/>
          <c:order val="2"/>
          <c:tx>
            <c:strRef>
              <c:f>'FC Ratio aide FC'!$B$8</c:f>
              <c:strCache>
                <c:ptCount val="1"/>
                <c:pt idx="0">
                  <c:v>Ratio aide F2030 BCIAT BCIB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'FC Ratio aide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Ratio aide FC'!$C$8:$Q$8</c:f>
              <c:numCache>
                <c:formatCode>_(* #,##0.00_);_(* \(#,##0.00\);_(* "-"??_);_(@_)</c:formatCode>
                <c:ptCount val="15"/>
                <c:pt idx="12">
                  <c:v>2.7897061059910055</c:v>
                </c:pt>
                <c:pt idx="13">
                  <c:v>3.4341451135181864</c:v>
                </c:pt>
                <c:pt idx="14">
                  <c:v>4.2446030500743843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C-4F69-A08B-FE7B4CBEB5E3}"/>
            </c:ext>
          </c:extLst>
        </c:ser>
        <c:ser>
          <c:idx val="3"/>
          <c:order val="3"/>
          <c:tx>
            <c:strRef>
              <c:f>'FC Ratio aide FC'!$B$10</c:f>
              <c:strCache>
                <c:ptCount val="1"/>
                <c:pt idx="0">
                  <c:v>Ratio Budget FC + F2030 BCIAT BCIB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'FC Ratio aide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Ratio aide FC'!$C$10:$Q$10</c:f>
              <c:numCache>
                <c:formatCode>_(* #,##0.00_);_(* \(#,##0.00\);_(* "-"??_);_(@_)</c:formatCode>
                <c:ptCount val="15"/>
                <c:pt idx="0">
                  <c:v>3.7042782848537819</c:v>
                </c:pt>
                <c:pt idx="1">
                  <c:v>3.3909570541907081</c:v>
                </c:pt>
                <c:pt idx="2">
                  <c:v>3.669643847781991</c:v>
                </c:pt>
                <c:pt idx="3">
                  <c:v>3.3243281759936529</c:v>
                </c:pt>
                <c:pt idx="4">
                  <c:v>3.654243425308259</c:v>
                </c:pt>
                <c:pt idx="5">
                  <c:v>3.7036546743998251</c:v>
                </c:pt>
                <c:pt idx="6">
                  <c:v>3.6890555294540497</c:v>
                </c:pt>
                <c:pt idx="7">
                  <c:v>5.1127826811337327</c:v>
                </c:pt>
                <c:pt idx="8">
                  <c:v>4.9176501580561256</c:v>
                </c:pt>
                <c:pt idx="9">
                  <c:v>4.9473246290452035</c:v>
                </c:pt>
                <c:pt idx="10">
                  <c:v>3.7988714436031281</c:v>
                </c:pt>
                <c:pt idx="11">
                  <c:v>4.4262933804017122</c:v>
                </c:pt>
                <c:pt idx="12">
                  <c:v>4.4481348490656902</c:v>
                </c:pt>
                <c:pt idx="13">
                  <c:v>5.5646974453161944</c:v>
                </c:pt>
                <c:pt idx="14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9C-4F69-A08B-FE7B4CBEB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000799"/>
        <c:axId val="381005791"/>
      </c:barChart>
      <c:catAx>
        <c:axId val="38100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005791"/>
        <c:crosses val="autoZero"/>
        <c:auto val="1"/>
        <c:lblAlgn val="ctr"/>
        <c:lblOffset val="100"/>
        <c:noMultiLvlLbl val="0"/>
      </c:catAx>
      <c:valAx>
        <c:axId val="38100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00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Bilan</a:t>
            </a:r>
            <a:r>
              <a:rPr lang="fr-FR" sz="1100" baseline="0"/>
              <a:t> Fonds Chaleur- </a:t>
            </a:r>
            <a:r>
              <a:rPr lang="fr-FR" sz="1100"/>
              <a:t>Ratio</a:t>
            </a:r>
            <a:r>
              <a:rPr lang="fr-FR" sz="1100" baseline="0"/>
              <a:t> d'efficience d'aide €/MWh/20ans</a:t>
            </a:r>
            <a:endParaRPr lang="fr-F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'FC 2009-2022 Ratio aide'!$B$5</c:f>
              <c:strCache>
                <c:ptCount val="1"/>
                <c:pt idx="0">
                  <c:v>Ratio FC aide investissement EnR&amp;R €/MWh/20ans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 2009-2022 Ratio aide'!$C$4:$P$4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Ratio aide'!$C$5:$P$5</c:f>
              <c:numCache>
                <c:formatCode>_(* #,##0.00_);_(* \(#,##0.00\);_(* "-"??_);_(@_)</c:formatCode>
                <c:ptCount val="14"/>
                <c:pt idx="0">
                  <c:v>3.5110603168352781</c:v>
                </c:pt>
                <c:pt idx="1">
                  <c:v>3.3085143848123466</c:v>
                </c:pt>
                <c:pt idx="2">
                  <c:v>3.4405329646132992</c:v>
                </c:pt>
                <c:pt idx="3">
                  <c:v>3.19984077603507</c:v>
                </c:pt>
                <c:pt idx="4">
                  <c:v>3.4559132060993547</c:v>
                </c:pt>
                <c:pt idx="5">
                  <c:v>3.0247799134319493</c:v>
                </c:pt>
                <c:pt idx="6">
                  <c:v>3.1958126885456606</c:v>
                </c:pt>
                <c:pt idx="7">
                  <c:v>4.3805505887018814</c:v>
                </c:pt>
                <c:pt idx="8">
                  <c:v>4.5023699281844829</c:v>
                </c:pt>
                <c:pt idx="9">
                  <c:v>4.5581509200855574</c:v>
                </c:pt>
                <c:pt idx="10">
                  <c:v>3.5713569755926473</c:v>
                </c:pt>
                <c:pt idx="11">
                  <c:v>4.0125197531745593</c:v>
                </c:pt>
                <c:pt idx="12">
                  <c:v>4.4935709084653386</c:v>
                </c:pt>
                <c:pt idx="13">
                  <c:v>6.295330225094987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A-41CE-AF45-ABE55A55B88B}"/>
            </c:ext>
          </c:extLst>
        </c:ser>
        <c:ser>
          <c:idx val="1"/>
          <c:order val="1"/>
          <c:tx>
            <c:strRef>
              <c:f>'FC 2009-2022 Ratio aide'!$B$6</c:f>
              <c:strCache>
                <c:ptCount val="1"/>
                <c:pt idx="0">
                  <c:v>Ratio FC global €/MWh/20ans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'FC 2009-2022 Ratio aide'!$C$4:$P$4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Ratio aide'!$C$6:$P$6</c:f>
              <c:numCache>
                <c:formatCode>_(* #,##0.00_);_(* \(#,##0.00\);_(* "-"??_);_(@_)</c:formatCode>
                <c:ptCount val="14"/>
                <c:pt idx="0">
                  <c:v>3.7042782848537819</c:v>
                </c:pt>
                <c:pt idx="1">
                  <c:v>3.3909570541907081</c:v>
                </c:pt>
                <c:pt idx="2">
                  <c:v>3.669643847781991</c:v>
                </c:pt>
                <c:pt idx="3">
                  <c:v>3.3243281759936529</c:v>
                </c:pt>
                <c:pt idx="4">
                  <c:v>3.654243425308259</c:v>
                </c:pt>
                <c:pt idx="5">
                  <c:v>3.7036546743998251</c:v>
                </c:pt>
                <c:pt idx="6">
                  <c:v>3.6890555294540497</c:v>
                </c:pt>
                <c:pt idx="7">
                  <c:v>5.1127826811337336</c:v>
                </c:pt>
                <c:pt idx="8">
                  <c:v>4.9176501580561256</c:v>
                </c:pt>
                <c:pt idx="9">
                  <c:v>4.9473246290452035</c:v>
                </c:pt>
                <c:pt idx="10">
                  <c:v>3.7988714436031281</c:v>
                </c:pt>
                <c:pt idx="11">
                  <c:v>4.4262933804017122</c:v>
                </c:pt>
                <c:pt idx="12">
                  <c:v>5.2200628567196032</c:v>
                </c:pt>
                <c:pt idx="13">
                  <c:v>7.0890867296352225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A-41CE-AF45-ABE55A55B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000799"/>
        <c:axId val="381005791"/>
      </c:barChart>
      <c:catAx>
        <c:axId val="38100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005791"/>
        <c:crosses val="autoZero"/>
        <c:auto val="1"/>
        <c:lblAlgn val="ctr"/>
        <c:lblOffset val="100"/>
        <c:noMultiLvlLbl val="0"/>
      </c:catAx>
      <c:valAx>
        <c:axId val="38100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00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 b="0" i="0" baseline="0">
                <a:effectLst/>
              </a:rPr>
              <a:t>Bilan Fonds Chaleur- Ratio d'efficience installation production €/MWh/20ans et réseau de chaleur €/ml</a:t>
            </a:r>
            <a:endParaRPr lang="fr-F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'FC 2009-2022 Ratio aide'!$B$16</c:f>
              <c:strCache>
                <c:ptCount val="1"/>
                <c:pt idx="0">
                  <c:v>Bois Hors BCIAT/BCIB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 2009-2022 Ratio aide'!$C$15:$P$15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Ratio aide'!$C$16:$P$16</c:f>
              <c:numCache>
                <c:formatCode>_-* #\ ##0.0_-;\-* #\ ##0.0_-;_-* "-"??_-;_-@_-</c:formatCode>
                <c:ptCount val="14"/>
                <c:pt idx="0">
                  <c:v>3.981083404987102</c:v>
                </c:pt>
                <c:pt idx="1">
                  <c:v>3.7317282889079961</c:v>
                </c:pt>
                <c:pt idx="2">
                  <c:v>2.2527944969905414</c:v>
                </c:pt>
                <c:pt idx="3">
                  <c:v>2.0464316423043853</c:v>
                </c:pt>
                <c:pt idx="4">
                  <c:v>2.287188306104901</c:v>
                </c:pt>
                <c:pt idx="5">
                  <c:v>2.7411865864144453</c:v>
                </c:pt>
                <c:pt idx="6">
                  <c:v>2.4110060189165949</c:v>
                </c:pt>
                <c:pt idx="7">
                  <c:v>3.7644024075666378</c:v>
                </c:pt>
                <c:pt idx="8">
                  <c:v>3.5511607910576091</c:v>
                </c:pt>
                <c:pt idx="9">
                  <c:v>3.5795356835769563</c:v>
                </c:pt>
                <c:pt idx="10">
                  <c:v>2.6208082545141873</c:v>
                </c:pt>
                <c:pt idx="11">
                  <c:v>5.3138435081685289</c:v>
                </c:pt>
                <c:pt idx="12">
                  <c:v>5.26</c:v>
                </c:pt>
                <c:pt idx="13">
                  <c:v>8.4991654021338583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F-46A4-97F2-7368297B9567}"/>
            </c:ext>
          </c:extLst>
        </c:ser>
        <c:ser>
          <c:idx val="1"/>
          <c:order val="1"/>
          <c:tx>
            <c:strRef>
              <c:f>'FC 2009-2022 Ratio aide'!$B$17</c:f>
              <c:strCache>
                <c:ptCount val="1"/>
                <c:pt idx="0">
                  <c:v>BCIAT/BCIB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'FC 2009-2022 Ratio aide'!$C$15:$P$15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Ratio aide'!$C$17:$P$17</c:f>
              <c:numCache>
                <c:formatCode>_-* #\ ##0.0_-;\-* #\ ##0.0_-;_-* "-"??_-;_-@_-</c:formatCode>
                <c:ptCount val="14"/>
                <c:pt idx="0">
                  <c:v>1.8311340504280953</c:v>
                </c:pt>
                <c:pt idx="1">
                  <c:v>1.7310294947836564</c:v>
                </c:pt>
                <c:pt idx="2">
                  <c:v>1.5192273651849009</c:v>
                </c:pt>
                <c:pt idx="3">
                  <c:v>1.6722206543208074</c:v>
                </c:pt>
                <c:pt idx="4">
                  <c:v>1.5927656415955866</c:v>
                </c:pt>
                <c:pt idx="5">
                  <c:v>1.5314676955940274</c:v>
                </c:pt>
                <c:pt idx="6">
                  <c:v>2.6475899326311367</c:v>
                </c:pt>
                <c:pt idx="7">
                  <c:v>2.5758525909392316</c:v>
                </c:pt>
                <c:pt idx="8">
                  <c:v>3.2129661337784214</c:v>
                </c:pt>
                <c:pt idx="9">
                  <c:v>3.1872971428139776</c:v>
                </c:pt>
                <c:pt idx="10">
                  <c:v>2.0199379249358858</c:v>
                </c:pt>
                <c:pt idx="11">
                  <c:v>2.2200570672976547</c:v>
                </c:pt>
                <c:pt idx="12">
                  <c:v>2.5133708232299781</c:v>
                </c:pt>
                <c:pt idx="13">
                  <c:v>3.8532021411514199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F-46A4-97F2-7368297B9567}"/>
            </c:ext>
          </c:extLst>
        </c:ser>
        <c:ser>
          <c:idx val="2"/>
          <c:order val="2"/>
          <c:tx>
            <c:strRef>
              <c:f>'FC 2009-2022 Ratio aide'!$B$18</c:f>
              <c:strCache>
                <c:ptCount val="1"/>
                <c:pt idx="0">
                  <c:v>Géothermie et PAC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'FC 2009-2022 Ratio aide'!$C$15:$P$15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Ratio aide'!$C$18:$P$18</c:f>
              <c:numCache>
                <c:formatCode>_-* #\ ##0.0_-;\-* #\ ##0.0_-;_-* "-"??_-;_-@_-</c:formatCode>
                <c:ptCount val="14"/>
                <c:pt idx="0">
                  <c:v>5.3552423500832784</c:v>
                </c:pt>
                <c:pt idx="1">
                  <c:v>6.9816122067988173</c:v>
                </c:pt>
                <c:pt idx="2">
                  <c:v>3.6875332669804308</c:v>
                </c:pt>
                <c:pt idx="3">
                  <c:v>4.5028839150196429</c:v>
                </c:pt>
                <c:pt idx="4">
                  <c:v>1.9678009408767452</c:v>
                </c:pt>
                <c:pt idx="5">
                  <c:v>2.9108480466507092</c:v>
                </c:pt>
                <c:pt idx="6">
                  <c:v>2.3906700122609807</c:v>
                </c:pt>
                <c:pt idx="7">
                  <c:v>7.5795356835769558</c:v>
                </c:pt>
                <c:pt idx="8">
                  <c:v>7.3000859845227861</c:v>
                </c:pt>
                <c:pt idx="9">
                  <c:v>4</c:v>
                </c:pt>
                <c:pt idx="10">
                  <c:v>5.6835769561478928</c:v>
                </c:pt>
                <c:pt idx="11">
                  <c:v>5.0060189165950124</c:v>
                </c:pt>
                <c:pt idx="12">
                  <c:v>3.71</c:v>
                </c:pt>
                <c:pt idx="13">
                  <c:v>7.371315378729018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0F-46A4-97F2-7368297B9567}"/>
            </c:ext>
          </c:extLst>
        </c:ser>
        <c:ser>
          <c:idx val="3"/>
          <c:order val="3"/>
          <c:tx>
            <c:strRef>
              <c:f>'FC 2009-2022 Ratio aide'!$B$19</c:f>
              <c:strCache>
                <c:ptCount val="1"/>
                <c:pt idx="0">
                  <c:v>Biométhane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'FC 2009-2022 Ratio aide'!$C$15:$P$15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Ratio aide'!$C$19:$P$19</c:f>
              <c:numCache>
                <c:formatCode>_-* #\ ##0.0_-;\-* #\ ##0.0_-;_-* "-"??_-;_-@_-</c:formatCode>
                <c:ptCount val="14"/>
                <c:pt idx="0">
                  <c:v>2.1840068787618225</c:v>
                </c:pt>
                <c:pt idx="1">
                  <c:v>1.4445399828030954</c:v>
                </c:pt>
                <c:pt idx="2">
                  <c:v>0.81685296646603611</c:v>
                </c:pt>
                <c:pt idx="4">
                  <c:v>0.83404987102321571</c:v>
                </c:pt>
                <c:pt idx="5">
                  <c:v>0.87704213241616502</c:v>
                </c:pt>
                <c:pt idx="6">
                  <c:v>3.1427343078245911</c:v>
                </c:pt>
                <c:pt idx="7">
                  <c:v>2.6758383490971624</c:v>
                </c:pt>
                <c:pt idx="8">
                  <c:v>3.2674118658641444</c:v>
                </c:pt>
                <c:pt idx="9">
                  <c:v>1.7901977644024074</c:v>
                </c:pt>
                <c:pt idx="10">
                  <c:v>2.4548581255374033</c:v>
                </c:pt>
                <c:pt idx="11">
                  <c:v>2.3301805674978504</c:v>
                </c:pt>
                <c:pt idx="12">
                  <c:v>1.54</c:v>
                </c:pt>
                <c:pt idx="13">
                  <c:v>3.0344026243229165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0F-46A4-97F2-7368297B9567}"/>
            </c:ext>
          </c:extLst>
        </c:ser>
        <c:ser>
          <c:idx val="5"/>
          <c:order val="4"/>
          <c:tx>
            <c:strRef>
              <c:f>'FC 2009-2022 Ratio aide'!$B$21</c:f>
              <c:strCache>
                <c:ptCount val="1"/>
                <c:pt idx="0">
                  <c:v>Récup Chaleur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'FC 2009-2022 Ratio aide'!$C$15:$P$15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Ratio aide'!$C$21:$P$21</c:f>
              <c:numCache>
                <c:formatCode>_-* #\ ##0.0_-;\-* #\ ##0.0_-;_-* "-"??_-;_-@_-</c:formatCode>
                <c:ptCount val="14"/>
                <c:pt idx="6">
                  <c:v>1.4015477214101462</c:v>
                </c:pt>
                <c:pt idx="7">
                  <c:v>0.51074806534823736</c:v>
                </c:pt>
                <c:pt idx="8">
                  <c:v>0.65348237317282887</c:v>
                </c:pt>
                <c:pt idx="9">
                  <c:v>0.69372312983662932</c:v>
                </c:pt>
                <c:pt idx="10">
                  <c:v>1.1255374032674117</c:v>
                </c:pt>
                <c:pt idx="11">
                  <c:v>1.1797076526225279</c:v>
                </c:pt>
                <c:pt idx="12">
                  <c:v>2.4500000000000002</c:v>
                </c:pt>
                <c:pt idx="13">
                  <c:v>4.0579169813060219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0F-46A4-97F2-7368297B9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66996384"/>
        <c:axId val="1966974752"/>
      </c:barChart>
      <c:lineChart>
        <c:grouping val="standard"/>
        <c:varyColors val="0"/>
        <c:ser>
          <c:idx val="6"/>
          <c:order val="5"/>
          <c:tx>
            <c:strRef>
              <c:f>'FC 2009-2022 Ratio aide'!$B$22</c:f>
              <c:strCache>
                <c:ptCount val="1"/>
                <c:pt idx="0">
                  <c:v>Réseaux de chaleur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'FC 2009-2022 Ratio aide'!$C$15:$P$15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Ratio aide'!$C$22:$P$22</c:f>
              <c:numCache>
                <c:formatCode>_-* #\ ##0.0_-;\-* #\ ##0.0_-;_-* "-"??_-;_-@_-</c:formatCode>
                <c:ptCount val="14"/>
                <c:pt idx="0">
                  <c:v>604</c:v>
                </c:pt>
                <c:pt idx="1">
                  <c:v>426</c:v>
                </c:pt>
                <c:pt idx="2">
                  <c:v>357</c:v>
                </c:pt>
                <c:pt idx="3">
                  <c:v>254</c:v>
                </c:pt>
                <c:pt idx="4">
                  <c:v>276</c:v>
                </c:pt>
                <c:pt idx="5">
                  <c:v>250</c:v>
                </c:pt>
                <c:pt idx="6">
                  <c:v>278</c:v>
                </c:pt>
                <c:pt idx="7">
                  <c:v>403.78</c:v>
                </c:pt>
                <c:pt idx="8">
                  <c:v>379</c:v>
                </c:pt>
                <c:pt idx="9">
                  <c:v>313.24</c:v>
                </c:pt>
                <c:pt idx="10">
                  <c:v>326</c:v>
                </c:pt>
                <c:pt idx="11">
                  <c:v>342</c:v>
                </c:pt>
                <c:pt idx="12">
                  <c:v>522</c:v>
                </c:pt>
                <c:pt idx="13">
                  <c:v>580.40793128214568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0F-46A4-97F2-7368297B9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976416"/>
        <c:axId val="1966976000"/>
      </c:lineChart>
      <c:catAx>
        <c:axId val="19669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6974752"/>
        <c:crosses val="autoZero"/>
        <c:auto val="1"/>
        <c:lblAlgn val="ctr"/>
        <c:lblOffset val="100"/>
        <c:noMultiLvlLbl val="0"/>
      </c:catAx>
      <c:valAx>
        <c:axId val="19669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_-;\-* #\ 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6996384"/>
        <c:crosses val="autoZero"/>
        <c:crossBetween val="between"/>
      </c:valAx>
      <c:valAx>
        <c:axId val="1966976000"/>
        <c:scaling>
          <c:orientation val="minMax"/>
        </c:scaling>
        <c:delete val="0"/>
        <c:axPos val="r"/>
        <c:numFmt formatCode="_-* #\ ##0.0_-;\-* #\ ##0.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6976416"/>
        <c:crosses val="max"/>
        <c:crossBetween val="between"/>
      </c:valAx>
      <c:catAx>
        <c:axId val="196697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6976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'FC 2009-2022 Ratio aide'!$B$6</c:f>
              <c:strCache>
                <c:ptCount val="1"/>
                <c:pt idx="0">
                  <c:v>Ratio FC global €/MWh/20ans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 2009-2022 Ratio aide'!$C$4:$P$4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Ratio aide'!$C$6:$P$6</c:f>
              <c:numCache>
                <c:formatCode>_(* #,##0.00_);_(* \(#,##0.00\);_(* "-"??_);_(@_)</c:formatCode>
                <c:ptCount val="14"/>
                <c:pt idx="0">
                  <c:v>3.7042782848537819</c:v>
                </c:pt>
                <c:pt idx="1">
                  <c:v>3.3909570541907081</c:v>
                </c:pt>
                <c:pt idx="2">
                  <c:v>3.669643847781991</c:v>
                </c:pt>
                <c:pt idx="3">
                  <c:v>3.3243281759936529</c:v>
                </c:pt>
                <c:pt idx="4">
                  <c:v>3.654243425308259</c:v>
                </c:pt>
                <c:pt idx="5">
                  <c:v>3.7036546743998251</c:v>
                </c:pt>
                <c:pt idx="6">
                  <c:v>3.6890555294540497</c:v>
                </c:pt>
                <c:pt idx="7">
                  <c:v>5.1127826811337336</c:v>
                </c:pt>
                <c:pt idx="8">
                  <c:v>4.9176501580561256</c:v>
                </c:pt>
                <c:pt idx="9">
                  <c:v>4.9473246290452035</c:v>
                </c:pt>
                <c:pt idx="10">
                  <c:v>3.7988714436031281</c:v>
                </c:pt>
                <c:pt idx="11">
                  <c:v>4.4262933804017122</c:v>
                </c:pt>
                <c:pt idx="12">
                  <c:v>5.2200628567196032</c:v>
                </c:pt>
                <c:pt idx="13">
                  <c:v>7.0890867296352225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3-4021-962B-3F4C689FBD16}"/>
            </c:ext>
          </c:extLst>
        </c:ser>
        <c:ser>
          <c:idx val="1"/>
          <c:order val="1"/>
          <c:tx>
            <c:strRef>
              <c:f>'FC 2009-2022 Ratio aide'!$B$10</c:f>
              <c:strCache>
                <c:ptCount val="1"/>
                <c:pt idx="0">
                  <c:v>Ratio Budget FC + FDI BCIAT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'FC 2009-2022 Ratio aide'!$C$4:$P$4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2009-2022 Ratio aide'!$C$10:$P$10</c:f>
              <c:numCache>
                <c:formatCode>_(* #,##0.00_);_(* \(#,##0.00\);_(* "-"??_);_(@_)</c:formatCode>
                <c:ptCount val="14"/>
                <c:pt idx="12">
                  <c:v>4.4481348490656902</c:v>
                </c:pt>
                <c:pt idx="13">
                  <c:v>5.5646974453161944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23-4021-962B-3F4C689FB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520720"/>
        <c:axId val="1872521200"/>
      </c:barChart>
      <c:catAx>
        <c:axId val="187252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521200"/>
        <c:crosses val="autoZero"/>
        <c:auto val="1"/>
        <c:lblAlgn val="ctr"/>
        <c:lblOffset val="100"/>
        <c:noMultiLvlLbl val="0"/>
      </c:catAx>
      <c:valAx>
        <c:axId val="18725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52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FC 2009 - 2023 - longueur</a:t>
            </a:r>
            <a:r>
              <a:rPr lang="en-US" baseline="0"/>
              <a:t> </a:t>
            </a:r>
            <a:r>
              <a:rPr lang="en-US"/>
              <a:t>réseaux de distribution de chaleur accompagnés [ml] </a:t>
            </a:r>
          </a:p>
          <a:p>
            <a:pPr>
              <a:defRPr/>
            </a:pPr>
            <a:r>
              <a:rPr lang="en-US"/>
              <a:t>et ratio d'aide €/ml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'FC ml réseaux'!$B$5</c:f>
              <c:strCache>
                <c:ptCount val="1"/>
                <c:pt idx="0">
                  <c:v> ml de réseaux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 ml réseaux'!$C$4:$Q$4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ml réseaux'!$C$5:$Q$5</c:f>
              <c:numCache>
                <c:formatCode>_-* #\ ##0_-;\-* #\ ##0_-;_-* "-"??_-;_-@_-</c:formatCode>
                <c:ptCount val="15"/>
                <c:pt idx="0">
                  <c:v>114032</c:v>
                </c:pt>
                <c:pt idx="1">
                  <c:v>190663.4</c:v>
                </c:pt>
                <c:pt idx="2">
                  <c:v>259430</c:v>
                </c:pt>
                <c:pt idx="3">
                  <c:v>394910.5</c:v>
                </c:pt>
                <c:pt idx="4">
                  <c:v>348045</c:v>
                </c:pt>
                <c:pt idx="5">
                  <c:v>199364</c:v>
                </c:pt>
                <c:pt idx="6">
                  <c:v>180392</c:v>
                </c:pt>
                <c:pt idx="7">
                  <c:v>197064.5</c:v>
                </c:pt>
                <c:pt idx="8">
                  <c:v>230531</c:v>
                </c:pt>
                <c:pt idx="9">
                  <c:v>377917</c:v>
                </c:pt>
                <c:pt idx="10">
                  <c:v>316877.5</c:v>
                </c:pt>
                <c:pt idx="11">
                  <c:v>373657</c:v>
                </c:pt>
                <c:pt idx="12">
                  <c:v>264088</c:v>
                </c:pt>
                <c:pt idx="13">
                  <c:v>380105</c:v>
                </c:pt>
                <c:pt idx="14">
                  <c:v>336825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8-421C-9960-0EB0FD878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352304"/>
        <c:axId val="1270870752"/>
      </c:barChart>
      <c:lineChart>
        <c:grouping val="stacked"/>
        <c:varyColors val="0"/>
        <c:ser>
          <c:idx val="1"/>
          <c:order val="1"/>
          <c:tx>
            <c:strRef>
              <c:f>'FC ml réseaux'!$B$6</c:f>
              <c:strCache>
                <c:ptCount val="1"/>
                <c:pt idx="0">
                  <c:v>ratio d'aide €/ml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'FC ml réseaux'!$C$4:$Q$4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ml réseaux'!$C$6:$Q$6</c:f>
              <c:numCache>
                <c:formatCode>_-* #\ ##0_-;\-* #\ ##0_-;_-* "-"??_-;_-@_-</c:formatCode>
                <c:ptCount val="15"/>
                <c:pt idx="0">
                  <c:v>604</c:v>
                </c:pt>
                <c:pt idx="1">
                  <c:v>426</c:v>
                </c:pt>
                <c:pt idx="2">
                  <c:v>357</c:v>
                </c:pt>
                <c:pt idx="3">
                  <c:v>254</c:v>
                </c:pt>
                <c:pt idx="4">
                  <c:v>276</c:v>
                </c:pt>
                <c:pt idx="5">
                  <c:v>250</c:v>
                </c:pt>
                <c:pt idx="6">
                  <c:v>278</c:v>
                </c:pt>
                <c:pt idx="7">
                  <c:v>403.78</c:v>
                </c:pt>
                <c:pt idx="8">
                  <c:v>379</c:v>
                </c:pt>
                <c:pt idx="9">
                  <c:v>313.24</c:v>
                </c:pt>
                <c:pt idx="10">
                  <c:v>326</c:v>
                </c:pt>
                <c:pt idx="11">
                  <c:v>342</c:v>
                </c:pt>
                <c:pt idx="12">
                  <c:v>522</c:v>
                </c:pt>
                <c:pt idx="13">
                  <c:v>580.40793128214568</c:v>
                </c:pt>
                <c:pt idx="14">
                  <c:v>586.38338148890375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8-421C-9960-0EB0FD878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941616"/>
        <c:axId val="1441060640"/>
      </c:lineChart>
      <c:catAx>
        <c:axId val="51235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0870752"/>
        <c:crosses val="autoZero"/>
        <c:auto val="1"/>
        <c:lblAlgn val="ctr"/>
        <c:lblOffset val="100"/>
        <c:noMultiLvlLbl val="0"/>
      </c:catAx>
      <c:valAx>
        <c:axId val="12708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352304"/>
        <c:crosses val="autoZero"/>
        <c:crossBetween val="between"/>
      </c:valAx>
      <c:valAx>
        <c:axId val="1441060640"/>
        <c:scaling>
          <c:orientation val="minMax"/>
        </c:scaling>
        <c:delete val="0"/>
        <c:axPos val="r"/>
        <c:numFmt formatCode="_-* #\ ##0_-;\-* #\ 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941616"/>
        <c:crosses val="max"/>
        <c:crossBetween val="between"/>
      </c:valAx>
      <c:catAx>
        <c:axId val="51494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1060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'Cofinancements projets FC'!$C$3</c:f>
              <c:strCache>
                <c:ptCount val="1"/>
                <c:pt idx="0">
                  <c:v>Montant d'aide FEDER, Région ou département k€ sur projets FC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'Cofinancements projets FC'!$A$4:$A$18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'Cofinancements projets FC'!$C$4:$C$17</c:f>
              <c:numCache>
                <c:formatCode>_-* #\ ##0_-;\-* #\ ##0_-;_-* "-"??_-;_-@_-</c:formatCode>
                <c:ptCount val="14"/>
                <c:pt idx="0">
                  <c:v>4499</c:v>
                </c:pt>
                <c:pt idx="1">
                  <c:v>4073</c:v>
                </c:pt>
                <c:pt idx="2">
                  <c:v>8430</c:v>
                </c:pt>
                <c:pt idx="3">
                  <c:v>4273</c:v>
                </c:pt>
                <c:pt idx="4">
                  <c:v>6259</c:v>
                </c:pt>
                <c:pt idx="5">
                  <c:v>17111.832291809002</c:v>
                </c:pt>
                <c:pt idx="6">
                  <c:v>26533.314686674996</c:v>
                </c:pt>
                <c:pt idx="7">
                  <c:v>20439.260827536</c:v>
                </c:pt>
                <c:pt idx="8">
                  <c:v>38857.708932079004</c:v>
                </c:pt>
                <c:pt idx="9">
                  <c:v>81117.423049994002</c:v>
                </c:pt>
                <c:pt idx="10">
                  <c:v>73193.264338570996</c:v>
                </c:pt>
                <c:pt idx="11">
                  <c:v>92574.355548216001</c:v>
                </c:pt>
                <c:pt idx="12">
                  <c:v>36845.171339496999</c:v>
                </c:pt>
                <c:pt idx="13">
                  <c:v>36521.267241745998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E-4DFF-8689-5752A42A5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902447"/>
        <c:axId val="953903407"/>
      </c:barChart>
      <c:lineChart>
        <c:grouping val="standard"/>
        <c:varyColors val="0"/>
        <c:ser>
          <c:idx val="1"/>
          <c:order val="1"/>
          <c:tx>
            <c:strRef>
              <c:f>'Cofinancements projets FC'!$F$3</c:f>
              <c:strCache>
                <c:ptCount val="1"/>
                <c:pt idx="0">
                  <c:v>Part aide FEDER, Région ou département sur l'aide publique totale projets 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'Cofinancements projets FC'!$A$4:$A$17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'Cofinancements projets FC'!$F$4:$F$17</c:f>
              <c:numCache>
                <c:formatCode>0%</c:formatCode>
                <c:ptCount val="14"/>
                <c:pt idx="0">
                  <c:v>2.5994661243167662E-2</c:v>
                </c:pt>
                <c:pt idx="1">
                  <c:v>1.5223834851480707E-2</c:v>
                </c:pt>
                <c:pt idx="2">
                  <c:v>3.2816368477600784E-2</c:v>
                </c:pt>
                <c:pt idx="3">
                  <c:v>1.8132824103543391E-2</c:v>
                </c:pt>
                <c:pt idx="4">
                  <c:v>2.9470898723508446E-2</c:v>
                </c:pt>
                <c:pt idx="5">
                  <c:v>9.3899383434144376E-2</c:v>
                </c:pt>
                <c:pt idx="6">
                  <c:v>0.10924125338082399</c:v>
                </c:pt>
                <c:pt idx="7">
                  <c:v>8.7557083393253396E-2</c:v>
                </c:pt>
                <c:pt idx="8">
                  <c:v>0.16457271236194637</c:v>
                </c:pt>
                <c:pt idx="9">
                  <c:v>0.23849408053873059</c:v>
                </c:pt>
                <c:pt idx="10">
                  <c:v>0.19900437397270548</c:v>
                </c:pt>
                <c:pt idx="11">
                  <c:v>0.20932520474348928</c:v>
                </c:pt>
                <c:pt idx="12">
                  <c:v>9.5354174133565242E-2</c:v>
                </c:pt>
                <c:pt idx="13">
                  <c:v>6.5422576053076303E-2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8E-4DFF-8689-5752A42A5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720160"/>
        <c:axId val="82790879"/>
      </c:lineChart>
      <c:catAx>
        <c:axId val="95390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903407"/>
        <c:crosses val="autoZero"/>
        <c:auto val="1"/>
        <c:lblAlgn val="ctr"/>
        <c:lblOffset val="100"/>
        <c:noMultiLvlLbl val="0"/>
      </c:catAx>
      <c:valAx>
        <c:axId val="95390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902447"/>
        <c:crosses val="autoZero"/>
        <c:crossBetween val="between"/>
      </c:valAx>
      <c:valAx>
        <c:axId val="82790879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1720160"/>
        <c:crosses val="max"/>
        <c:crossBetween val="between"/>
      </c:valAx>
      <c:catAx>
        <c:axId val="1901720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7908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Bilan</a:t>
            </a:r>
            <a:r>
              <a:rPr lang="fr-FR" sz="1100" baseline="0"/>
              <a:t> Fonds Chaleur- </a:t>
            </a:r>
            <a:r>
              <a:rPr lang="fr-FR" sz="1100"/>
              <a:t>Ratio</a:t>
            </a:r>
            <a:r>
              <a:rPr lang="fr-FR" sz="1100" baseline="0"/>
              <a:t> d'efficience d'aide €/MWh/20ans</a:t>
            </a:r>
            <a:endParaRPr lang="fr-F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'FC Ratio aide FC'!$B$5</c:f>
              <c:strCache>
                <c:ptCount val="1"/>
                <c:pt idx="0">
                  <c:v>Ratio FC aide investissement EnR&amp;R €/MWh/20ans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 Ratio aide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Ratio aide FC'!$C$5:$Q$5</c:f>
              <c:numCache>
                <c:formatCode>_(* #,##0.00_);_(* \(#,##0.00\);_(* "-"??_);_(@_)</c:formatCode>
                <c:ptCount val="15"/>
                <c:pt idx="0">
                  <c:v>3.5110603168352781</c:v>
                </c:pt>
                <c:pt idx="1">
                  <c:v>3.3085143848123466</c:v>
                </c:pt>
                <c:pt idx="2">
                  <c:v>3.4405329646132992</c:v>
                </c:pt>
                <c:pt idx="3">
                  <c:v>3.19984077603507</c:v>
                </c:pt>
                <c:pt idx="4">
                  <c:v>3.4559132060993547</c:v>
                </c:pt>
                <c:pt idx="5">
                  <c:v>3.0247799134319493</c:v>
                </c:pt>
                <c:pt idx="6">
                  <c:v>3.1958126885456606</c:v>
                </c:pt>
                <c:pt idx="7">
                  <c:v>4.3805505887018814</c:v>
                </c:pt>
                <c:pt idx="8">
                  <c:v>4.5023699281844829</c:v>
                </c:pt>
                <c:pt idx="9">
                  <c:v>4.5581509200855574</c:v>
                </c:pt>
                <c:pt idx="10">
                  <c:v>3.5713569755926473</c:v>
                </c:pt>
                <c:pt idx="11">
                  <c:v>4.0125197531745593</c:v>
                </c:pt>
                <c:pt idx="12">
                  <c:v>4.4935709084653386</c:v>
                </c:pt>
                <c:pt idx="13">
                  <c:v>6.295330225094987</c:v>
                </c:pt>
                <c:pt idx="14">
                  <c:v>9.4716637648538686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F-4E5C-997F-052E8B9F5C99}"/>
            </c:ext>
          </c:extLst>
        </c:ser>
        <c:ser>
          <c:idx val="1"/>
          <c:order val="1"/>
          <c:tx>
            <c:strRef>
              <c:f>'FC Ratio aide FC'!$B$6</c:f>
              <c:strCache>
                <c:ptCount val="1"/>
                <c:pt idx="0">
                  <c:v>Ratio FC €/MWh/20ans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'FC Ratio aide FC'!$C$4:$Q$4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Ratio aide FC'!$C$6:$Q$6</c:f>
              <c:numCache>
                <c:formatCode>_(* #,##0.00_);_(* \(#,##0.00\);_(* "-"??_);_(@_)</c:formatCode>
                <c:ptCount val="15"/>
                <c:pt idx="0">
                  <c:v>3.7042782848537819</c:v>
                </c:pt>
                <c:pt idx="1">
                  <c:v>3.3909570541907081</c:v>
                </c:pt>
                <c:pt idx="2">
                  <c:v>3.669643847781991</c:v>
                </c:pt>
                <c:pt idx="3">
                  <c:v>3.3243281759936529</c:v>
                </c:pt>
                <c:pt idx="4">
                  <c:v>3.654243425308259</c:v>
                </c:pt>
                <c:pt idx="5">
                  <c:v>3.7036546743998251</c:v>
                </c:pt>
                <c:pt idx="6">
                  <c:v>3.6890555294540497</c:v>
                </c:pt>
                <c:pt idx="7">
                  <c:v>5.1127826811337327</c:v>
                </c:pt>
                <c:pt idx="8">
                  <c:v>4.9176501580561256</c:v>
                </c:pt>
                <c:pt idx="9">
                  <c:v>4.9473246290452035</c:v>
                </c:pt>
                <c:pt idx="10">
                  <c:v>3.7988714436031281</c:v>
                </c:pt>
                <c:pt idx="11">
                  <c:v>4.4262933804017122</c:v>
                </c:pt>
                <c:pt idx="12">
                  <c:v>5.2200628567196041</c:v>
                </c:pt>
                <c:pt idx="13">
                  <c:v>7.0890867296352225</c:v>
                </c:pt>
                <c:pt idx="14">
                  <c:v>10.662617429904401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F-4E5C-997F-052E8B9F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000799"/>
        <c:axId val="381005791"/>
      </c:barChart>
      <c:catAx>
        <c:axId val="38100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005791"/>
        <c:crosses val="autoZero"/>
        <c:auto val="1"/>
        <c:lblAlgn val="ctr"/>
        <c:lblOffset val="100"/>
        <c:noMultiLvlLbl val="0"/>
      </c:catAx>
      <c:valAx>
        <c:axId val="38100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00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 b="0" i="0" baseline="0">
                <a:effectLst/>
              </a:rPr>
              <a:t>Bilan Fonds Chaleur- Ratio d'efficience installation production €/MWh/20ans et réseau de chaleur €/ml</a:t>
            </a:r>
            <a:endParaRPr lang="fr-F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'FC Ratio aide FC'!$B$16</c:f>
              <c:strCache>
                <c:ptCount val="1"/>
                <c:pt idx="0">
                  <c:v>Bois Hors BCIAT/BCIB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 Ratio aide FC'!$C$15:$Q$15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Ratio aide FC'!$C$16:$Q$16</c:f>
              <c:numCache>
                <c:formatCode>_-* #\ ##0.0_-;\-* #\ ##0.0_-;_-* "-"??_-;_-@_-</c:formatCode>
                <c:ptCount val="15"/>
                <c:pt idx="0">
                  <c:v>3.981083404987102</c:v>
                </c:pt>
                <c:pt idx="1">
                  <c:v>3.7317282889079961</c:v>
                </c:pt>
                <c:pt idx="2">
                  <c:v>2.2527944969905414</c:v>
                </c:pt>
                <c:pt idx="3">
                  <c:v>2.0464316423043853</c:v>
                </c:pt>
                <c:pt idx="4">
                  <c:v>2.287188306104901</c:v>
                </c:pt>
                <c:pt idx="5">
                  <c:v>2.7411865864144453</c:v>
                </c:pt>
                <c:pt idx="6">
                  <c:v>2.4110060189165949</c:v>
                </c:pt>
                <c:pt idx="7">
                  <c:v>3.7644024075666378</c:v>
                </c:pt>
                <c:pt idx="8">
                  <c:v>3.5511607910576091</c:v>
                </c:pt>
                <c:pt idx="9">
                  <c:v>3.5795356835769563</c:v>
                </c:pt>
                <c:pt idx="10">
                  <c:v>2.6208082545141873</c:v>
                </c:pt>
                <c:pt idx="11">
                  <c:v>5.3138435081685289</c:v>
                </c:pt>
                <c:pt idx="12">
                  <c:v>5.26</c:v>
                </c:pt>
                <c:pt idx="13">
                  <c:v>8.4991654021338583</c:v>
                </c:pt>
                <c:pt idx="14">
                  <c:v>10.968184136695681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7-4493-9194-46D7F1B8A295}"/>
            </c:ext>
          </c:extLst>
        </c:ser>
        <c:ser>
          <c:idx val="1"/>
          <c:order val="1"/>
          <c:tx>
            <c:strRef>
              <c:f>'FC Ratio aide FC'!$B$17</c:f>
              <c:strCache>
                <c:ptCount val="1"/>
                <c:pt idx="0">
                  <c:v>BCIAT/BCIB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'FC Ratio aide FC'!$C$15:$Q$15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Ratio aide FC'!$C$17:$Q$17</c:f>
              <c:numCache>
                <c:formatCode>_-* #\ ##0.0_-;\-* #\ ##0.0_-;_-* "-"??_-;_-@_-</c:formatCode>
                <c:ptCount val="15"/>
                <c:pt idx="0">
                  <c:v>1.8311340504280953</c:v>
                </c:pt>
                <c:pt idx="1">
                  <c:v>1.7310294947836564</c:v>
                </c:pt>
                <c:pt idx="2">
                  <c:v>1.5192273651849009</c:v>
                </c:pt>
                <c:pt idx="3">
                  <c:v>1.6722206543208074</c:v>
                </c:pt>
                <c:pt idx="4">
                  <c:v>1.5927656415955866</c:v>
                </c:pt>
                <c:pt idx="5">
                  <c:v>1.5314676955940274</c:v>
                </c:pt>
                <c:pt idx="6">
                  <c:v>2.6475899326311367</c:v>
                </c:pt>
                <c:pt idx="7">
                  <c:v>2.5758525909392316</c:v>
                </c:pt>
                <c:pt idx="8">
                  <c:v>3.2129661337784214</c:v>
                </c:pt>
                <c:pt idx="9">
                  <c:v>3.1872971428139776</c:v>
                </c:pt>
                <c:pt idx="10">
                  <c:v>2.0199379249358858</c:v>
                </c:pt>
                <c:pt idx="11">
                  <c:v>2.2200570672976547</c:v>
                </c:pt>
                <c:pt idx="12">
                  <c:v>2.5133708232299781</c:v>
                </c:pt>
                <c:pt idx="13">
                  <c:v>3.8532021411514199</c:v>
                </c:pt>
                <c:pt idx="14">
                  <c:v>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7-4493-9194-46D7F1B8A295}"/>
            </c:ext>
          </c:extLst>
        </c:ser>
        <c:ser>
          <c:idx val="2"/>
          <c:order val="2"/>
          <c:tx>
            <c:strRef>
              <c:f>'FC Ratio aide FC'!$B$18</c:f>
              <c:strCache>
                <c:ptCount val="1"/>
                <c:pt idx="0">
                  <c:v>Géothermie et PAC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'FC Ratio aide FC'!$C$15:$Q$15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Ratio aide FC'!$C$18:$Q$18</c:f>
              <c:numCache>
                <c:formatCode>_-* #\ ##0.0_-;\-* #\ ##0.0_-;_-* "-"??_-;_-@_-</c:formatCode>
                <c:ptCount val="15"/>
                <c:pt idx="0">
                  <c:v>5.3552423500832784</c:v>
                </c:pt>
                <c:pt idx="1">
                  <c:v>6.9816122067988173</c:v>
                </c:pt>
                <c:pt idx="2">
                  <c:v>3.6875332669804308</c:v>
                </c:pt>
                <c:pt idx="3">
                  <c:v>4.5028839150196429</c:v>
                </c:pt>
                <c:pt idx="4">
                  <c:v>1.9678009408767452</c:v>
                </c:pt>
                <c:pt idx="5">
                  <c:v>2.9108480466507092</c:v>
                </c:pt>
                <c:pt idx="6">
                  <c:v>2.3906700122609807</c:v>
                </c:pt>
                <c:pt idx="7">
                  <c:v>7.5795356835769558</c:v>
                </c:pt>
                <c:pt idx="8">
                  <c:v>7.3000859845227861</c:v>
                </c:pt>
                <c:pt idx="9">
                  <c:v>4</c:v>
                </c:pt>
                <c:pt idx="10">
                  <c:v>5.6835769561478928</c:v>
                </c:pt>
                <c:pt idx="11">
                  <c:v>5.0060189165950124</c:v>
                </c:pt>
                <c:pt idx="12">
                  <c:v>3.71</c:v>
                </c:pt>
                <c:pt idx="13">
                  <c:v>7.371315378729018</c:v>
                </c:pt>
                <c:pt idx="14">
                  <c:v>9.1030900235055476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07-4493-9194-46D7F1B8A295}"/>
            </c:ext>
          </c:extLst>
        </c:ser>
        <c:ser>
          <c:idx val="3"/>
          <c:order val="3"/>
          <c:tx>
            <c:strRef>
              <c:f>'FC Ratio aide FC'!$B$19</c:f>
              <c:strCache>
                <c:ptCount val="1"/>
                <c:pt idx="0">
                  <c:v>Biométhane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'FC Ratio aide FC'!$C$15:$Q$15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Ratio aide FC'!$C$19:$Q$19</c:f>
              <c:numCache>
                <c:formatCode>_-* #\ ##0.0_-;\-* #\ ##0.0_-;_-* "-"??_-;_-@_-</c:formatCode>
                <c:ptCount val="15"/>
                <c:pt idx="0">
                  <c:v>2.1840068787618225</c:v>
                </c:pt>
                <c:pt idx="1">
                  <c:v>1.4445399828030954</c:v>
                </c:pt>
                <c:pt idx="2">
                  <c:v>0.81685296646603611</c:v>
                </c:pt>
                <c:pt idx="4">
                  <c:v>0.83404987102321571</c:v>
                </c:pt>
                <c:pt idx="5">
                  <c:v>0.87704213241616502</c:v>
                </c:pt>
                <c:pt idx="6">
                  <c:v>3.1427343078245911</c:v>
                </c:pt>
                <c:pt idx="7">
                  <c:v>2.6758383490971624</c:v>
                </c:pt>
                <c:pt idx="8">
                  <c:v>3.2674118658641444</c:v>
                </c:pt>
                <c:pt idx="9">
                  <c:v>1.7901977644024074</c:v>
                </c:pt>
                <c:pt idx="10">
                  <c:v>2.4548581255374033</c:v>
                </c:pt>
                <c:pt idx="11">
                  <c:v>2.3301805674978504</c:v>
                </c:pt>
                <c:pt idx="12">
                  <c:v>1.54</c:v>
                </c:pt>
                <c:pt idx="13">
                  <c:v>3.0344026243229165</c:v>
                </c:pt>
                <c:pt idx="14">
                  <c:v>1.5434408598282789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07-4493-9194-46D7F1B8A295}"/>
            </c:ext>
          </c:extLst>
        </c:ser>
        <c:ser>
          <c:idx val="5"/>
          <c:order val="4"/>
          <c:tx>
            <c:strRef>
              <c:f>'FC Ratio aide FC'!$B$21</c:f>
              <c:strCache>
                <c:ptCount val="1"/>
                <c:pt idx="0">
                  <c:v>Récup Chaleur Fatale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'FC Ratio aide FC'!$C$15:$Q$15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Ratio aide FC'!$C$21:$Q$21</c:f>
              <c:numCache>
                <c:formatCode>_-* #\ ##0.0_-;\-* #\ ##0.0_-;_-* "-"??_-;_-@_-</c:formatCode>
                <c:ptCount val="15"/>
                <c:pt idx="6">
                  <c:v>1.4015477214101462</c:v>
                </c:pt>
                <c:pt idx="7">
                  <c:v>0.51074806534823736</c:v>
                </c:pt>
                <c:pt idx="8">
                  <c:v>0.65348237317282887</c:v>
                </c:pt>
                <c:pt idx="9">
                  <c:v>0.69372312983662932</c:v>
                </c:pt>
                <c:pt idx="10">
                  <c:v>1.1255374032674117</c:v>
                </c:pt>
                <c:pt idx="11">
                  <c:v>1.1797076526225279</c:v>
                </c:pt>
                <c:pt idx="12">
                  <c:v>2.4500000000000002</c:v>
                </c:pt>
                <c:pt idx="13">
                  <c:v>4.0579169813060219</c:v>
                </c:pt>
                <c:pt idx="14">
                  <c:v>3.9553070941802515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07-4493-9194-46D7F1B8A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66996384"/>
        <c:axId val="1966974752"/>
      </c:barChart>
      <c:lineChart>
        <c:grouping val="standard"/>
        <c:varyColors val="0"/>
        <c:ser>
          <c:idx val="6"/>
          <c:order val="5"/>
          <c:tx>
            <c:strRef>
              <c:f>'FC Ratio aide FC'!$B$22</c:f>
              <c:strCache>
                <c:ptCount val="1"/>
                <c:pt idx="0">
                  <c:v>Réseaux de chaleur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'FC Ratio aide FC'!$C$15:$Q$15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Ratio aide FC'!$C$22:$Q$22</c:f>
              <c:numCache>
                <c:formatCode>_-* #\ ##0_-;\-* #\ ##0_-;_-* "-"??_-;_-@_-</c:formatCode>
                <c:ptCount val="15"/>
                <c:pt idx="0">
                  <c:v>604</c:v>
                </c:pt>
                <c:pt idx="1">
                  <c:v>426</c:v>
                </c:pt>
                <c:pt idx="2">
                  <c:v>357</c:v>
                </c:pt>
                <c:pt idx="3">
                  <c:v>254</c:v>
                </c:pt>
                <c:pt idx="4">
                  <c:v>276</c:v>
                </c:pt>
                <c:pt idx="5">
                  <c:v>250</c:v>
                </c:pt>
                <c:pt idx="6">
                  <c:v>278</c:v>
                </c:pt>
                <c:pt idx="7">
                  <c:v>403.78</c:v>
                </c:pt>
                <c:pt idx="8">
                  <c:v>379</c:v>
                </c:pt>
                <c:pt idx="9">
                  <c:v>313.24</c:v>
                </c:pt>
                <c:pt idx="10">
                  <c:v>326</c:v>
                </c:pt>
                <c:pt idx="11">
                  <c:v>342</c:v>
                </c:pt>
                <c:pt idx="12">
                  <c:v>522</c:v>
                </c:pt>
                <c:pt idx="13">
                  <c:v>580.40793128214568</c:v>
                </c:pt>
                <c:pt idx="14">
                  <c:v>586.38338148890375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7-4493-9194-46D7F1B8A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976416"/>
        <c:axId val="1966976000"/>
      </c:lineChart>
      <c:catAx>
        <c:axId val="19669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6974752"/>
        <c:crosses val="autoZero"/>
        <c:auto val="1"/>
        <c:lblAlgn val="ctr"/>
        <c:lblOffset val="100"/>
        <c:noMultiLvlLbl val="0"/>
      </c:catAx>
      <c:valAx>
        <c:axId val="19669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_-;\-* #\ 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6996384"/>
        <c:crosses val="autoZero"/>
        <c:crossBetween val="between"/>
      </c:valAx>
      <c:valAx>
        <c:axId val="1966976000"/>
        <c:scaling>
          <c:orientation val="minMax"/>
        </c:scaling>
        <c:delete val="0"/>
        <c:axPos val="r"/>
        <c:numFmt formatCode="_-* #\ ##0_-;\-* #\ 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6976416"/>
        <c:crosses val="max"/>
        <c:crossBetween val="between"/>
      </c:valAx>
      <c:catAx>
        <c:axId val="196697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6976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Bilan Fonds Chaleur + FDI BCIAT Ratio</a:t>
            </a:r>
            <a:r>
              <a:rPr lang="fr-FR" sz="1100" baseline="0"/>
              <a:t> d'efficience d'aide €/MWh/20ans</a:t>
            </a:r>
            <a:endParaRPr lang="fr-F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'FC Ratio aide FC'!$B$5</c:f>
              <c:strCache>
                <c:ptCount val="1"/>
                <c:pt idx="0">
                  <c:v>Ratio FC aide investissement EnR&amp;R €/MWh/20ans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 Ratio aide FC'!$C$4:$P$4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Ratio aide FC'!$C$5:$P$5</c:f>
              <c:numCache>
                <c:formatCode>_(* #,##0.00_);_(* \(#,##0.00\);_(* "-"??_);_(@_)</c:formatCode>
                <c:ptCount val="14"/>
                <c:pt idx="0">
                  <c:v>3.5110603168352781</c:v>
                </c:pt>
                <c:pt idx="1">
                  <c:v>3.3085143848123466</c:v>
                </c:pt>
                <c:pt idx="2">
                  <c:v>3.4405329646132992</c:v>
                </c:pt>
                <c:pt idx="3">
                  <c:v>3.19984077603507</c:v>
                </c:pt>
                <c:pt idx="4">
                  <c:v>3.4559132060993547</c:v>
                </c:pt>
                <c:pt idx="5">
                  <c:v>3.0247799134319493</c:v>
                </c:pt>
                <c:pt idx="6">
                  <c:v>3.1958126885456606</c:v>
                </c:pt>
                <c:pt idx="7">
                  <c:v>4.3805505887018814</c:v>
                </c:pt>
                <c:pt idx="8">
                  <c:v>4.5023699281844829</c:v>
                </c:pt>
                <c:pt idx="9">
                  <c:v>4.5581509200855574</c:v>
                </c:pt>
                <c:pt idx="10">
                  <c:v>3.5713569755926473</c:v>
                </c:pt>
                <c:pt idx="11">
                  <c:v>4.0125197531745593</c:v>
                </c:pt>
                <c:pt idx="12">
                  <c:v>4.4935709084653386</c:v>
                </c:pt>
                <c:pt idx="13">
                  <c:v>6.295330225094987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9-4966-9203-63B1848A056E}"/>
            </c:ext>
          </c:extLst>
        </c:ser>
        <c:ser>
          <c:idx val="1"/>
          <c:order val="1"/>
          <c:tx>
            <c:strRef>
              <c:f>'FC Ratio aide FC'!$B$6</c:f>
              <c:strCache>
                <c:ptCount val="1"/>
                <c:pt idx="0">
                  <c:v>Ratio FC €/MWh/20ans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'FC Ratio aide FC'!$C$4:$P$4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Ratio aide FC'!$C$6:$P$6</c:f>
              <c:numCache>
                <c:formatCode>_(* #,##0.00_);_(* \(#,##0.00\);_(* "-"??_);_(@_)</c:formatCode>
                <c:ptCount val="14"/>
                <c:pt idx="0">
                  <c:v>3.7042782848537819</c:v>
                </c:pt>
                <c:pt idx="1">
                  <c:v>3.3909570541907081</c:v>
                </c:pt>
                <c:pt idx="2">
                  <c:v>3.669643847781991</c:v>
                </c:pt>
                <c:pt idx="3">
                  <c:v>3.3243281759936529</c:v>
                </c:pt>
                <c:pt idx="4">
                  <c:v>3.654243425308259</c:v>
                </c:pt>
                <c:pt idx="5">
                  <c:v>3.7036546743998251</c:v>
                </c:pt>
                <c:pt idx="6">
                  <c:v>3.6890555294540497</c:v>
                </c:pt>
                <c:pt idx="7">
                  <c:v>5.1127826811337327</c:v>
                </c:pt>
                <c:pt idx="8">
                  <c:v>4.9176501580561256</c:v>
                </c:pt>
                <c:pt idx="9">
                  <c:v>4.9473246290452035</c:v>
                </c:pt>
                <c:pt idx="10">
                  <c:v>3.7988714436031281</c:v>
                </c:pt>
                <c:pt idx="11">
                  <c:v>4.4262933804017122</c:v>
                </c:pt>
                <c:pt idx="12">
                  <c:v>5.2200628567196041</c:v>
                </c:pt>
                <c:pt idx="13">
                  <c:v>7.0890867296352225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B9-4966-9203-63B1848A056E}"/>
            </c:ext>
          </c:extLst>
        </c:ser>
        <c:ser>
          <c:idx val="2"/>
          <c:order val="2"/>
          <c:tx>
            <c:strRef>
              <c:f>'FC Ratio aide FC'!$B$8</c:f>
              <c:strCache>
                <c:ptCount val="1"/>
                <c:pt idx="0">
                  <c:v>Ratio aide F2030 BCIAT BCIB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'FC Ratio aide FC'!$C$4:$P$4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Ratio aide FC'!$C$8:$P$8</c:f>
              <c:numCache>
                <c:formatCode>_(* #,##0.00_);_(* \(#,##0.00\);_(* "-"??_);_(@_)</c:formatCode>
                <c:ptCount val="14"/>
                <c:pt idx="12">
                  <c:v>2.7897061059910055</c:v>
                </c:pt>
                <c:pt idx="13">
                  <c:v>3.4341451135181864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B9-4966-9203-63B1848A056E}"/>
            </c:ext>
          </c:extLst>
        </c:ser>
        <c:ser>
          <c:idx val="3"/>
          <c:order val="3"/>
          <c:tx>
            <c:strRef>
              <c:f>'FC Ratio aide FC'!$B$9</c:f>
              <c:strCache>
                <c:ptCount val="1"/>
                <c:pt idx="0">
                  <c:v>Ratio FC aide investissement et F2030 BCIAT BCIB €/MWh/20ans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'FC Ratio aide FC'!$C$4:$P$4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'FC Ratio aide FC'!$C$9:$P$9</c:f>
              <c:numCache>
                <c:formatCode>_(* #,##0.00_);_(* \(#,##0.00\);_(* "-"??_);_(@_)</c:formatCode>
                <c:ptCount val="14"/>
                <c:pt idx="0">
                  <c:v>3.5110603168352781</c:v>
                </c:pt>
                <c:pt idx="1">
                  <c:v>3.3085143848123466</c:v>
                </c:pt>
                <c:pt idx="2">
                  <c:v>3.4405329646132992</c:v>
                </c:pt>
                <c:pt idx="3">
                  <c:v>3.19984077603507</c:v>
                </c:pt>
                <c:pt idx="4">
                  <c:v>3.4559132060993547</c:v>
                </c:pt>
                <c:pt idx="5">
                  <c:v>3.0247799134319493</c:v>
                </c:pt>
                <c:pt idx="6">
                  <c:v>3.1958126885456606</c:v>
                </c:pt>
                <c:pt idx="7">
                  <c:v>4.3805505887018814</c:v>
                </c:pt>
                <c:pt idx="8">
                  <c:v>4.5023699281844829</c:v>
                </c:pt>
                <c:pt idx="9">
                  <c:v>4.5581509200855574</c:v>
                </c:pt>
                <c:pt idx="10">
                  <c:v>3.5713569755926473</c:v>
                </c:pt>
                <c:pt idx="11">
                  <c:v>4.0125197531745593</c:v>
                </c:pt>
                <c:pt idx="12">
                  <c:v>3.9523907044103836</c:v>
                </c:pt>
                <c:pt idx="13">
                  <c:v>5.1019979143111867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B9-4966-9203-63B1848A0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000799"/>
        <c:axId val="381005791"/>
      </c:barChart>
      <c:catAx>
        <c:axId val="38100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005791"/>
        <c:crosses val="autoZero"/>
        <c:auto val="1"/>
        <c:lblAlgn val="ctr"/>
        <c:lblOffset val="100"/>
        <c:noMultiLvlLbl val="0"/>
      </c:catAx>
      <c:valAx>
        <c:axId val="38100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00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Ratio d'aide réseaux distribution</a:t>
            </a:r>
            <a:r>
              <a:rPr lang="fr-FR" sz="1200" baseline="0"/>
              <a:t> </a:t>
            </a:r>
            <a:r>
              <a:rPr lang="fr-FR" sz="1200"/>
              <a:t>chaleur €/ml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'FC Ratio aide FC'!$B$22</c:f>
              <c:strCache>
                <c:ptCount val="1"/>
                <c:pt idx="0">
                  <c:v>Réseaux de chaleur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'FC Ratio aide FC'!$C$15:$Q$15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'FC Ratio aide FC'!$C$22:$Q$22</c:f>
              <c:numCache>
                <c:formatCode>_-* #\ ##0_-;\-* #\ ##0_-;_-* "-"??_-;_-@_-</c:formatCode>
                <c:ptCount val="15"/>
                <c:pt idx="0">
                  <c:v>604</c:v>
                </c:pt>
                <c:pt idx="1">
                  <c:v>426</c:v>
                </c:pt>
                <c:pt idx="2">
                  <c:v>357</c:v>
                </c:pt>
                <c:pt idx="3">
                  <c:v>254</c:v>
                </c:pt>
                <c:pt idx="4">
                  <c:v>276</c:v>
                </c:pt>
                <c:pt idx="5">
                  <c:v>250</c:v>
                </c:pt>
                <c:pt idx="6">
                  <c:v>278</c:v>
                </c:pt>
                <c:pt idx="7">
                  <c:v>403.78</c:v>
                </c:pt>
                <c:pt idx="8">
                  <c:v>379</c:v>
                </c:pt>
                <c:pt idx="9">
                  <c:v>313.24</c:v>
                </c:pt>
                <c:pt idx="10">
                  <c:v>326</c:v>
                </c:pt>
                <c:pt idx="11">
                  <c:v>342</c:v>
                </c:pt>
                <c:pt idx="12">
                  <c:v>522</c:v>
                </c:pt>
                <c:pt idx="13">
                  <c:v>580.40793128214568</c:v>
                </c:pt>
                <c:pt idx="14">
                  <c:v>586.38338148890375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D-4D41-92B6-8E24840F0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751328"/>
        <c:axId val="796067520"/>
      </c:barChart>
      <c:catAx>
        <c:axId val="175075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6067520"/>
        <c:crosses val="autoZero"/>
        <c:auto val="1"/>
        <c:lblAlgn val="ctr"/>
        <c:lblOffset val="100"/>
        <c:noMultiLvlLbl val="0"/>
      </c:catAx>
      <c:valAx>
        <c:axId val="7960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75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285336</xdr:colOff>
      <xdr:row>23</xdr:row>
      <xdr:rowOff>0</xdr:rowOff>
    </xdr:from>
    <xdr:to>
      <xdr:col>7</xdr:col>
      <xdr:colOff>742950</xdr:colOff>
      <xdr:row>48</xdr:row>
      <xdr:rowOff>166894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A18E5B4-15D2-5E3B-2728-99C066434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614362</xdr:colOff>
      <xdr:row>24</xdr:row>
      <xdr:rowOff>123825</xdr:rowOff>
    </xdr:from>
    <xdr:to>
      <xdr:col>25</xdr:col>
      <xdr:colOff>614362</xdr:colOff>
      <xdr:row>39</xdr:row>
      <xdr:rowOff>9525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E73C5F1-CBC4-6B99-1411-C55512196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409574</xdr:colOff>
      <xdr:row>51</xdr:row>
      <xdr:rowOff>28575</xdr:rowOff>
    </xdr:from>
    <xdr:to>
      <xdr:col>7</xdr:col>
      <xdr:colOff>647699</xdr:colOff>
      <xdr:row>75</xdr:row>
      <xdr:rowOff>28575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FF37A64-9D59-439C-0065-EB44110E9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171450</xdr:colOff>
      <xdr:row>49</xdr:row>
      <xdr:rowOff>1</xdr:rowOff>
    </xdr:from>
    <xdr:to>
      <xdr:col>21</xdr:col>
      <xdr:colOff>361950</xdr:colOff>
      <xdr:row>75</xdr:row>
      <xdr:rowOff>57151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C1C58F2-D932-0CCC-E8A6-9F03E2C6E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112939</xdr:colOff>
      <xdr:row>1</xdr:row>
      <xdr:rowOff>73477</xdr:rowOff>
    </xdr:from>
    <xdr:to>
      <xdr:col>33</xdr:col>
      <xdr:colOff>54430</xdr:colOff>
      <xdr:row>20</xdr:row>
      <xdr:rowOff>190499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EA49FC5-259C-43D9-844F-84618659C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95250</xdr:colOff>
      <xdr:row>1</xdr:row>
      <xdr:rowOff>68036</xdr:rowOff>
    </xdr:from>
    <xdr:to>
      <xdr:col>25</xdr:col>
      <xdr:colOff>36741</xdr:colOff>
      <xdr:row>20</xdr:row>
      <xdr:rowOff>185058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198B683-9442-468B-ACA7-02B1BFD3F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183696</xdr:colOff>
      <xdr:row>21</xdr:row>
      <xdr:rowOff>145595</xdr:rowOff>
    </xdr:from>
    <xdr:to>
      <xdr:col>25</xdr:col>
      <xdr:colOff>81644</xdr:colOff>
      <xdr:row>41</xdr:row>
      <xdr:rowOff>27214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40DBC2C-2A28-4F1E-A1AF-502A88A6F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489858</xdr:colOff>
      <xdr:row>54</xdr:row>
      <xdr:rowOff>122464</xdr:rowOff>
    </xdr:from>
    <xdr:to>
      <xdr:col>26</xdr:col>
      <xdr:colOff>734786</xdr:colOff>
      <xdr:row>85</xdr:row>
      <xdr:rowOff>163286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77669CC-8693-1A82-111A-AC90BCF1C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1058953</xdr:colOff>
      <xdr:row>8</xdr:row>
      <xdr:rowOff>107577</xdr:rowOff>
    </xdr:from>
    <xdr:to>
      <xdr:col>10</xdr:col>
      <xdr:colOff>414618</xdr:colOff>
      <xdr:row>34</xdr:row>
      <xdr:rowOff>33617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A5885BA-F676-F969-701F-9EC70C583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2</xdr:row>
      <xdr:rowOff>28574</xdr:rowOff>
    </xdr:from>
    <xdr:to>
      <xdr:col>17</xdr:col>
      <xdr:colOff>657225</xdr:colOff>
      <xdr:row>14</xdr:row>
      <xdr:rowOff>76199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7230A76-1EF3-F219-C7E6-C22DE393E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24847</xdr:colOff>
      <xdr:row>0</xdr:row>
      <xdr:rowOff>189371</xdr:rowOff>
    </xdr:from>
    <xdr:to>
      <xdr:col>35</xdr:col>
      <xdr:colOff>546652</xdr:colOff>
      <xdr:row>20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477869-231B-49C9-BA7E-8BD78167E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67235</xdr:colOff>
      <xdr:row>0</xdr:row>
      <xdr:rowOff>107257</xdr:rowOff>
    </xdr:from>
    <xdr:to>
      <xdr:col>26</xdr:col>
      <xdr:colOff>580226</xdr:colOff>
      <xdr:row>20</xdr:row>
      <xdr:rowOff>33779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21738D6-C417-4397-8D85-A195138A2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95448</xdr:colOff>
      <xdr:row>20</xdr:row>
      <xdr:rowOff>164085</xdr:rowOff>
    </xdr:from>
    <xdr:to>
      <xdr:col>26</xdr:col>
      <xdr:colOff>666750</xdr:colOff>
      <xdr:row>47</xdr:row>
      <xdr:rowOff>177694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7FF837A-A9A9-46E5-A0F1-EC9CC2FBC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93889</xdr:colOff>
      <xdr:row>49</xdr:row>
      <xdr:rowOff>70757</xdr:rowOff>
    </xdr:from>
    <xdr:to>
      <xdr:col>26</xdr:col>
      <xdr:colOff>606880</xdr:colOff>
      <xdr:row>70</xdr:row>
      <xdr:rowOff>187779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EA778AA-8D09-4CAF-AB06-1579F51E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441612</xdr:colOff>
      <xdr:row>23</xdr:row>
      <xdr:rowOff>12618</xdr:rowOff>
    </xdr:from>
    <xdr:to>
      <xdr:col>35</xdr:col>
      <xdr:colOff>277090</xdr:colOff>
      <xdr:row>43</xdr:row>
      <xdr:rowOff>34636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45DC71B-C770-856C-5AE1-1DD1DDEC3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71253</xdr:colOff>
      <xdr:row>22</xdr:row>
      <xdr:rowOff>48492</xdr:rowOff>
    </xdr:from>
    <xdr:to>
      <xdr:col>48</xdr:col>
      <xdr:colOff>631618</xdr:colOff>
      <xdr:row>55</xdr:row>
      <xdr:rowOff>89312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20610F5-7B62-7907-795F-BE563A6A3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914400</xdr:colOff>
      <xdr:row>61</xdr:row>
      <xdr:rowOff>114299</xdr:rowOff>
    </xdr:from>
    <xdr:to>
      <xdr:col>2</xdr:col>
      <xdr:colOff>0</xdr:colOff>
      <xdr:row>89</xdr:row>
      <xdr:rowOff>149679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F9D2860-B174-450C-9E80-F6C224CBB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2101101</xdr:colOff>
      <xdr:row>112</xdr:row>
      <xdr:rowOff>29134</xdr:rowOff>
    </xdr:from>
    <xdr:to>
      <xdr:col>2</xdr:col>
      <xdr:colOff>0</xdr:colOff>
      <xdr:row>140</xdr:row>
      <xdr:rowOff>134471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27E85F1E-D621-45FF-A931-2B5F71E36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402292</xdr:colOff>
      <xdr:row>29</xdr:row>
      <xdr:rowOff>50146</xdr:rowOff>
    </xdr:from>
    <xdr:to>
      <xdr:col>31</xdr:col>
      <xdr:colOff>126067</xdr:colOff>
      <xdr:row>61</xdr:row>
      <xdr:rowOff>154922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5A8D82C-1987-4E4D-8DF3-9AF7CCC4B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252932</xdr:colOff>
      <xdr:row>30</xdr:row>
      <xdr:rowOff>107216</xdr:rowOff>
    </xdr:from>
    <xdr:to>
      <xdr:col>39</xdr:col>
      <xdr:colOff>572299</xdr:colOff>
      <xdr:row>53</xdr:row>
      <xdr:rowOff>63233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5F85E45-397D-430F-8FE8-3A502871C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914400</xdr:colOff>
      <xdr:row>61</xdr:row>
      <xdr:rowOff>114299</xdr:rowOff>
    </xdr:from>
    <xdr:to>
      <xdr:col>10</xdr:col>
      <xdr:colOff>238125</xdr:colOff>
      <xdr:row>89</xdr:row>
      <xdr:rowOff>149679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A3041E7-CA57-4789-A839-A5248D9B4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211892</xdr:colOff>
      <xdr:row>1</xdr:row>
      <xdr:rowOff>58066</xdr:rowOff>
    </xdr:from>
    <xdr:to>
      <xdr:col>30</xdr:col>
      <xdr:colOff>671333</xdr:colOff>
      <xdr:row>24</xdr:row>
      <xdr:rowOff>91684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C3EF8EE-32A6-E49A-BB67-D3A550670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392206</xdr:colOff>
      <xdr:row>1</xdr:row>
      <xdr:rowOff>134470</xdr:rowOff>
    </xdr:from>
    <xdr:to>
      <xdr:col>41</xdr:col>
      <xdr:colOff>89647</xdr:colOff>
      <xdr:row>27</xdr:row>
      <xdr:rowOff>11205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7046E4-DBEF-40C2-8E44-272E174C9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190499</xdr:colOff>
      <xdr:row>66</xdr:row>
      <xdr:rowOff>119062</xdr:rowOff>
    </xdr:from>
    <xdr:to>
      <xdr:col>38</xdr:col>
      <xdr:colOff>619125</xdr:colOff>
      <xdr:row>91</xdr:row>
      <xdr:rowOff>166687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782B5C4-4116-4B8C-A390-F1FDB40EE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595312</xdr:colOff>
      <xdr:row>66</xdr:row>
      <xdr:rowOff>142875</xdr:rowOff>
    </xdr:from>
    <xdr:to>
      <xdr:col>49</xdr:col>
      <xdr:colOff>292753</xdr:colOff>
      <xdr:row>92</xdr:row>
      <xdr:rowOff>19610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40D9EEB-27CB-44B5-9DC6-B660097E7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259773</xdr:colOff>
      <xdr:row>94</xdr:row>
      <xdr:rowOff>17319</xdr:rowOff>
    </xdr:from>
    <xdr:to>
      <xdr:col>37</xdr:col>
      <xdr:colOff>745548</xdr:colOff>
      <xdr:row>126</xdr:row>
      <xdr:rowOff>122095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10DFE689-A325-41F4-ACD0-55D9A5866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690562</xdr:colOff>
      <xdr:row>94</xdr:row>
      <xdr:rowOff>95250</xdr:rowOff>
    </xdr:from>
    <xdr:to>
      <xdr:col>48</xdr:col>
      <xdr:colOff>476249</xdr:colOff>
      <xdr:row>127</xdr:row>
      <xdr:rowOff>47625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67AF8D13-E90E-4738-8D9E-0150C01DC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2101101</xdr:colOff>
      <xdr:row>112</xdr:row>
      <xdr:rowOff>29134</xdr:rowOff>
    </xdr:from>
    <xdr:to>
      <xdr:col>11</xdr:col>
      <xdr:colOff>190500</xdr:colOff>
      <xdr:row>140</xdr:row>
      <xdr:rowOff>134471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6A1AA69-9F59-2E99-48E4-D58735377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374835</xdr:colOff>
      <xdr:row>23</xdr:row>
      <xdr:rowOff>38661</xdr:rowOff>
    </xdr:from>
    <xdr:to>
      <xdr:col>28</xdr:col>
      <xdr:colOff>173690</xdr:colOff>
      <xdr:row>41</xdr:row>
      <xdr:rowOff>95811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C4D9619-83A9-4781-BCAC-D8C0D3555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86685</xdr:colOff>
      <xdr:row>22</xdr:row>
      <xdr:rowOff>150878</xdr:rowOff>
    </xdr:from>
    <xdr:to>
      <xdr:col>36</xdr:col>
      <xdr:colOff>401009</xdr:colOff>
      <xdr:row>41</xdr:row>
      <xdr:rowOff>103253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F87794B-97DF-45A7-A60E-7D72E67B0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1021415</xdr:colOff>
      <xdr:row>43</xdr:row>
      <xdr:rowOff>146797</xdr:rowOff>
    </xdr:from>
    <xdr:to>
      <xdr:col>30</xdr:col>
      <xdr:colOff>326090</xdr:colOff>
      <xdr:row>66</xdr:row>
      <xdr:rowOff>184897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7602CD4-C60D-4097-BB81-2DC0F671E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233082</xdr:colOff>
      <xdr:row>0</xdr:row>
      <xdr:rowOff>186018</xdr:rowOff>
    </xdr:from>
    <xdr:to>
      <xdr:col>29</xdr:col>
      <xdr:colOff>70597</xdr:colOff>
      <xdr:row>22</xdr:row>
      <xdr:rowOff>17929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8F2BAD85-6329-E989-8E99-2EE535B78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200025</xdr:colOff>
      <xdr:row>1</xdr:row>
      <xdr:rowOff>0</xdr:rowOff>
    </xdr:from>
    <xdr:to>
      <xdr:col>37</xdr:col>
      <xdr:colOff>361390</xdr:colOff>
      <xdr:row>22</xdr:row>
      <xdr:rowOff>22411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14D09A-FE28-47DD-8DDE-C7EC717CA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467846</xdr:colOff>
      <xdr:row>7</xdr:row>
      <xdr:rowOff>129428</xdr:rowOff>
    </xdr:from>
    <xdr:to>
      <xdr:col>23</xdr:col>
      <xdr:colOff>467846</xdr:colOff>
      <xdr:row>22</xdr:row>
      <xdr:rowOff>15128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62A4493-1521-4197-8980-9C071C361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756957</xdr:colOff>
      <xdr:row>7</xdr:row>
      <xdr:rowOff>143995</xdr:rowOff>
    </xdr:from>
    <xdr:to>
      <xdr:col>30</xdr:col>
      <xdr:colOff>756957</xdr:colOff>
      <xdr:row>22</xdr:row>
      <xdr:rowOff>29695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5B5B23A-F4E7-4F4B-B570-8CE397A50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430864</xdr:colOff>
      <xdr:row>22</xdr:row>
      <xdr:rowOff>139514</xdr:rowOff>
    </xdr:from>
    <xdr:to>
      <xdr:col>24</xdr:col>
      <xdr:colOff>229719</xdr:colOff>
      <xdr:row>40</xdr:row>
      <xdr:rowOff>6164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570EDD4-EE47-403C-94DD-DAA9D02A5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727821</xdr:colOff>
      <xdr:row>22</xdr:row>
      <xdr:rowOff>142874</xdr:rowOff>
    </xdr:from>
    <xdr:to>
      <xdr:col>32</xdr:col>
      <xdr:colOff>280145</xdr:colOff>
      <xdr:row>40</xdr:row>
      <xdr:rowOff>95249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39DE58A-5017-4AD1-81DD-2DA34F9FD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169207</xdr:colOff>
      <xdr:row>50</xdr:row>
      <xdr:rowOff>164728</xdr:rowOff>
    </xdr:from>
    <xdr:to>
      <xdr:col>12</xdr:col>
      <xdr:colOff>592791</xdr:colOff>
      <xdr:row>81</xdr:row>
      <xdr:rowOff>142316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708143E-C1ED-F186-21C3-A9AC4A71F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371474</xdr:colOff>
      <xdr:row>42</xdr:row>
      <xdr:rowOff>57150</xdr:rowOff>
    </xdr:from>
    <xdr:to>
      <xdr:col>26</xdr:col>
      <xdr:colOff>438149</xdr:colOff>
      <xdr:row>64</xdr:row>
      <xdr:rowOff>95250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46D3124-66ED-E198-79D6-20747D778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257175</xdr:colOff>
      <xdr:row>7</xdr:row>
      <xdr:rowOff>123825</xdr:rowOff>
    </xdr:from>
    <xdr:to>
      <xdr:col>37</xdr:col>
      <xdr:colOff>581025</xdr:colOff>
      <xdr:row>22</xdr:row>
      <xdr:rowOff>9525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E174EEC-19E2-490D-B162-F85B91305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209550</xdr:colOff>
      <xdr:row>2</xdr:row>
      <xdr:rowOff>123825</xdr:rowOff>
    </xdr:from>
    <xdr:to>
      <xdr:col>23</xdr:col>
      <xdr:colOff>209550</xdr:colOff>
      <xdr:row>17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E2DDFF7-7901-4EE7-8DF7-EB19FF271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266700</xdr:colOff>
      <xdr:row>2</xdr:row>
      <xdr:rowOff>133350</xdr:rowOff>
    </xdr:from>
    <xdr:to>
      <xdr:col>29</xdr:col>
      <xdr:colOff>266700</xdr:colOff>
      <xdr:row>17</xdr:row>
      <xdr:rowOff>19050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70AACD4-FAB8-47CB-B236-68413B80D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752475</xdr:colOff>
      <xdr:row>18</xdr:row>
      <xdr:rowOff>38099</xdr:rowOff>
    </xdr:from>
    <xdr:to>
      <xdr:col>24</xdr:col>
      <xdr:colOff>238125</xdr:colOff>
      <xdr:row>39</xdr:row>
      <xdr:rowOff>142875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98AB434-BBE2-4557-BB28-8FBBF8C65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409575</xdr:colOff>
      <xdr:row>17</xdr:row>
      <xdr:rowOff>171450</xdr:rowOff>
    </xdr:from>
    <xdr:to>
      <xdr:col>30</xdr:col>
      <xdr:colOff>409575</xdr:colOff>
      <xdr:row>32</xdr:row>
      <xdr:rowOff>57150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0E1B3E1-5F99-4EC4-967B-ADAC503F8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914400</xdr:colOff>
      <xdr:row>49</xdr:row>
      <xdr:rowOff>114299</xdr:rowOff>
    </xdr:from>
    <xdr:to>
      <xdr:col>10</xdr:col>
      <xdr:colOff>238125</xdr:colOff>
      <xdr:row>74</xdr:row>
      <xdr:rowOff>85724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5AF2FAD-FF30-C858-C0DF-A5DF3E4D3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133350</xdr:colOff>
      <xdr:row>20</xdr:row>
      <xdr:rowOff>28575</xdr:rowOff>
    </xdr:from>
    <xdr:to>
      <xdr:col>6</xdr:col>
      <xdr:colOff>9525</xdr:colOff>
      <xdr:row>34</xdr:row>
      <xdr:rowOff>104775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E870011-31F1-2134-6526-A33E660C2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390525</xdr:colOff>
      <xdr:row>2</xdr:row>
      <xdr:rowOff>9524</xdr:rowOff>
    </xdr:from>
    <xdr:to>
      <xdr:col>27</xdr:col>
      <xdr:colOff>704850</xdr:colOff>
      <xdr:row>19</xdr:row>
      <xdr:rowOff>28574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22D1D46-59AE-4774-A8B8-2D2585493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47624</xdr:colOff>
      <xdr:row>4</xdr:row>
      <xdr:rowOff>0</xdr:rowOff>
    </xdr:from>
    <xdr:to>
      <xdr:col>37</xdr:col>
      <xdr:colOff>514349</xdr:colOff>
      <xdr:row>21</xdr:row>
      <xdr:rowOff>28575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B965FB8-FDE1-49EA-86FA-51B6EF643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485775</xdr:colOff>
      <xdr:row>21</xdr:row>
      <xdr:rowOff>58511</xdr:rowOff>
    </xdr:from>
    <xdr:to>
      <xdr:col>26</xdr:col>
      <xdr:colOff>308882</xdr:colOff>
      <xdr:row>38</xdr:row>
      <xdr:rowOff>48986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3E3A875-0BA8-4D61-982C-1D4B23A2E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714375</xdr:colOff>
      <xdr:row>21</xdr:row>
      <xdr:rowOff>47625</xdr:rowOff>
    </xdr:from>
    <xdr:to>
      <xdr:col>32</xdr:col>
      <xdr:colOff>714375</xdr:colOff>
      <xdr:row>38</xdr:row>
      <xdr:rowOff>38100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E047585-2BAD-4CA9-8C28-435B71DC2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595831</xdr:colOff>
      <xdr:row>12</xdr:row>
      <xdr:rowOff>50907</xdr:rowOff>
    </xdr:from>
    <xdr:to>
      <xdr:col>28</xdr:col>
      <xdr:colOff>593911</xdr:colOff>
      <xdr:row>26</xdr:row>
      <xdr:rowOff>127107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559B374-BBCE-4BBF-9FA4-BAB817847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28575</xdr:colOff>
      <xdr:row>12</xdr:row>
      <xdr:rowOff>50346</xdr:rowOff>
    </xdr:from>
    <xdr:to>
      <xdr:col>35</xdr:col>
      <xdr:colOff>28575</xdr:colOff>
      <xdr:row>26</xdr:row>
      <xdr:rowOff>126546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51E9534-C6EB-4EE6-842C-D0E8762BE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599754</xdr:colOff>
      <xdr:row>27</xdr:row>
      <xdr:rowOff>157923</xdr:rowOff>
    </xdr:from>
    <xdr:to>
      <xdr:col>29</xdr:col>
      <xdr:colOff>397808</xdr:colOff>
      <xdr:row>44</xdr:row>
      <xdr:rowOff>186498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CF5D8EC-B3A1-48E5-A5D7-6E995B63B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503705</xdr:colOff>
      <xdr:row>27</xdr:row>
      <xdr:rowOff>161284</xdr:rowOff>
    </xdr:from>
    <xdr:to>
      <xdr:col>37</xdr:col>
      <xdr:colOff>56029</xdr:colOff>
      <xdr:row>46</xdr:row>
      <xdr:rowOff>110289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C769DCF-791F-4EA4-B381-C0B3E0173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demecloud-my.sharepoint.com/personal/simon_thouin_ademe_fr/Documents/Fonds%20Chaleur/2023/Bilan%202023%20COP/LISA_CLOTURE_2023_FOND_CHALEUR%20VF.xlsm" TargetMode="External"/><Relationship Id="rId1" Type="http://schemas.openxmlformats.org/officeDocument/2006/relationships/externalLinkPath" Target="https://ademecloud-my.sharepoint.com/personal/simon_thouin_ademe_fr/Documents/Fonds%20Chaleur/2023/Bilan%202023%20COP/LISA_CLOTURE_2023_FOND_CHALEUR%20VF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demecloud-my.sharepoint.com/personal/simon_thouin_ademe_fr/Documents/Fonds%20Chaleur/Bilan/Bilan%20FC%20-%20MCR/Bilans%20Annuels/Bilan%202023/Donn&#233;es%20Bilan%20FC2023%20-%2015.02.24.xlsx" TargetMode="External"/><Relationship Id="rId1" Type="http://schemas.openxmlformats.org/officeDocument/2006/relationships/externalLinkPath" Target="https://ademecloud-my.sharepoint.com/personal/simon_thouin_ademe_fr/Documents/Fonds%20Chaleur/Bilan/Bilan%20FC%20-%20MCR/Bilans%20Annuels/Bilan%202023/Donn&#233;es%20Bilan%20FC2023%20-%2015.02.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ademe.intra\ANGERS$\SERVICES\SFAB\thouins\2-Fonds%20chaleur\Fonds%20Chaleur%202022\Bilan\Bilan%20FC%202022%20VF\LISA_CLOTURE_2022_FOND_CHALEUR%2001.03.2023.xlsm" TargetMode="External"/><Relationship Id="rId1" Type="http://schemas.openxmlformats.org/officeDocument/2006/relationships/externalLinkPath" Target="https://ademecloud-my.sharepoint.com/SERVICES/SFAB/thouins/2-Fonds%20chaleur/Fonds%20Chaleur%202022/Bilan/Bilan%20FC%202022%20VF/LISA_CLOTURE_2022_FOND_CHALEUR%2001.03.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ésentation"/>
      <sheetName val="LISA_2023"/>
      <sheetName val="LISA RC plusieurs thématique"/>
      <sheetName val="Feuil2"/>
      <sheetName val="FC2023"/>
      <sheetName val="FC2023 - hors mixEnR"/>
      <sheetName val="Feuil1"/>
      <sheetName val="FC2023 - hors mixEnR invest"/>
      <sheetName val="FC2023 -  hors inves"/>
      <sheetName val="FC2023 - mixEnR 15.01"/>
      <sheetName val="FC2023 - mixEnR (3)"/>
      <sheetName val="FC2023 - mixEnR"/>
      <sheetName val="FC2023 - global corrigé"/>
      <sheetName val="FC2023 - global corrigé (2)"/>
      <sheetName val="FC2023 - mixEnR (2)"/>
      <sheetName val="Feuil4"/>
      <sheetName val="T.Géothermie"/>
      <sheetName val="T.SolaireECS"/>
      <sheetName val="T.SolairePAC"/>
      <sheetName val="T.SolaireSSC"/>
      <sheetName val="Feuil17"/>
      <sheetName val="T.chaleurfatale"/>
      <sheetName val="T.méthanisation"/>
      <sheetName val="T.mixEnR"/>
      <sheetName val="T.mixEnR CCRp autre"/>
      <sheetName val="T.mixEnR CCRp autre (2)"/>
      <sheetName val="Bilan Tremplin FTD CCRp"/>
      <sheetName val="T.appro"/>
      <sheetName val="T.autres"/>
      <sheetName val="FC2023 - invt "/>
      <sheetName val="FC2023 - hors invt"/>
      <sheetName val="Feuil7"/>
      <sheetName val="T.Biomasse"/>
      <sheetName val="DétailAide RC géother surface"/>
      <sheetName val="Feuil6"/>
      <sheetName val="T.RC"/>
      <sheetName val="Feuil5"/>
      <sheetName val="T.RC sans prod"/>
      <sheetName val="Liste RC n° plusieurs thématiqu"/>
      <sheetName val="Bilan projets liés RC"/>
      <sheetName val="Bilan tCO2"/>
      <sheetName val="BILAN EJ"/>
      <sheetName val="BILAN EJ répartition CCR"/>
      <sheetName val="BILAN EJ répartition CCR F2030"/>
      <sheetName val="BILAN ENR FC F2030 détaillé"/>
      <sheetName val="BILAN ENR FC F2030 filiere"/>
      <sheetName val="BILAN ENR FC F2030"/>
      <sheetName val="BILAN ENR FC"/>
      <sheetName val="Bilan EVOS Strasbourg"/>
      <sheetName val="CCRT délégué"/>
      <sheetName val="FC2023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>
        <row r="6">
          <cell r="B6">
            <v>197508582.46999997</v>
          </cell>
        </row>
        <row r="14">
          <cell r="B14">
            <v>122866763.80999999</v>
          </cell>
        </row>
      </sheetData>
      <sheetData sheetId="42" refreshError="1"/>
      <sheetData sheetId="43" refreshError="1"/>
      <sheetData sheetId="44" refreshError="1">
        <row r="3">
          <cell r="H3">
            <v>10.968184136695681</v>
          </cell>
        </row>
        <row r="4">
          <cell r="H4">
            <v>5.2854286894560385</v>
          </cell>
        </row>
        <row r="32">
          <cell r="AD32">
            <v>586.38338148890375</v>
          </cell>
        </row>
      </sheetData>
      <sheetData sheetId="45" refreshError="1"/>
      <sheetData sheetId="46" refreshError="1"/>
      <sheetData sheetId="47" refreshError="1">
        <row r="3">
          <cell r="D3">
            <v>1335619.2430495224</v>
          </cell>
          <cell r="AC3">
            <v>805</v>
          </cell>
        </row>
        <row r="9">
          <cell r="C9">
            <v>205339</v>
          </cell>
          <cell r="F9">
            <v>16300396</v>
          </cell>
          <cell r="J9">
            <v>3.9691427346972565</v>
          </cell>
          <cell r="AC9">
            <v>5</v>
          </cell>
        </row>
        <row r="11">
          <cell r="C11">
            <v>78549.61</v>
          </cell>
          <cell r="F11">
            <v>42588285.121383965</v>
          </cell>
          <cell r="J11">
            <v>18.028260313456336</v>
          </cell>
          <cell r="AC11">
            <v>243</v>
          </cell>
        </row>
        <row r="12">
          <cell r="C12">
            <v>9113.6899999999987</v>
          </cell>
        </row>
        <row r="13">
          <cell r="C13">
            <v>12295</v>
          </cell>
        </row>
        <row r="14">
          <cell r="C14">
            <v>1455</v>
          </cell>
        </row>
        <row r="15">
          <cell r="C15">
            <v>16628.948849261855</v>
          </cell>
        </row>
        <row r="16">
          <cell r="C16">
            <v>73.099999999999994</v>
          </cell>
        </row>
        <row r="17">
          <cell r="J17">
            <v>22.919786458876189</v>
          </cell>
          <cell r="AC17">
            <v>288</v>
          </cell>
        </row>
        <row r="21">
          <cell r="J21">
            <v>3.9553070941802515</v>
          </cell>
        </row>
        <row r="27">
          <cell r="J27">
            <v>1.5434408598282789</v>
          </cell>
          <cell r="AC27">
            <v>17</v>
          </cell>
        </row>
        <row r="29">
          <cell r="I29">
            <v>9.4716637648538686</v>
          </cell>
        </row>
        <row r="34">
          <cell r="I34">
            <v>10.662617429904401</v>
          </cell>
        </row>
      </sheetData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 ENR FC F2030 détaillé"/>
      <sheetName val="BILAN FC2023 par filiere"/>
    </sheetNames>
    <sheetDataSet>
      <sheetData sheetId="0"/>
      <sheetData sheetId="1">
        <row r="10">
          <cell r="AF10">
            <v>31</v>
          </cell>
        </row>
        <row r="11">
          <cell r="AF11">
            <v>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ésentation"/>
      <sheetName val="LISA"/>
      <sheetName val="Secteur"/>
      <sheetName val="T.Biomasse (2)"/>
      <sheetName val="TOTAL"/>
      <sheetName val="Investissement"/>
      <sheetName val="Hors Investissement"/>
      <sheetName val="T.ApproBiomasse"/>
      <sheetName val="T.Biomasse"/>
      <sheetName val="T.Géothermie"/>
      <sheetName val="T.ChaleurF"/>
      <sheetName val="T.Solaire"/>
      <sheetName val="T.Méthanisation"/>
      <sheetName val="T.RC invtprod"/>
      <sheetName val="T.TREMPLIN"/>
      <sheetName val="T.CCR"/>
      <sheetName val="T.CCR (2)"/>
      <sheetName val="CCRt Emma"/>
      <sheetName val="CCRp Emma"/>
      <sheetName val="T.Autres+MixEnR hors Trplin (2)"/>
      <sheetName val="T.Avenant financier"/>
      <sheetName val="Bilan CCR"/>
      <sheetName val="Bilan Biomasse"/>
      <sheetName val="Bilan Géothermie"/>
      <sheetName val="Bilan Solaire"/>
      <sheetName val="Bilan CF"/>
      <sheetName val="T.RC"/>
      <sheetName val="T.RC sans invt prod"/>
      <sheetName val="Bilan RC"/>
      <sheetName val="Bilan Méthanisation"/>
      <sheetName val="Bilan TREMPLIN"/>
      <sheetName val="Bilan ApproBiom"/>
      <sheetName val="Engagement € (2)"/>
      <sheetName val="Engagement €"/>
      <sheetName val="Bilan Production"/>
      <sheetName val="Bilan Production + BCIAT FDI"/>
      <sheetName val="Graphiques prod"/>
      <sheetName val="Graphique aide"/>
      <sheetName val="Graphique nb installations"/>
      <sheetName val="Indic FC 2009-2022 en MWh"/>
      <sheetName val="FC 2009-2022 Aide k€"/>
      <sheetName val="FC 2009-2022 Prod GWh"/>
      <sheetName val="FC 2009-2022 Nb installations"/>
      <sheetName val="FC 2009-2022 Ratio aide"/>
      <sheetName val="FC 2009-2022 ml réseau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9">
          <cell r="B9">
            <v>10</v>
          </cell>
        </row>
      </sheetData>
      <sheetData sheetId="39"/>
      <sheetData sheetId="40">
        <row r="12">
          <cell r="C12">
            <v>2009</v>
          </cell>
        </row>
      </sheetData>
      <sheetData sheetId="41">
        <row r="4">
          <cell r="C4">
            <v>2009</v>
          </cell>
        </row>
      </sheetData>
      <sheetData sheetId="42">
        <row r="4">
          <cell r="C4">
            <v>2009</v>
          </cell>
        </row>
      </sheetData>
      <sheetData sheetId="43">
        <row r="4">
          <cell r="C4">
            <v>2009</v>
          </cell>
        </row>
      </sheetData>
      <sheetData sheetId="4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HOUIN Simon" id="{B01CD36F-C991-4914-BD88-C19A5E02A0DC}" userId="S::simon.thouin@ademe.fr::4d012c71-c694-4e24-a9d4-d943fced78a8" providerId="AD"/>
  <person displayName="CALLONNEC Gaël" id="{99124F43-9906-4D7A-8185-A70A4E2F2B1B}" userId="S::gael.callonnec@ademe.fr::4645a0ba-fe23-43a5-8781-2fec62c78cfd" providerId="AD"/>
</personList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2" dT="2023-03-05T20:19:26.26" personId="{B01CD36F-C991-4914-BD88-C19A5E02A0DC}" id="{4104F230-0D9F-4D60-86A7-6D1A303DA5E8}">
    <text>Estimation CCR patri au prorata des MWh</text>
  </threadedComment>
  <threadedComment ref="L12" dT="2023-03-05T20:22:16.86" personId="{B01CD36F-C991-4914-BD88-C19A5E02A0DC}" id="{6819901B-99F8-48FB-A5F4-55A5F7CB7288}">
    <text>Estimation CCR patri au prorata des MWh</text>
  </threadedComment>
  <threadedComment ref="M12" dT="2023-03-05T20:25:49.58" personId="{B01CD36F-C991-4914-BD88-C19A5E02A0DC}" id="{1CDBA388-E5ED-48D6-9BBC-85B365908572}">
    <text>Estimation CCR patri au prorata des MWh</text>
  </threadedComment>
  <threadedComment ref="N12" dT="2023-03-05T20:25:49.58" personId="{B01CD36F-C991-4914-BD88-C19A5E02A0DC}" id="{7169B445-7C6F-485F-B457-A6140BB777B3}">
    <text>Estimation CCR patri au prorata des MWh</text>
  </threadedComment>
  <threadedComment ref="O12" dT="2023-03-05T20:25:49.58" personId="{B01CD36F-C991-4914-BD88-C19A5E02A0DC}" id="{25BD3206-4F58-45CD-9053-4F69A9A7F92F}">
    <text>Estimation CCR patri au prorata des MWh</text>
  </threadedComment>
  <threadedComment ref="P12" dT="2023-03-05T21:35:05.63" personId="{B01CD36F-C991-4914-BD88-C19A5E02A0DC}" id="{5FCA73FF-CD74-43BF-A87B-F9A7C371E564}">
    <text>Estimation CCR patri au prorata des aides
Une analyse plus précise des investissements sur les CCR en conventions de mandat mériterait d'être réalisée</text>
  </threadedComment>
  <threadedComment ref="K13" dT="2023-03-05T20:19:26.26" personId="{B01CD36F-C991-4914-BD88-C19A5E02A0DC}" id="{C81E9F96-AFA8-46E4-A2F1-929ABE2FE9AE}">
    <text>Estimation CCR patri au prorata des MWh</text>
  </threadedComment>
  <threadedComment ref="L13" dT="2023-03-05T20:22:16.86" personId="{B01CD36F-C991-4914-BD88-C19A5E02A0DC}" id="{47454F98-1C68-4284-915C-B1C04796C542}">
    <text>Estimation CCR patri au prorata des MWh</text>
  </threadedComment>
  <threadedComment ref="M13" dT="2023-03-05T20:25:49.58" personId="{B01CD36F-C991-4914-BD88-C19A5E02A0DC}" id="{D6ECD674-C451-469F-B90E-D1BB07AF5826}">
    <text>Estimation CCR patri au prorata des MWh</text>
  </threadedComment>
  <threadedComment ref="N13" dT="2023-03-05T20:25:49.58" personId="{B01CD36F-C991-4914-BD88-C19A5E02A0DC}" id="{829F7BD8-1A7A-443A-91D5-775E565D5613}">
    <text>Estimation CCR patri au prorata des MWh</text>
  </threadedComment>
  <threadedComment ref="O13" dT="2023-03-05T20:25:49.58" personId="{B01CD36F-C991-4914-BD88-C19A5E02A0DC}" id="{25C2363A-AB83-4BEE-A10D-78E1EFB96E0B}">
    <text>Estimation CCR patri au prorata des MWh</text>
  </threadedComment>
  <threadedComment ref="P13" dT="2023-03-05T21:35:05.63" personId="{B01CD36F-C991-4914-BD88-C19A5E02A0DC}" id="{86D2BB3C-87B6-469B-9D8A-D7C4F8F7A4FC}">
    <text>Estimation CCR patri au prorata des aides
Une analyse plus précise des investissements sur les CCR en conventions de mandat mériterait d'être réalisée</text>
  </threadedComment>
  <threadedComment ref="C14" dT="2024-11-13T20:56:52.42" personId="{99124F43-9906-4D7A-8185-A70A4E2F2B1B}" id="{9195B4DB-9B83-48A5-8FB7-B12C47E53B24}">
    <text>Pourquoi ce montant ne correspond pas aux 93M€ d’investissement repertorié dans le tableur BCIAT/BCIB 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2" dT="2023-03-05T20:19:26.26" personId="{B01CD36F-C991-4914-BD88-C19A5E02A0DC}" id="{B749D099-17E1-4F41-9898-7AD44BB5DE5D}">
    <text>Estimation CCR patri au prorata des MWh</text>
  </threadedComment>
  <threadedComment ref="L12" dT="2023-03-05T20:22:16.86" personId="{B01CD36F-C991-4914-BD88-C19A5E02A0DC}" id="{69F2F2C7-E4C8-4E71-8F17-B3AF60FC205A}">
    <text>Estimation CCR patri au prorata des MWh</text>
  </threadedComment>
  <threadedComment ref="M12" dT="2023-03-05T20:25:49.58" personId="{B01CD36F-C991-4914-BD88-C19A5E02A0DC}" id="{F34EF407-4B76-4490-9A1E-E071D1B564BE}">
    <text>Estimation CCR patri au prorata des MWh</text>
  </threadedComment>
  <threadedComment ref="N12" dT="2023-03-05T20:25:49.58" personId="{B01CD36F-C991-4914-BD88-C19A5E02A0DC}" id="{9D03B59A-163B-4A17-B491-E6023915138E}">
    <text>Estimation CCR patri au prorata des MWh</text>
  </threadedComment>
  <threadedComment ref="O12" dT="2023-03-05T20:25:49.58" personId="{B01CD36F-C991-4914-BD88-C19A5E02A0DC}" id="{3DEB4E59-EF9C-4E60-9018-A7809ECE93E5}">
    <text>Estimation CCR patri au prorata des MWh</text>
  </threadedComment>
  <threadedComment ref="P12" dT="2023-03-05T21:35:05.63" personId="{B01CD36F-C991-4914-BD88-C19A5E02A0DC}" id="{8DA1B865-D128-45CE-92F3-C9CDF57C7F47}">
    <text>Estimation CCR patri au prorata des aides
Une analyse plus précise des investissements sur les CCR en conventions de mandat mériterait d'être réalisée</text>
  </threadedComment>
  <threadedComment ref="K13" dT="2023-03-05T20:19:26.26" personId="{B01CD36F-C991-4914-BD88-C19A5E02A0DC}" id="{5DD8910B-1990-4A9E-8235-20AC2CD0FFDD}">
    <text>Estimation CCR patri au prorata des MWh</text>
  </threadedComment>
  <threadedComment ref="L13" dT="2023-03-05T20:22:16.86" personId="{B01CD36F-C991-4914-BD88-C19A5E02A0DC}" id="{B4996AFA-6382-4191-9C59-5E998F3C2A1C}">
    <text>Estimation CCR patri au prorata des MWh</text>
  </threadedComment>
  <threadedComment ref="M13" dT="2023-03-05T20:25:49.58" personId="{B01CD36F-C991-4914-BD88-C19A5E02A0DC}" id="{3D0C21CD-7906-443F-89A4-275D6D19479E}">
    <text>Estimation CCR patri au prorata des MWh</text>
  </threadedComment>
  <threadedComment ref="N13" dT="2023-03-05T20:25:49.58" personId="{B01CD36F-C991-4914-BD88-C19A5E02A0DC}" id="{CF1D57A5-5B10-475A-B58A-23DAFDA94B2D}">
    <text>Estimation CCR patri au prorata des MWh</text>
  </threadedComment>
  <threadedComment ref="O13" dT="2023-03-05T20:25:49.58" personId="{B01CD36F-C991-4914-BD88-C19A5E02A0DC}" id="{7CCAB2D5-43BF-495C-A787-3EDF30C0159E}">
    <text>Estimation CCR patri au prorata des MWh</text>
  </threadedComment>
  <threadedComment ref="P13" dT="2023-03-05T21:35:05.63" personId="{B01CD36F-C991-4914-BD88-C19A5E02A0DC}" id="{9C550DB9-FA80-4AD6-B023-A9029C815EA4}">
    <text>Estimation CCR patri au prorata des aides
Une analyse plus précise des investissements sur les CCR en conventions de mandat mériterait d'être réalisée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8A6E9-7CE7-45AA-B10C-013F3A379C16}">
  <sheetPr>
    <tabColor rgb="FFC00000"/>
  </sheetPr>
  <dimension ref="B2:R10"/>
  <sheetViews>
    <sheetView zoomScale="115" zoomScaleNormal="115" workbookViewId="0">
      <selection activeCell="C3" sqref="C3:J8"/>
    </sheetView>
  </sheetViews>
  <sheetFormatPr baseColWidth="10" defaultRowHeight="15" x14ac:dyDescent="0.25"/>
  <cols>
    <col min="1" max="1" width="11.42578125" style="2"/>
    <col min="2" max="2" width="68" style="2" customWidth="1"/>
    <col min="3" max="16384" width="11.42578125" style="2"/>
  </cols>
  <sheetData>
    <row r="2" spans="2:18" x14ac:dyDescent="0.25">
      <c r="B2" s="102"/>
      <c r="C2" s="103">
        <v>2009</v>
      </c>
      <c r="D2" s="103">
        <v>2010</v>
      </c>
      <c r="E2" s="103">
        <v>2011</v>
      </c>
      <c r="F2" s="103">
        <v>2012</v>
      </c>
      <c r="G2" s="103">
        <v>2013</v>
      </c>
      <c r="H2" s="103">
        <v>2014</v>
      </c>
      <c r="I2" s="103">
        <v>2015</v>
      </c>
      <c r="J2" s="103">
        <v>2016</v>
      </c>
      <c r="K2" s="103">
        <v>2017</v>
      </c>
      <c r="L2" s="103">
        <v>2018</v>
      </c>
      <c r="M2" s="103">
        <v>2019</v>
      </c>
      <c r="N2" s="103">
        <v>2020</v>
      </c>
      <c r="O2" s="103">
        <v>2021</v>
      </c>
      <c r="P2" s="103">
        <v>2022</v>
      </c>
      <c r="Q2" s="103">
        <v>2023</v>
      </c>
      <c r="R2" s="104" t="s">
        <v>1</v>
      </c>
    </row>
    <row r="3" spans="2:18" x14ac:dyDescent="0.25">
      <c r="B3" s="61" t="s">
        <v>37</v>
      </c>
      <c r="C3" s="62">
        <f>'FC Ratio aide FC'!C38</f>
        <v>3.7042782848537819</v>
      </c>
      <c r="D3" s="62">
        <f>'FC Ratio aide FC'!D38</f>
        <v>3.3909570541907081</v>
      </c>
      <c r="E3" s="62">
        <f>'FC Ratio aide FC'!E38</f>
        <v>3.669643847781991</v>
      </c>
      <c r="F3" s="62">
        <f>'FC Ratio aide FC'!F38</f>
        <v>3.3243281759936529</v>
      </c>
      <c r="G3" s="62">
        <f>'FC Ratio aide FC'!G38</f>
        <v>3.654243425308259</v>
      </c>
      <c r="H3" s="62">
        <f>'FC Ratio aide FC'!H38</f>
        <v>3.7036546743998251</v>
      </c>
      <c r="I3" s="62">
        <f>'FC Ratio aide FC'!I38</f>
        <v>3.6890555294540497</v>
      </c>
      <c r="J3" s="62">
        <f>'FC Ratio aide FC'!J38</f>
        <v>5.1127826811337327</v>
      </c>
      <c r="K3" s="62">
        <f>'FC Ratio aide FC'!K38</f>
        <v>4.9176501580561256</v>
      </c>
      <c r="L3" s="62">
        <f>'FC Ratio aide FC'!L38</f>
        <v>4.9473246290452035</v>
      </c>
      <c r="M3" s="62">
        <f>'FC Ratio aide FC'!M38</f>
        <v>3.7988714436031281</v>
      </c>
      <c r="N3" s="62">
        <f>'FC Ratio aide FC'!N38</f>
        <v>4.4262933804017122</v>
      </c>
      <c r="O3" s="62">
        <f>'FC Ratio aide FC'!O38</f>
        <v>5.2200628567196041</v>
      </c>
      <c r="P3" s="62">
        <f>'FC Ratio aide FC'!P38</f>
        <v>7.0890867296352225</v>
      </c>
      <c r="Q3" s="62">
        <f>'FC Ratio aide FC'!Q38</f>
        <v>10.662617429904401</v>
      </c>
      <c r="R3" s="62">
        <f>'FC Ratio aide FC'!R38</f>
        <v>4.7206973102182497</v>
      </c>
    </row>
    <row r="4" spans="2:18" x14ac:dyDescent="0.25">
      <c r="B4" s="105" t="s">
        <v>62</v>
      </c>
      <c r="C4" s="106">
        <f>'FC Ratio aide FC'!C39</f>
        <v>3.723158477331546</v>
      </c>
      <c r="D4" s="106">
        <f>'FC Ratio aide FC'!D39</f>
        <v>3.4160313826605355</v>
      </c>
      <c r="E4" s="106">
        <f>'FC Ratio aide FC'!E39</f>
        <v>3.7549612735491045</v>
      </c>
      <c r="F4" s="106">
        <f>'FC Ratio aide FC'!F39</f>
        <v>3.4914579510560699</v>
      </c>
      <c r="G4" s="106">
        <f>'FC Ratio aide FC'!G39</f>
        <v>3.7823029394193375</v>
      </c>
      <c r="H4" s="106">
        <f>'FC Ratio aide FC'!H39</f>
        <v>4.0587854674206145</v>
      </c>
      <c r="I4" s="106">
        <f>'FC Ratio aide FC'!I39</f>
        <v>3.8331621267141913</v>
      </c>
      <c r="J4" s="106">
        <f>'FC Ratio aide FC'!J39</f>
        <v>5.6439092778600539</v>
      </c>
      <c r="K4" s="106">
        <f>'FC Ratio aide FC'!K39</f>
        <v>5.224099512766867</v>
      </c>
      <c r="L4" s="106">
        <f>'FC Ratio aide FC'!L39</f>
        <v>5.9453339379856027</v>
      </c>
      <c r="M4" s="106">
        <f>'FC Ratio aide FC'!M39</f>
        <v>4.3459618082748985</v>
      </c>
      <c r="N4" s="106">
        <f>'FC Ratio aide FC'!N39</f>
        <v>5.2611134461890057</v>
      </c>
      <c r="O4" s="106">
        <f>'FC Ratio aide FC'!O39</f>
        <v>7.7141172693507993</v>
      </c>
      <c r="P4" s="106">
        <f>'FC Ratio aide FC'!P39</f>
        <v>7.7424374995932554</v>
      </c>
      <c r="Q4" s="106">
        <f>'FC Ratio aide FC'!Q39</f>
        <v>11.660917262071168</v>
      </c>
      <c r="R4" s="106">
        <f>'FC Ratio aide FC'!R39</f>
        <v>5.1855046450047739</v>
      </c>
    </row>
    <row r="5" spans="2:18" x14ac:dyDescent="0.25">
      <c r="B5" s="107" t="s">
        <v>79</v>
      </c>
      <c r="C5" s="108">
        <f>'FC Ratio aide FC'!C40</f>
        <v>3.7042782848537819</v>
      </c>
      <c r="D5" s="108">
        <f>'FC Ratio aide FC'!D40</f>
        <v>3.3909570541907081</v>
      </c>
      <c r="E5" s="108">
        <f>'FC Ratio aide FC'!E40</f>
        <v>3.669643847781991</v>
      </c>
      <c r="F5" s="108">
        <f>'FC Ratio aide FC'!F40</f>
        <v>3.3243281759936529</v>
      </c>
      <c r="G5" s="108">
        <f>'FC Ratio aide FC'!G40</f>
        <v>3.654243425308259</v>
      </c>
      <c r="H5" s="108">
        <f>'FC Ratio aide FC'!H40</f>
        <v>3.7036546743998251</v>
      </c>
      <c r="I5" s="108">
        <f>'FC Ratio aide FC'!I40</f>
        <v>3.6890555294540497</v>
      </c>
      <c r="J5" s="108">
        <f>'FC Ratio aide FC'!J40</f>
        <v>5.1127826811337327</v>
      </c>
      <c r="K5" s="108">
        <f>'FC Ratio aide FC'!K40</f>
        <v>4.8827751092636706</v>
      </c>
      <c r="L5" s="108">
        <f>'FC Ratio aide FC'!L40</f>
        <v>4.8666622909298694</v>
      </c>
      <c r="M5" s="108">
        <f>'FC Ratio aide FC'!M40</f>
        <v>3.7831621376608005</v>
      </c>
      <c r="N5" s="108">
        <f>'FC Ratio aide FC'!N40</f>
        <v>4.299196192461018</v>
      </c>
      <c r="O5" s="108">
        <f>'FC Ratio aide FC'!O40</f>
        <v>5.0687016479590516</v>
      </c>
      <c r="P5" s="108">
        <f>'FC Ratio aide FC'!P40</f>
        <v>6.8016441190347221</v>
      </c>
      <c r="Q5" s="108">
        <f>'FC Ratio aide FC'!Q40</f>
        <v>9.5369171511654507</v>
      </c>
      <c r="R5" s="108">
        <f>'FC Ratio aide FC'!R40</f>
        <v>4.0258089747848338</v>
      </c>
    </row>
    <row r="6" spans="2:18" x14ac:dyDescent="0.25">
      <c r="B6" s="9" t="s">
        <v>167</v>
      </c>
      <c r="C6" s="29">
        <f>'FC Ratio aide FC'!C41</f>
        <v>9.4273755151474621</v>
      </c>
      <c r="D6" s="29">
        <f>'FC Ratio aide FC'!D41</f>
        <v>6.8662819336742569</v>
      </c>
      <c r="E6" s="29">
        <f>'FC Ratio aide FC'!E41</f>
        <v>4.9445300052840633</v>
      </c>
      <c r="F6" s="29">
        <f>'FC Ratio aide FC'!F41</f>
        <v>4.2061358420056347</v>
      </c>
      <c r="G6" s="29">
        <f>'FC Ratio aide FC'!G41</f>
        <v>4.5458720676980811</v>
      </c>
      <c r="H6" s="29">
        <f>'FC Ratio aide FC'!H41</f>
        <v>5.0243477104977945</v>
      </c>
      <c r="I6" s="29">
        <f>'FC Ratio aide FC'!I41</f>
        <v>4.1473991345463919</v>
      </c>
      <c r="J6" s="29">
        <f>'FC Ratio aide FC'!J41</f>
        <v>6.1523676930633959</v>
      </c>
      <c r="K6" s="29">
        <f>'FC Ratio aide FC'!K41</f>
        <v>5.023043564093836</v>
      </c>
      <c r="L6" s="29">
        <f>'FC Ratio aide FC'!L41</f>
        <v>5.2621078694959413</v>
      </c>
      <c r="M6" s="29">
        <f>'FC Ratio aide FC'!M41</f>
        <v>4.3063041503187494</v>
      </c>
      <c r="N6" s="29">
        <f>'FC Ratio aide FC'!N41</f>
        <v>5.3318933410653475</v>
      </c>
      <c r="O6" s="29">
        <f>'FC Ratio aide FC'!O41</f>
        <v>6.0895835015697672</v>
      </c>
      <c r="P6" s="29">
        <f>'FC Ratio aide FC'!P41</f>
        <v>8.6143274056035111</v>
      </c>
      <c r="Q6" s="29">
        <f>'FC Ratio aide FC'!Q41</f>
        <v>11.436891751998099</v>
      </c>
      <c r="R6" s="29">
        <f>'FC Ratio aide FC'!R41</f>
        <v>5.031559488775474</v>
      </c>
    </row>
    <row r="7" spans="2:18" x14ac:dyDescent="0.25">
      <c r="B7" s="61" t="s">
        <v>172</v>
      </c>
      <c r="C7" s="62">
        <f>'FC Ratio aide FC'!C43</f>
        <v>9.6778484732258043</v>
      </c>
      <c r="D7" s="62">
        <f>'FC Ratio aide FC'!D43</f>
        <v>7.0491369067540699</v>
      </c>
      <c r="E7" s="62">
        <f>'FC Ratio aide FC'!E43</f>
        <v>5.1413489417455525</v>
      </c>
      <c r="F7" s="62">
        <f>'FC Ratio aide FC'!F43</f>
        <v>4.5394087982361704</v>
      </c>
      <c r="G7" s="62">
        <f>'FC Ratio aide FC'!G43</f>
        <v>4.7893103343555854</v>
      </c>
      <c r="H7" s="62">
        <f>'FC Ratio aide FC'!H43</f>
        <v>5.9200531791687272</v>
      </c>
      <c r="I7" s="62">
        <f>'FC Ratio aide FC'!I43</f>
        <v>4.4895379895867409</v>
      </c>
      <c r="J7" s="62">
        <f>'FC Ratio aide FC'!J43</f>
        <v>7.282108877636313</v>
      </c>
      <c r="K7" s="62">
        <f>'FC Ratio aide FC'!K43</f>
        <v>5.3310226799101326</v>
      </c>
      <c r="L7" s="62">
        <f>'FC Ratio aide FC'!L43</f>
        <v>6.5295924146863173</v>
      </c>
      <c r="M7" s="62">
        <f>'FC Ratio aide FC'!M43</f>
        <v>5.375903292848017</v>
      </c>
      <c r="N7" s="62">
        <f>'FC Ratio aide FC'!N43</f>
        <v>7.110148590405724</v>
      </c>
      <c r="O7" s="62">
        <f>'FC Ratio aide FC'!O43</f>
        <v>11.137262495583226</v>
      </c>
      <c r="P7" s="62">
        <f>'FC Ratio aide FC'!P43</f>
        <v>9.6411088254237747</v>
      </c>
      <c r="Q7" s="62">
        <f>'FC Ratio aide FC'!Q43</f>
        <v>11.528057703080339</v>
      </c>
      <c r="R7" s="62">
        <f>'FC Ratio aide FC'!R43</f>
        <v>7.2243268397596836</v>
      </c>
    </row>
    <row r="8" spans="2:18" x14ac:dyDescent="0.25">
      <c r="B8" s="61" t="s">
        <v>77</v>
      </c>
      <c r="C8" s="62">
        <f>'FC Ratio aide FC'!C42</f>
        <v>3.723158477331546</v>
      </c>
      <c r="D8" s="62">
        <f>'FC Ratio aide FC'!D42</f>
        <v>3.4160313826605355</v>
      </c>
      <c r="E8" s="62">
        <f>'FC Ratio aide FC'!E42</f>
        <v>3.7549612735491045</v>
      </c>
      <c r="F8" s="62">
        <f>'FC Ratio aide FC'!F42</f>
        <v>3.4914579510560699</v>
      </c>
      <c r="G8" s="62">
        <f>'FC Ratio aide FC'!G42</f>
        <v>3.7823029394193375</v>
      </c>
      <c r="H8" s="62">
        <f>'FC Ratio aide FC'!H42</f>
        <v>4.0587854674206145</v>
      </c>
      <c r="I8" s="62">
        <f>'FC Ratio aide FC'!I42</f>
        <v>3.8331621267141913</v>
      </c>
      <c r="J8" s="62">
        <f>'FC Ratio aide FC'!J42</f>
        <v>5.6439092778600539</v>
      </c>
      <c r="K8" s="62">
        <f>'FC Ratio aide FC'!K42</f>
        <v>5.1851657031615668</v>
      </c>
      <c r="L8" s="62">
        <f>'FC Ratio aide FC'!L42</f>
        <v>5.852862077316237</v>
      </c>
      <c r="M8" s="62">
        <f>'FC Ratio aide FC'!M42</f>
        <v>4.3251937396472391</v>
      </c>
      <c r="N8" s="62">
        <f>'FC Ratio aide FC'!N42</f>
        <v>5.0936116631630304</v>
      </c>
      <c r="O8" s="62">
        <f>'FC Ratio aide FC'!O42</f>
        <v>7.5245565765538585</v>
      </c>
      <c r="P8" s="62">
        <f>'FC Ratio aide FC'!P42</f>
        <v>7.4261601296217092</v>
      </c>
      <c r="Q8" s="62">
        <f>'FC Ratio aide FC'!Q42</f>
        <v>10.534367784393107</v>
      </c>
      <c r="R8" s="62">
        <f>'FC Ratio aide FC'!R42</f>
        <v>5.2583171807103426</v>
      </c>
    </row>
    <row r="9" spans="2:18" x14ac:dyDescent="0.25">
      <c r="B9" s="61" t="s">
        <v>171</v>
      </c>
      <c r="C9" s="62">
        <f>'FC Ratio aide FC'!C44</f>
        <v>9.6778484732258043</v>
      </c>
      <c r="D9" s="62">
        <f>'FC Ratio aide FC'!D44</f>
        <v>7.0491369067540717</v>
      </c>
      <c r="E9" s="62">
        <f>'FC Ratio aide FC'!E44</f>
        <v>5.1413489417455525</v>
      </c>
      <c r="F9" s="62">
        <f>'FC Ratio aide FC'!F44</f>
        <v>4.5394087982361686</v>
      </c>
      <c r="G9" s="62">
        <f>'FC Ratio aide FC'!G44</f>
        <v>4.7893103343555863</v>
      </c>
      <c r="H9" s="62">
        <f>'FC Ratio aide FC'!H44</f>
        <v>5.9200531791687272</v>
      </c>
      <c r="I9" s="62">
        <f>'FC Ratio aide FC'!I44</f>
        <v>4.4895379895867409</v>
      </c>
      <c r="J9" s="62">
        <f>'FC Ratio aide FC'!J44</f>
        <v>7.282108877636313</v>
      </c>
      <c r="K9" s="62">
        <f>'FC Ratio aide FC'!K44</f>
        <v>5.3717613528073986</v>
      </c>
      <c r="L9" s="62">
        <f>'FC Ratio aide FC'!L44</f>
        <v>6.6334020779165304</v>
      </c>
      <c r="M9" s="62">
        <f>'FC Ratio aide FC'!M44</f>
        <v>5.4023309998707054</v>
      </c>
      <c r="N9" s="62">
        <f>'FC Ratio aide FC'!N44</f>
        <v>7.3486810557287043</v>
      </c>
      <c r="O9" s="62">
        <f>'FC Ratio aide FC'!O44</f>
        <v>11.297447249441827</v>
      </c>
      <c r="P9" s="62">
        <f>'FC Ratio aide FC'!P44</f>
        <v>10.045985826606792</v>
      </c>
      <c r="Q9" s="62">
        <f>'FC Ratio aide FC'!Q44</f>
        <v>12.695749698491003</v>
      </c>
      <c r="R9" s="62">
        <f>'FC Ratio aide FC'!R44</f>
        <v>5.1039669045072085</v>
      </c>
    </row>
    <row r="10" spans="2:18" x14ac:dyDescent="0.25">
      <c r="B10" s="61" t="s">
        <v>90</v>
      </c>
      <c r="C10" s="62">
        <f>'FC Ratio aide FC'!C47</f>
        <v>3.8031396106942514</v>
      </c>
      <c r="D10" s="62">
        <f>'FC Ratio aide FC'!D47</f>
        <v>3.4433784794936622</v>
      </c>
      <c r="E10" s="62">
        <f>'FC Ratio aide FC'!E47</f>
        <v>3.7941542104117021</v>
      </c>
      <c r="F10" s="62">
        <f>'FC Ratio aide FC'!F47</f>
        <v>3.3857208567528509</v>
      </c>
      <c r="G10" s="62">
        <f>'FC Ratio aide FC'!G47</f>
        <v>3.7652074734307335</v>
      </c>
      <c r="H10" s="62">
        <f>'FC Ratio aide FC'!H47</f>
        <v>4.0874651299066214</v>
      </c>
      <c r="I10" s="62">
        <f>'FC Ratio aide FC'!I47</f>
        <v>4.1414755044007707</v>
      </c>
      <c r="J10" s="62">
        <f>'FC Ratio aide FC'!J47</f>
        <v>5.6034000462708278</v>
      </c>
      <c r="K10" s="62">
        <f>'FC Ratio aide FC'!K47</f>
        <v>5.8863891936777177</v>
      </c>
      <c r="L10" s="62">
        <f>'FC Ratio aide FC'!L47</f>
        <v>6.4967645064994484</v>
      </c>
      <c r="M10" s="62">
        <f>'FC Ratio aide FC'!M47</f>
        <v>4.7426868763871104</v>
      </c>
      <c r="N10" s="62">
        <f>'FC Ratio aide FC'!N47</f>
        <v>5.5981212591527392</v>
      </c>
      <c r="O10" s="62">
        <f>'FC Ratio aide FC'!O47</f>
        <v>5.7702834716780229</v>
      </c>
      <c r="P10" s="62">
        <f>'FC Ratio aide FC'!P47</f>
        <v>7.5853391575590035</v>
      </c>
      <c r="Q10" s="62">
        <f>'FC Ratio aide FC'!Q47</f>
        <v>0</v>
      </c>
      <c r="R10" s="62">
        <f>'FC Ratio aide FC'!R47</f>
        <v>5.5302143159754644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B4B1-8EB1-4581-9E32-5F4D9C3B1282}">
  <sheetPr>
    <tabColor theme="7" tint="0.39997558519241921"/>
  </sheetPr>
  <dimension ref="B2:Q22"/>
  <sheetViews>
    <sheetView zoomScale="70" zoomScaleNormal="70" workbookViewId="0">
      <selection activeCell="E6" sqref="E6"/>
    </sheetView>
  </sheetViews>
  <sheetFormatPr baseColWidth="10" defaultRowHeight="15" x14ac:dyDescent="0.25"/>
  <cols>
    <col min="1" max="1" width="4.28515625" style="2" customWidth="1"/>
    <col min="2" max="2" width="46.28515625" style="2" customWidth="1"/>
    <col min="3" max="16" width="11.42578125" style="2"/>
    <col min="17" max="17" width="15" style="2" customWidth="1"/>
    <col min="18" max="16384" width="11.42578125" style="2"/>
  </cols>
  <sheetData>
    <row r="2" spans="2:17" x14ac:dyDescent="0.25">
      <c r="B2" s="1" t="s">
        <v>35</v>
      </c>
    </row>
    <row r="4" spans="2:17" x14ac:dyDescent="0.25">
      <c r="B4" s="3"/>
      <c r="C4" s="4">
        <v>2009</v>
      </c>
      <c r="D4" s="4">
        <v>2010</v>
      </c>
      <c r="E4" s="4">
        <v>2011</v>
      </c>
      <c r="F4" s="4">
        <v>2012</v>
      </c>
      <c r="G4" s="4">
        <v>2013</v>
      </c>
      <c r="H4" s="4">
        <v>2014</v>
      </c>
      <c r="I4" s="4">
        <v>2015</v>
      </c>
      <c r="J4" s="4">
        <v>2016</v>
      </c>
      <c r="K4" s="4">
        <v>2017</v>
      </c>
      <c r="L4" s="4">
        <v>2018</v>
      </c>
      <c r="M4" s="4">
        <v>2019</v>
      </c>
      <c r="N4" s="4">
        <v>2020</v>
      </c>
      <c r="O4" s="4">
        <v>2021</v>
      </c>
      <c r="P4" s="4">
        <v>2022</v>
      </c>
      <c r="Q4" s="5" t="s">
        <v>1</v>
      </c>
    </row>
    <row r="5" spans="2:17" x14ac:dyDescent="0.25">
      <c r="B5" s="6" t="s">
        <v>36</v>
      </c>
      <c r="C5" s="28">
        <f>'FC 2009-2022 Aide k€'!C5*1000/('FC 2009-2022 Prod GWh'!C14*1000)/20</f>
        <v>3.5110603168352781</v>
      </c>
      <c r="D5" s="28">
        <f>'FC 2009-2022 Aide k€'!D5*1000/('FC 2009-2022 Prod GWh'!D14*1000)/20</f>
        <v>3.3085143848123466</v>
      </c>
      <c r="E5" s="28">
        <f>'FC 2009-2022 Aide k€'!E5*1000/('FC 2009-2022 Prod GWh'!E14*1000)/20</f>
        <v>3.4405329646132992</v>
      </c>
      <c r="F5" s="28">
        <f>'FC 2009-2022 Aide k€'!F5*1000/('FC 2009-2022 Prod GWh'!F14*1000)/20</f>
        <v>3.19984077603507</v>
      </c>
      <c r="G5" s="28">
        <f>'FC 2009-2022 Aide k€'!G5*1000/('FC 2009-2022 Prod GWh'!G14*1000)/20</f>
        <v>3.4559132060993547</v>
      </c>
      <c r="H5" s="28">
        <f>'FC 2009-2022 Aide k€'!H5*1000/('FC 2009-2022 Prod GWh'!H14*1000)/20</f>
        <v>3.0247799134319493</v>
      </c>
      <c r="I5" s="28">
        <f>'FC 2009-2022 Aide k€'!I5*1000/('FC 2009-2022 Prod GWh'!I14*1000)/20</f>
        <v>3.1958126885456606</v>
      </c>
      <c r="J5" s="28">
        <f>'FC 2009-2022 Aide k€'!J5*1000/('FC 2009-2022 Prod GWh'!J14*1000)/20</f>
        <v>4.3805505887018814</v>
      </c>
      <c r="K5" s="28">
        <f>'FC 2009-2022 Aide k€'!K5*1000/('FC 2009-2022 Prod GWh'!K14*1000)/20</f>
        <v>4.5023699281844829</v>
      </c>
      <c r="L5" s="28">
        <f>'FC 2009-2022 Aide k€'!L5*1000/('FC 2009-2022 Prod GWh'!L14*1000)/20</f>
        <v>4.5581509200855574</v>
      </c>
      <c r="M5" s="28">
        <f>'FC 2009-2022 Aide k€'!M5*1000/('FC 2009-2022 Prod GWh'!M14*1000)/20</f>
        <v>3.5713569755926473</v>
      </c>
      <c r="N5" s="28">
        <f>'FC 2009-2022 Aide k€'!N5*1000/('FC 2009-2022 Prod GWh'!N14*1000)/20</f>
        <v>4.0125197531745593</v>
      </c>
      <c r="O5" s="28">
        <f>'FC 2009-2022 Aide k€'!O5*1000/('FC 2009-2022 Prod GWh'!O14*1000)/20</f>
        <v>4.4935709084653386</v>
      </c>
      <c r="P5" s="28">
        <f>'FC 2009-2022 Aide k€'!P5*1000/('FC 2009-2022 Prod GWh'!P14*1000)/20</f>
        <v>6.295330225094987</v>
      </c>
      <c r="Q5" s="28">
        <f>'FC 2009-2022 Aide k€'!Q5*1000/('FC 2009-2022 Prod GWh'!Q14*1000)/20</f>
        <v>3.9343033532458258</v>
      </c>
    </row>
    <row r="6" spans="2:17" x14ac:dyDescent="0.25">
      <c r="B6" s="9" t="s">
        <v>37</v>
      </c>
      <c r="C6" s="29">
        <f>'FC 2009-2022 Aide k€'!C7*1000/('FC 2009-2022 Prod GWh'!C14*1000)/20</f>
        <v>3.7042782848537819</v>
      </c>
      <c r="D6" s="29">
        <f>'FC 2009-2022 Aide k€'!D7*1000/('FC 2009-2022 Prod GWh'!D14*1000)/20</f>
        <v>3.3909570541907081</v>
      </c>
      <c r="E6" s="29">
        <f>'FC 2009-2022 Aide k€'!E7*1000/('FC 2009-2022 Prod GWh'!E14*1000)/20</f>
        <v>3.669643847781991</v>
      </c>
      <c r="F6" s="29">
        <f>'FC 2009-2022 Aide k€'!F7*1000/('FC 2009-2022 Prod GWh'!F14*1000)/20</f>
        <v>3.3243281759936529</v>
      </c>
      <c r="G6" s="29">
        <f>'FC 2009-2022 Aide k€'!G7*1000/('FC 2009-2022 Prod GWh'!G14*1000)/20</f>
        <v>3.654243425308259</v>
      </c>
      <c r="H6" s="29">
        <f>'FC 2009-2022 Aide k€'!H7*1000/('FC 2009-2022 Prod GWh'!H14*1000)/20</f>
        <v>3.7036546743998251</v>
      </c>
      <c r="I6" s="29">
        <f>'FC 2009-2022 Aide k€'!I7*1000/('FC 2009-2022 Prod GWh'!I14*1000)/20</f>
        <v>3.6890555294540497</v>
      </c>
      <c r="J6" s="29">
        <f>'FC 2009-2022 Aide k€'!J7*1000/('FC 2009-2022 Prod GWh'!J14*1000)/20</f>
        <v>5.1127826811337336</v>
      </c>
      <c r="K6" s="29">
        <f>'FC 2009-2022 Aide k€'!K7*1000/('FC 2009-2022 Prod GWh'!K14*1000)/20</f>
        <v>4.9176501580561256</v>
      </c>
      <c r="L6" s="29">
        <f>'FC 2009-2022 Aide k€'!L7*1000/('FC 2009-2022 Prod GWh'!L14*1000)/20</f>
        <v>4.9473246290452035</v>
      </c>
      <c r="M6" s="29">
        <f>'FC 2009-2022 Aide k€'!M7*1000/('FC 2009-2022 Prod GWh'!M14*1000)/20</f>
        <v>3.7988714436031281</v>
      </c>
      <c r="N6" s="29">
        <f>'FC 2009-2022 Aide k€'!N7*1000/('FC 2009-2022 Prod GWh'!N14*1000)/20</f>
        <v>4.4262933804017122</v>
      </c>
      <c r="O6" s="29">
        <f>'FC 2009-2022 Aide k€'!O7*1000/('FC 2009-2022 Prod GWh'!O14*1000)/20</f>
        <v>5.2200628567196032</v>
      </c>
      <c r="P6" s="29">
        <f>'FC 2009-2022 Aide k€'!P7*1000/('FC 2009-2022 Prod GWh'!P14*1000)/20</f>
        <v>7.0890867296352225</v>
      </c>
      <c r="Q6" s="29">
        <f>'FC 2009-2022 Aide k€'!Q7*1000/('FC 2009-2022 Prod GWh'!Q14*1000)/20</f>
        <v>4.3274170753843197</v>
      </c>
    </row>
    <row r="8" spans="2:17" x14ac:dyDescent="0.25">
      <c r="B8" s="6" t="s">
        <v>38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>
        <f>'FC 2009-2022 Aide k€'!$O$24/'FC 2009-2022 Prod GWh'!$O$16/20</f>
        <v>2.7897061059910055</v>
      </c>
      <c r="P8" s="28">
        <f>'FC 2009-2022 Aide k€'!$P$24/'FC 2009-2022 Prod GWh'!$P$16/20</f>
        <v>3.4341451135181864</v>
      </c>
      <c r="Q8" s="28">
        <f>'FC 2009-2022 Aide k€'!$Q$24/'FC 2009-2022 Prod GWh'!$Q$16/20</f>
        <v>3.1945200318664115</v>
      </c>
    </row>
    <row r="9" spans="2:17" x14ac:dyDescent="0.25">
      <c r="B9" s="9" t="s">
        <v>39</v>
      </c>
      <c r="C9" s="29">
        <f>C6</f>
        <v>3.7042782848537819</v>
      </c>
      <c r="D9" s="29">
        <f t="shared" ref="D9:N9" si="0">D6</f>
        <v>3.3909570541907081</v>
      </c>
      <c r="E9" s="29">
        <f t="shared" si="0"/>
        <v>3.669643847781991</v>
      </c>
      <c r="F9" s="29">
        <f t="shared" si="0"/>
        <v>3.3243281759936529</v>
      </c>
      <c r="G9" s="29">
        <f t="shared" si="0"/>
        <v>3.654243425308259</v>
      </c>
      <c r="H9" s="29">
        <f t="shared" si="0"/>
        <v>3.7036546743998251</v>
      </c>
      <c r="I9" s="29">
        <f t="shared" si="0"/>
        <v>3.6890555294540497</v>
      </c>
      <c r="J9" s="29">
        <f t="shared" si="0"/>
        <v>5.1127826811337336</v>
      </c>
      <c r="K9" s="29">
        <f t="shared" si="0"/>
        <v>4.9176501580561256</v>
      </c>
      <c r="L9" s="29">
        <f t="shared" si="0"/>
        <v>4.9473246290452035</v>
      </c>
      <c r="M9" s="29">
        <f t="shared" si="0"/>
        <v>3.7988714436031281</v>
      </c>
      <c r="N9" s="29">
        <f t="shared" si="0"/>
        <v>4.4262933804017122</v>
      </c>
      <c r="O9" s="29">
        <f>'FC 2009-2022 Aide k€'!$O$25/'FC 2009-2022 Prod GWh'!$O$17/20</f>
        <v>3.9523907044103836</v>
      </c>
      <c r="P9" s="29">
        <f>'FC 2009-2022 Aide k€'!$P$25/'FC 2009-2022 Prod GWh'!$P$17/20</f>
        <v>5.1019979143111867</v>
      </c>
      <c r="Q9" s="29">
        <f>'FC 2009-2022 Aide k€'!Q25/'FC 2009-2022 Prod GWh'!Q17/20</f>
        <v>3.867994760175212</v>
      </c>
    </row>
    <row r="10" spans="2:17" x14ac:dyDescent="0.25">
      <c r="B10" s="9" t="s">
        <v>40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>
        <f>'FC 2009-2022 Aide k€'!O26/'FC 2009-2022 Prod GWh'!O17/20</f>
        <v>4.4481348490656902</v>
      </c>
      <c r="P10" s="29">
        <f>'FC 2009-2022 Aide k€'!P26/'FC 2009-2022 Prod GWh'!P17/20</f>
        <v>5.5646974453161944</v>
      </c>
      <c r="Q10" s="29">
        <f>'FC 2009-2022 Aide k€'!Q26/'FC 2009-2022 Prod GWh'!Q17/20</f>
        <v>4.2258727354694114</v>
      </c>
    </row>
    <row r="13" spans="2:17" x14ac:dyDescent="0.25">
      <c r="B13" s="1" t="s">
        <v>41</v>
      </c>
    </row>
    <row r="15" spans="2:17" x14ac:dyDescent="0.25">
      <c r="B15" s="3"/>
      <c r="C15" s="4">
        <v>2009</v>
      </c>
      <c r="D15" s="4">
        <v>2010</v>
      </c>
      <c r="E15" s="4">
        <v>2011</v>
      </c>
      <c r="F15" s="4">
        <v>2012</v>
      </c>
      <c r="G15" s="4">
        <v>2013</v>
      </c>
      <c r="H15" s="4">
        <v>2014</v>
      </c>
      <c r="I15" s="4">
        <v>2015</v>
      </c>
      <c r="J15" s="4">
        <v>2016</v>
      </c>
      <c r="K15" s="4">
        <v>2017</v>
      </c>
      <c r="L15" s="4">
        <v>2018</v>
      </c>
      <c r="M15" s="4">
        <v>2019</v>
      </c>
      <c r="N15" s="4">
        <v>2020</v>
      </c>
      <c r="O15" s="4">
        <v>2021</v>
      </c>
      <c r="P15" s="4">
        <v>2022</v>
      </c>
      <c r="Q15" s="5" t="s">
        <v>1</v>
      </c>
    </row>
    <row r="16" spans="2:17" x14ac:dyDescent="0.25">
      <c r="B16" s="6" t="s">
        <v>42</v>
      </c>
      <c r="C16" s="30">
        <v>3.981083404987102</v>
      </c>
      <c r="D16" s="31">
        <v>3.7317282889079961</v>
      </c>
      <c r="E16" s="30">
        <v>2.2527944969905414</v>
      </c>
      <c r="F16" s="31">
        <v>2.0464316423043853</v>
      </c>
      <c r="G16" s="30">
        <v>2.287188306104901</v>
      </c>
      <c r="H16" s="31">
        <v>2.7411865864144453</v>
      </c>
      <c r="I16" s="30">
        <v>2.4110060189165949</v>
      </c>
      <c r="J16" s="31">
        <v>3.7644024075666378</v>
      </c>
      <c r="K16" s="30">
        <v>3.5511607910576091</v>
      </c>
      <c r="L16" s="31">
        <v>3.5795356835769563</v>
      </c>
      <c r="M16" s="30">
        <v>2.6208082545141873</v>
      </c>
      <c r="N16" s="31">
        <v>5.3138435081685289</v>
      </c>
      <c r="O16" s="30">
        <v>5.26</v>
      </c>
      <c r="P16" s="31">
        <v>8.4991654021338583</v>
      </c>
      <c r="Q16" s="30"/>
    </row>
    <row r="17" spans="2:17" x14ac:dyDescent="0.25">
      <c r="B17" s="6" t="s">
        <v>8</v>
      </c>
      <c r="C17" s="30">
        <v>1.8311340504280953</v>
      </c>
      <c r="D17" s="31">
        <v>1.7310294947836564</v>
      </c>
      <c r="E17" s="30">
        <v>1.5192273651849009</v>
      </c>
      <c r="F17" s="31">
        <v>1.6722206543208074</v>
      </c>
      <c r="G17" s="30">
        <v>1.5927656415955866</v>
      </c>
      <c r="H17" s="31">
        <v>1.5314676955940274</v>
      </c>
      <c r="I17" s="30">
        <v>2.6475899326311367</v>
      </c>
      <c r="J17" s="31">
        <v>2.5758525909392316</v>
      </c>
      <c r="K17" s="30">
        <v>3.2129661337784214</v>
      </c>
      <c r="L17" s="31">
        <v>3.1872971428139776</v>
      </c>
      <c r="M17" s="30">
        <v>2.0199379249358858</v>
      </c>
      <c r="N17" s="31">
        <v>2.2200570672976547</v>
      </c>
      <c r="O17" s="30">
        <v>2.5133708232299781</v>
      </c>
      <c r="P17" s="31">
        <v>3.8532021411514199</v>
      </c>
      <c r="Q17" s="30"/>
    </row>
    <row r="18" spans="2:17" x14ac:dyDescent="0.25">
      <c r="B18" s="6" t="s">
        <v>9</v>
      </c>
      <c r="C18" s="30">
        <v>5.3552423500832784</v>
      </c>
      <c r="D18" s="31">
        <v>6.9816122067988173</v>
      </c>
      <c r="E18" s="30">
        <v>3.6875332669804308</v>
      </c>
      <c r="F18" s="31">
        <v>4.5028839150196429</v>
      </c>
      <c r="G18" s="30">
        <v>1.9678009408767452</v>
      </c>
      <c r="H18" s="31">
        <v>2.9108480466507092</v>
      </c>
      <c r="I18" s="30">
        <v>2.3906700122609807</v>
      </c>
      <c r="J18" s="31">
        <v>7.5795356835769558</v>
      </c>
      <c r="K18" s="30">
        <v>7.3000859845227861</v>
      </c>
      <c r="L18" s="31">
        <v>4</v>
      </c>
      <c r="M18" s="30">
        <v>5.6835769561478928</v>
      </c>
      <c r="N18" s="31">
        <v>5.0060189165950124</v>
      </c>
      <c r="O18" s="30">
        <v>3.71</v>
      </c>
      <c r="P18" s="31">
        <v>7.371315378729018</v>
      </c>
      <c r="Q18" s="30"/>
    </row>
    <row r="19" spans="2:17" x14ac:dyDescent="0.25">
      <c r="B19" s="6" t="s">
        <v>10</v>
      </c>
      <c r="C19" s="30">
        <v>2.1840068787618225</v>
      </c>
      <c r="D19" s="31">
        <v>1.4445399828030954</v>
      </c>
      <c r="E19" s="30">
        <v>0.81685296646603611</v>
      </c>
      <c r="F19" s="31"/>
      <c r="G19" s="30">
        <v>0.83404987102321571</v>
      </c>
      <c r="H19" s="31">
        <v>0.87704213241616502</v>
      </c>
      <c r="I19" s="30">
        <v>3.1427343078245911</v>
      </c>
      <c r="J19" s="31">
        <v>2.6758383490971624</v>
      </c>
      <c r="K19" s="30">
        <v>3.2674118658641444</v>
      </c>
      <c r="L19" s="31">
        <v>1.7901977644024074</v>
      </c>
      <c r="M19" s="30">
        <v>2.4548581255374033</v>
      </c>
      <c r="N19" s="31">
        <v>2.3301805674978504</v>
      </c>
      <c r="O19" s="30">
        <v>1.54</v>
      </c>
      <c r="P19" s="31">
        <v>3.0344026243229165</v>
      </c>
      <c r="Q19" s="30"/>
    </row>
    <row r="20" spans="2:17" x14ac:dyDescent="0.25">
      <c r="B20" s="6" t="s">
        <v>11</v>
      </c>
      <c r="C20" s="30">
        <v>51.83614998776909</v>
      </c>
      <c r="D20" s="31">
        <v>50.44721895281004</v>
      </c>
      <c r="E20" s="30">
        <v>44.080570522431586</v>
      </c>
      <c r="F20" s="31">
        <v>45.200794998807424</v>
      </c>
      <c r="G20" s="30">
        <v>44.552659907139812</v>
      </c>
      <c r="H20" s="31">
        <v>45.888773918999661</v>
      </c>
      <c r="I20" s="30">
        <v>50.673875820507924</v>
      </c>
      <c r="J20" s="31">
        <v>47.29148753224419</v>
      </c>
      <c r="K20" s="30">
        <v>33.135593220338976</v>
      </c>
      <c r="L20" s="31">
        <v>23.823657411437026</v>
      </c>
      <c r="M20" s="30">
        <v>24.215002103813639</v>
      </c>
      <c r="N20" s="31">
        <v>29.148753224419604</v>
      </c>
      <c r="O20" s="30">
        <v>23</v>
      </c>
      <c r="P20" s="31">
        <v>26.254536637582248</v>
      </c>
      <c r="Q20" s="30"/>
    </row>
    <row r="21" spans="2:17" x14ac:dyDescent="0.25">
      <c r="B21" s="6" t="s">
        <v>31</v>
      </c>
      <c r="C21" s="30"/>
      <c r="D21" s="31"/>
      <c r="E21" s="30"/>
      <c r="F21" s="31"/>
      <c r="G21" s="30"/>
      <c r="H21" s="31"/>
      <c r="I21" s="30">
        <v>1.4015477214101462</v>
      </c>
      <c r="J21" s="31">
        <v>0.51074806534823736</v>
      </c>
      <c r="K21" s="30">
        <v>0.65348237317282887</v>
      </c>
      <c r="L21" s="31">
        <v>0.69372312983662932</v>
      </c>
      <c r="M21" s="30">
        <v>1.1255374032674117</v>
      </c>
      <c r="N21" s="31">
        <v>1.1797076526225279</v>
      </c>
      <c r="O21" s="30">
        <v>2.4500000000000002</v>
      </c>
      <c r="P21" s="31">
        <v>4.0579169813060219</v>
      </c>
      <c r="Q21" s="30"/>
    </row>
    <row r="22" spans="2:17" x14ac:dyDescent="0.25">
      <c r="B22" s="6" t="s">
        <v>30</v>
      </c>
      <c r="C22" s="30">
        <v>604</v>
      </c>
      <c r="D22" s="31">
        <v>426</v>
      </c>
      <c r="E22" s="30">
        <v>357</v>
      </c>
      <c r="F22" s="31">
        <v>254</v>
      </c>
      <c r="G22" s="30">
        <v>276</v>
      </c>
      <c r="H22" s="31">
        <v>250</v>
      </c>
      <c r="I22" s="30">
        <v>278</v>
      </c>
      <c r="J22" s="31">
        <v>403.78</v>
      </c>
      <c r="K22" s="30">
        <v>379</v>
      </c>
      <c r="L22" s="31">
        <v>313.24</v>
      </c>
      <c r="M22" s="30">
        <v>326</v>
      </c>
      <c r="N22" s="31">
        <v>342</v>
      </c>
      <c r="O22" s="30">
        <v>522</v>
      </c>
      <c r="P22" s="31">
        <v>580.40793128214568</v>
      </c>
      <c r="Q22" s="3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94677-E3DB-4664-9199-84A365816786}">
  <sheetPr>
    <tabColor theme="7" tint="0.39997558519241921"/>
  </sheetPr>
  <dimension ref="B2:R8"/>
  <sheetViews>
    <sheetView zoomScale="85" zoomScaleNormal="85" workbookViewId="0">
      <selection activeCell="P9" sqref="P9"/>
    </sheetView>
  </sheetViews>
  <sheetFormatPr baseColWidth="10" defaultRowHeight="12.75" x14ac:dyDescent="0.2"/>
  <cols>
    <col min="1" max="1" width="4.7109375" style="17" customWidth="1"/>
    <col min="2" max="2" width="18.140625" style="17" customWidth="1"/>
    <col min="3" max="3" width="15.140625" style="17" bestFit="1" customWidth="1"/>
    <col min="4" max="4" width="15.5703125" style="17" customWidth="1"/>
    <col min="5" max="13" width="14" style="17" customWidth="1"/>
    <col min="14" max="17" width="16.140625" style="17" customWidth="1"/>
    <col min="18" max="18" width="18.140625" style="17" customWidth="1"/>
    <col min="19" max="19" width="10.7109375" style="17" customWidth="1"/>
    <col min="20" max="20" width="12" style="17" bestFit="1" customWidth="1"/>
    <col min="21" max="21" width="14.140625" style="17" bestFit="1" customWidth="1"/>
    <col min="22" max="16384" width="11.42578125" style="17"/>
  </cols>
  <sheetData>
    <row r="2" spans="2:18" ht="15" x14ac:dyDescent="0.25">
      <c r="B2" s="1" t="s">
        <v>43</v>
      </c>
      <c r="K2" s="18"/>
      <c r="L2" s="18"/>
      <c r="M2" s="18"/>
      <c r="N2" s="18"/>
      <c r="O2" s="18"/>
      <c r="P2" s="18"/>
      <c r="Q2" s="18"/>
    </row>
    <row r="4" spans="2:18" x14ac:dyDescent="0.2">
      <c r="B4" s="19"/>
      <c r="C4" s="20">
        <v>2009</v>
      </c>
      <c r="D4" s="20">
        <v>2010</v>
      </c>
      <c r="E4" s="20">
        <v>2011</v>
      </c>
      <c r="F4" s="20">
        <v>2012</v>
      </c>
      <c r="G4" s="20">
        <v>2013</v>
      </c>
      <c r="H4" s="20">
        <v>2014</v>
      </c>
      <c r="I4" s="20">
        <v>2015</v>
      </c>
      <c r="J4" s="20">
        <v>2016</v>
      </c>
      <c r="K4" s="20">
        <v>2017</v>
      </c>
      <c r="L4" s="20">
        <v>2018</v>
      </c>
      <c r="M4" s="20">
        <v>2019</v>
      </c>
      <c r="N4" s="20">
        <v>2020</v>
      </c>
      <c r="O4" s="20">
        <v>2021</v>
      </c>
      <c r="P4" s="20">
        <v>2022</v>
      </c>
      <c r="Q4" s="20">
        <v>2023</v>
      </c>
      <c r="R4" s="21" t="s">
        <v>1</v>
      </c>
    </row>
    <row r="5" spans="2:18" s="41" customFormat="1" x14ac:dyDescent="0.2">
      <c r="B5" s="40" t="s">
        <v>50</v>
      </c>
      <c r="C5" s="40">
        <v>114032</v>
      </c>
      <c r="D5" s="40">
        <v>190663.4</v>
      </c>
      <c r="E5" s="40">
        <v>259430</v>
      </c>
      <c r="F5" s="40">
        <v>394910.5</v>
      </c>
      <c r="G5" s="40">
        <v>348045</v>
      </c>
      <c r="H5" s="40">
        <v>199364</v>
      </c>
      <c r="I5" s="40">
        <v>180392</v>
      </c>
      <c r="J5" s="40">
        <v>197064.5</v>
      </c>
      <c r="K5" s="40">
        <v>230531</v>
      </c>
      <c r="L5" s="40">
        <v>377917</v>
      </c>
      <c r="M5" s="40">
        <v>316877.5</v>
      </c>
      <c r="N5" s="40">
        <v>373657</v>
      </c>
      <c r="O5" s="40">
        <v>264088</v>
      </c>
      <c r="P5" s="40">
        <v>380105</v>
      </c>
      <c r="Q5" s="40">
        <v>336825</v>
      </c>
      <c r="R5" s="40">
        <f>SUM(C5:P5)</f>
        <v>3827076.9</v>
      </c>
    </row>
    <row r="6" spans="2:18" x14ac:dyDescent="0.2">
      <c r="B6" s="6" t="s">
        <v>179</v>
      </c>
      <c r="C6" s="7">
        <v>604</v>
      </c>
      <c r="D6" s="8">
        <v>426</v>
      </c>
      <c r="E6" s="7">
        <v>357</v>
      </c>
      <c r="F6" s="8">
        <v>254</v>
      </c>
      <c r="G6" s="7">
        <v>276</v>
      </c>
      <c r="H6" s="8">
        <v>250</v>
      </c>
      <c r="I6" s="7">
        <v>278</v>
      </c>
      <c r="J6" s="8">
        <v>403.78</v>
      </c>
      <c r="K6" s="7">
        <v>379</v>
      </c>
      <c r="L6" s="8">
        <v>313.24</v>
      </c>
      <c r="M6" s="7">
        <v>326</v>
      </c>
      <c r="N6" s="8">
        <v>342</v>
      </c>
      <c r="O6" s="7">
        <v>522</v>
      </c>
      <c r="P6" s="8">
        <v>580.40793128214568</v>
      </c>
      <c r="Q6" s="8">
        <f>'FC Ratio aide FC'!Q22</f>
        <v>586.38338148890375</v>
      </c>
      <c r="R6" s="40">
        <f>R8/R5</f>
        <v>411.92253329166181</v>
      </c>
    </row>
    <row r="8" spans="2:18" x14ac:dyDescent="0.2">
      <c r="R8" s="17">
        <f>'FC Aide k€ FC'!$R$17*1000</f>
        <v>1576459211.7499998</v>
      </c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8CFA-CB61-45DC-A55F-1D6D97FBC0FC}">
  <sheetPr>
    <tabColor theme="7" tint="0.39997558519241921"/>
  </sheetPr>
  <dimension ref="B2:W37"/>
  <sheetViews>
    <sheetView zoomScale="85" zoomScaleNormal="85" workbookViewId="0">
      <selection activeCell="P7" sqref="P7"/>
    </sheetView>
  </sheetViews>
  <sheetFormatPr baseColWidth="10" defaultRowHeight="15" x14ac:dyDescent="0.25"/>
  <cols>
    <col min="1" max="1" width="5.7109375" style="2" customWidth="1"/>
    <col min="2" max="2" width="51.85546875" style="2" customWidth="1"/>
    <col min="3" max="3" width="11.42578125" style="2"/>
    <col min="4" max="4" width="15.28515625" style="2" customWidth="1"/>
    <col min="5" max="5" width="17.140625" style="2" customWidth="1"/>
    <col min="6" max="15" width="11.42578125" style="2"/>
    <col min="16" max="16" width="14.85546875" style="2" bestFit="1" customWidth="1"/>
    <col min="17" max="17" width="14.85546875" style="2" customWidth="1"/>
    <col min="18" max="19" width="15" style="2" customWidth="1"/>
    <col min="20" max="21" width="11.42578125" style="2"/>
    <col min="22" max="22" width="16.140625" style="2" customWidth="1"/>
    <col min="23" max="23" width="16.28515625" style="2" customWidth="1"/>
    <col min="24" max="16384" width="11.42578125" style="2"/>
  </cols>
  <sheetData>
    <row r="2" spans="2:23" x14ac:dyDescent="0.25">
      <c r="B2" s="1" t="s">
        <v>52</v>
      </c>
    </row>
    <row r="4" spans="2:23" x14ac:dyDescent="0.25">
      <c r="B4" s="3"/>
      <c r="C4" s="4">
        <v>2009</v>
      </c>
      <c r="D4" s="4">
        <v>2010</v>
      </c>
      <c r="E4" s="4">
        <v>2011</v>
      </c>
      <c r="F4" s="4">
        <v>2012</v>
      </c>
      <c r="G4" s="4">
        <v>2013</v>
      </c>
      <c r="H4" s="4">
        <v>2014</v>
      </c>
      <c r="I4" s="4">
        <v>2015</v>
      </c>
      <c r="J4" s="4">
        <v>2016</v>
      </c>
      <c r="K4" s="4">
        <v>2017</v>
      </c>
      <c r="L4" s="4">
        <v>2018</v>
      </c>
      <c r="M4" s="4">
        <v>2019</v>
      </c>
      <c r="N4" s="4">
        <v>2020</v>
      </c>
      <c r="O4" s="4">
        <v>2021</v>
      </c>
      <c r="P4" s="4">
        <v>2022</v>
      </c>
      <c r="Q4" s="4">
        <v>2023</v>
      </c>
      <c r="R4" s="5" t="s">
        <v>1</v>
      </c>
    </row>
    <row r="5" spans="2:23" x14ac:dyDescent="0.25">
      <c r="B5" s="6" t="s">
        <v>51</v>
      </c>
      <c r="C5" s="43">
        <v>0.2922406666325254</v>
      </c>
      <c r="D5" s="43">
        <v>0.4472054406007282</v>
      </c>
      <c r="E5" s="43">
        <v>0.30722243373534952</v>
      </c>
      <c r="F5" s="43">
        <v>0.27844160068188212</v>
      </c>
      <c r="G5" s="43">
        <v>0.24677710705256875</v>
      </c>
      <c r="H5" s="43">
        <v>0.2646283785375339</v>
      </c>
      <c r="I5" s="43">
        <v>0.28827555683755185</v>
      </c>
      <c r="J5" s="43">
        <v>0.34901193309208606</v>
      </c>
      <c r="K5" s="43">
        <v>0.28734750488715372</v>
      </c>
      <c r="L5" s="43">
        <v>0.26745376964080092</v>
      </c>
      <c r="M5" s="43">
        <v>0.22228543341932702</v>
      </c>
      <c r="N5" s="43">
        <v>0.21591647315053844</v>
      </c>
      <c r="O5" s="43">
        <v>0.21495160495789825</v>
      </c>
      <c r="P5" s="43">
        <v>0.29468276781094194</v>
      </c>
      <c r="Q5" s="109">
        <v>0.34625462325836331</v>
      </c>
      <c r="R5" s="43">
        <f>'FC Aide k€ FC'!R5/'FC Invest. k€'!R5</f>
        <v>0.27940521917909877</v>
      </c>
    </row>
    <row r="6" spans="2:23" x14ac:dyDescent="0.25">
      <c r="B6" s="6" t="s">
        <v>53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>
        <f>'FC 2009-2022 Aide k€'!P6/'FC Invest. k€'!P6</f>
        <v>0.51964816126225499</v>
      </c>
      <c r="Q6" s="43">
        <v>0.46800000000000003</v>
      </c>
      <c r="R6" s="43"/>
      <c r="S6" s="38" t="s">
        <v>47</v>
      </c>
    </row>
    <row r="7" spans="2:23" x14ac:dyDescent="0.25">
      <c r="B7" s="9" t="s">
        <v>54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>
        <f>'FC 2009-2022 Aide k€'!P7/'FC Invest. k€'!P7</f>
        <v>0.30969471842596158</v>
      </c>
      <c r="Q7" s="43">
        <v>0.35885747489446856</v>
      </c>
      <c r="R7" s="43">
        <f>'FC Aide k€ FC'!R7/'FC Invest. k€'!R7</f>
        <v>0.30270261049415659</v>
      </c>
    </row>
    <row r="10" spans="2:23" x14ac:dyDescent="0.25">
      <c r="B10" s="1" t="s">
        <v>55</v>
      </c>
    </row>
    <row r="12" spans="2:23" x14ac:dyDescent="0.25">
      <c r="B12" s="3"/>
      <c r="C12" s="4">
        <v>2009</v>
      </c>
      <c r="D12" s="4">
        <v>2010</v>
      </c>
      <c r="E12" s="4">
        <v>2011</v>
      </c>
      <c r="F12" s="4">
        <v>2012</v>
      </c>
      <c r="G12" s="4">
        <v>2013</v>
      </c>
      <c r="H12" s="4">
        <v>2014</v>
      </c>
      <c r="I12" s="4">
        <v>2015</v>
      </c>
      <c r="J12" s="4">
        <v>2016</v>
      </c>
      <c r="K12" s="39">
        <v>2017</v>
      </c>
      <c r="L12" s="39">
        <v>2018</v>
      </c>
      <c r="M12" s="39">
        <v>2019</v>
      </c>
      <c r="N12" s="39">
        <v>2020</v>
      </c>
      <c r="O12" s="39">
        <v>2021</v>
      </c>
      <c r="P12" s="39">
        <v>2022</v>
      </c>
      <c r="Q12" s="4">
        <v>2023</v>
      </c>
      <c r="R12" s="5" t="s">
        <v>1</v>
      </c>
      <c r="T12" s="34"/>
      <c r="U12" s="34"/>
      <c r="V12" s="34"/>
      <c r="W12" s="34"/>
    </row>
    <row r="13" spans="2:23" x14ac:dyDescent="0.25">
      <c r="B13" s="11" t="s">
        <v>7</v>
      </c>
      <c r="C13" s="43">
        <f>'FC Aide k€ FC'!C12/'FC Invest. k€'!C13</f>
        <v>0.32053042189679221</v>
      </c>
      <c r="D13" s="43">
        <f>'FC Aide k€ FC'!D12/'FC Invest. k€'!D13</f>
        <v>0.3679910254620602</v>
      </c>
      <c r="E13" s="43">
        <f>'FC Aide k€ FC'!E12/'FC Invest. k€'!E13</f>
        <v>0.23486305888487852</v>
      </c>
      <c r="F13" s="43">
        <f>'FC Aide k€ FC'!F12/'FC Invest. k€'!F13</f>
        <v>0.21057179980440077</v>
      </c>
      <c r="G13" s="43">
        <f>'FC Aide k€ FC'!G12/'FC Invest. k€'!G13</f>
        <v>0.24497674731984909</v>
      </c>
      <c r="H13" s="43">
        <f>'FC Aide k€ FC'!H12/'FC Invest. k€'!H13</f>
        <v>0.26075386806351841</v>
      </c>
      <c r="I13" s="43">
        <f>'FC Aide k€ FC'!I12/'FC Invest. k€'!I13</f>
        <v>0.26591229456139442</v>
      </c>
      <c r="J13" s="43">
        <f>'FC Aide k€ FC'!J12/'FC Invest. k€'!J13</f>
        <v>0.32586573891422721</v>
      </c>
      <c r="K13" s="43">
        <f>'FC Aide k€ FC'!K12/'FC Invest. k€'!K13</f>
        <v>0.36932192964890903</v>
      </c>
      <c r="L13" s="43">
        <f>'FC Aide k€ FC'!L12/'FC Invest. k€'!L13</f>
        <v>0.2818665167289186</v>
      </c>
      <c r="M13" s="43">
        <f>'FC Aide k€ FC'!M12/'FC Invest. k€'!M13</f>
        <v>0.25612107077513852</v>
      </c>
      <c r="N13" s="43">
        <f>'FC Aide k€ FC'!N12/'FC Invest. k€'!N13</f>
        <v>0.23422779830221821</v>
      </c>
      <c r="O13" s="43">
        <f>'FC Aide k€ FC'!O12/'FC Invest. k€'!O13</f>
        <v>0.33771738173139959</v>
      </c>
      <c r="P13" s="43">
        <f>'FC Aide k€ FC'!P12/'FC Invest. k€'!P13</f>
        <v>0.24675418928828338</v>
      </c>
      <c r="Q13" s="43">
        <f>'FC Aide k€ FC'!Q12/'FC Invest. k€'!Q13</f>
        <v>0.378577316756327</v>
      </c>
      <c r="R13" s="43">
        <f>'FC Aide k€ FC'!R12/'FC Invest. k€'!R13</f>
        <v>0.28877525930474468</v>
      </c>
      <c r="S13" s="37">
        <v>126862.98816860002</v>
      </c>
      <c r="T13" s="34">
        <v>3886.9</v>
      </c>
      <c r="U13" s="35">
        <f t="shared" ref="U13:U21" si="0">P13-R13</f>
        <v>-4.2021070016461298E-2</v>
      </c>
      <c r="V13" s="36">
        <f>U13-T13</f>
        <v>-3886.9420210700164</v>
      </c>
      <c r="W13" s="35">
        <f>T13+V13+R13</f>
        <v>0.24675418928845494</v>
      </c>
    </row>
    <row r="14" spans="2:23" x14ac:dyDescent="0.25">
      <c r="B14" s="11" t="s">
        <v>8</v>
      </c>
      <c r="C14" s="43">
        <f>'FC Aide k€ FC'!C13/'FC Invest. k€'!C14</f>
        <v>0.40850944771224817</v>
      </c>
      <c r="D14" s="43">
        <f>'FC Aide k€ FC'!D13/'FC Invest. k€'!D14</f>
        <v>0.45383221032154369</v>
      </c>
      <c r="E14" s="43">
        <f>'FC Aide k€ FC'!E13/'FC Invest. k€'!E14</f>
        <v>0.31315630971419933</v>
      </c>
      <c r="F14" s="43">
        <f>'FC Aide k€ FC'!F13/'FC Invest. k€'!F14</f>
        <v>0.36127415117929595</v>
      </c>
      <c r="G14" s="43">
        <f>'FC Aide k€ FC'!G13/'FC Invest. k€'!G14</f>
        <v>0.33706275366822636</v>
      </c>
      <c r="H14" s="43">
        <f>'FC Aide k€ FC'!H13/'FC Invest. k€'!H14</f>
        <v>0.29328596438024523</v>
      </c>
      <c r="I14" s="43">
        <f>'FC Aide k€ FC'!I13/'FC Invest. k€'!I14</f>
        <v>0.42977610516652304</v>
      </c>
      <c r="J14" s="43">
        <f>'FC Aide k€ FC'!J13/'FC Invest. k€'!J14</f>
        <v>0.42770213217575498</v>
      </c>
      <c r="K14" s="43">
        <f>'FC Aide k€ FC'!K13/'FC Invest. k€'!K14</f>
        <v>0.49173818899456645</v>
      </c>
      <c r="L14" s="43">
        <f>'FC Aide k€ FC'!L13/'FC Invest. k€'!L14</f>
        <v>0.37373021998561468</v>
      </c>
      <c r="M14" s="43">
        <f>'FC Aide k€ FC'!M13/'FC Invest. k€'!M14</f>
        <v>0.31459094352127909</v>
      </c>
      <c r="N14" s="43">
        <f>'FC Aide k€ FC'!N13/'FC Invest. k€'!N14</f>
        <v>0.34806301601799772</v>
      </c>
      <c r="O14" s="43">
        <f>'FC Aide k€ FC'!O13/'FC Invest. k€'!O14</f>
        <v>0.3649213044201825</v>
      </c>
      <c r="P14" s="43">
        <f>'FC Aide k€ FC'!P13/'FC Invest. k€'!P14</f>
        <v>0.35818382864086418</v>
      </c>
      <c r="Q14" s="43">
        <f>'FC Aide k€ FC'!Q13/'FC Invest. k€'!Q14</f>
        <v>0.36697297676014357</v>
      </c>
      <c r="R14" s="43">
        <f>'FC Aide k€ FC'!R13/'FC Invest. k€'!R14</f>
        <v>0.37291883141453691</v>
      </c>
      <c r="S14" s="37"/>
      <c r="T14" s="34"/>
      <c r="U14" s="35">
        <f t="shared" si="0"/>
        <v>-1.4735002773672734E-2</v>
      </c>
      <c r="V14" s="36">
        <f t="shared" ref="V14:V22" si="1">U14-T14</f>
        <v>-1.4735002773672734E-2</v>
      </c>
      <c r="W14" s="35">
        <f t="shared" ref="W14:W21" si="2">T14+V14+R14</f>
        <v>0.35818382864086418</v>
      </c>
    </row>
    <row r="15" spans="2:23" x14ac:dyDescent="0.25">
      <c r="B15" s="11" t="s">
        <v>9</v>
      </c>
      <c r="C15" s="43">
        <f>'FC Aide k€ FC'!C14/'FC Invest. k€'!C15</f>
        <v>0.26760563380281688</v>
      </c>
      <c r="D15" s="43">
        <f>'FC Aide k€ FC'!D14/'FC Invest. k€'!D15</f>
        <v>0.36940812350884822</v>
      </c>
      <c r="E15" s="43">
        <f>'FC Aide k€ FC'!E14/'FC Invest. k€'!E15</f>
        <v>0.24347124286144858</v>
      </c>
      <c r="F15" s="43">
        <f>'FC Aide k€ FC'!F14/'FC Invest. k€'!F15</f>
        <v>0.18739755289188315</v>
      </c>
      <c r="G15" s="43">
        <f>'FC Aide k€ FC'!G14/'FC Invest. k€'!G15</f>
        <v>0.12975155616020692</v>
      </c>
      <c r="H15" s="43">
        <f>'FC Aide k€ FC'!H14/'FC Invest. k€'!H15</f>
        <v>0.13583069653741556</v>
      </c>
      <c r="I15" s="43">
        <f>'FC Aide k€ FC'!I14/'FC Invest. k€'!I15</f>
        <v>0.22803753229923543</v>
      </c>
      <c r="J15" s="43">
        <f>'FC Aide k€ FC'!J14/'FC Invest. k€'!J15</f>
        <v>0.26341512688384949</v>
      </c>
      <c r="K15" s="43">
        <f>'FC Aide k€ FC'!K14/'FC Invest. k€'!K15</f>
        <v>0.23582446749943844</v>
      </c>
      <c r="L15" s="43">
        <f>'FC Aide k€ FC'!L14/'FC Invest. k€'!L15</f>
        <v>0.21645678455413334</v>
      </c>
      <c r="M15" s="43">
        <f>'FC Aide k€ FC'!M14/'FC Invest. k€'!M15</f>
        <v>0.24715312133714262</v>
      </c>
      <c r="N15" s="43">
        <f>'FC Aide k€ FC'!N14/'FC Invest. k€'!N15</f>
        <v>0.2921563621197848</v>
      </c>
      <c r="O15" s="43">
        <f>'FC Aide k€ FC'!O14/'FC Invest. k€'!O15</f>
        <v>0.18900023893259818</v>
      </c>
      <c r="P15" s="43">
        <f>'FC Aide k€ FC'!P14/'FC Invest. k€'!P15</f>
        <v>0.2575885446219649</v>
      </c>
      <c r="Q15" s="43">
        <f>'FC Aide k€ FC'!Q14/'FC Invest. k€'!Q15</f>
        <v>0.28300404355299585</v>
      </c>
      <c r="R15" s="43">
        <f>'FC Aide k€ FC'!R14/'FC Invest. k€'!R15</f>
        <v>0.23743522085732849</v>
      </c>
      <c r="S15" s="37">
        <v>20818.200979400001</v>
      </c>
      <c r="T15" s="34">
        <v>91.47</v>
      </c>
      <c r="U15" s="35">
        <f t="shared" si="0"/>
        <v>2.0153323764636411E-2</v>
      </c>
      <c r="V15" s="36">
        <f t="shared" si="1"/>
        <v>-91.449846676235367</v>
      </c>
      <c r="W15" s="35">
        <f t="shared" si="2"/>
        <v>0.25758854462196012</v>
      </c>
    </row>
    <row r="16" spans="2:23" x14ac:dyDescent="0.25">
      <c r="B16" s="11" t="s">
        <v>10</v>
      </c>
      <c r="C16" s="43">
        <f>'FC Aide k€ FC'!C15/'FC Invest. k€'!C16</f>
        <v>0.42074592074592077</v>
      </c>
      <c r="D16" s="43">
        <f>'FC Aide k€ FC'!D15/'FC Invest. k€'!D16</f>
        <v>0.13300316903535916</v>
      </c>
      <c r="E16" s="43">
        <f>'FC Aide k€ FC'!E15/'FC Invest. k€'!E16</f>
        <v>0.58053449534094081</v>
      </c>
      <c r="F16" s="43"/>
      <c r="G16" s="43">
        <f>'FC Aide k€ FC'!G15/'FC Invest. k€'!G16</f>
        <v>0.13766250912953876</v>
      </c>
      <c r="H16" s="43">
        <f>'FC Aide k€ FC'!H15/'FC Invest. k€'!H16</f>
        <v>0.15579988759374663</v>
      </c>
      <c r="I16" s="43">
        <f>'FC Aide k€ FC'!I15/'FC Invest. k€'!I16</f>
        <v>0.1501532334488582</v>
      </c>
      <c r="J16" s="43">
        <f>'FC Aide k€ FC'!J15/'FC Invest. k€'!J16</f>
        <v>0.14704801961254615</v>
      </c>
      <c r="K16" s="43">
        <f>'FC Aide k€ FC'!K15/'FC Invest. k€'!K16</f>
        <v>0.1393744880536647</v>
      </c>
      <c r="L16" s="43">
        <f>'FC Aide k€ FC'!L15/'FC Invest. k€'!L16</f>
        <v>9.9318968793558907E-2</v>
      </c>
      <c r="M16" s="43">
        <f>'FC Aide k€ FC'!M15/'FC Invest. k€'!M16</f>
        <v>0.10255439882718838</v>
      </c>
      <c r="N16" s="43">
        <f>'FC Aide k€ FC'!N15/'FC Invest. k€'!N16</f>
        <v>9.0587456131344904E-2</v>
      </c>
      <c r="O16" s="43">
        <f>'FC Aide k€ FC'!O15/'FC Invest. k€'!O16</f>
        <v>6.2277166519120762E-2</v>
      </c>
      <c r="P16" s="43">
        <f>'FC Aide k€ FC'!P15/'FC Invest. k€'!P16</f>
        <v>0.11684641472714336</v>
      </c>
      <c r="Q16" s="43">
        <f>'FC Aide k€ FC'!Q15/'FC Invest. k€'!Q16</f>
        <v>6.8860042009809982E-2</v>
      </c>
      <c r="R16" s="43">
        <f>'FC Aide k€ FC'!R15/'FC Invest. k€'!R16</f>
        <v>9.7504974096301392E-2</v>
      </c>
      <c r="S16" s="37"/>
      <c r="T16" s="34"/>
      <c r="U16" s="35">
        <f t="shared" si="0"/>
        <v>1.9341440630841963E-2</v>
      </c>
      <c r="V16" s="36">
        <f t="shared" si="1"/>
        <v>1.9341440630841963E-2</v>
      </c>
      <c r="W16" s="35">
        <f t="shared" si="2"/>
        <v>0.11684641472714336</v>
      </c>
    </row>
    <row r="17" spans="2:23" x14ac:dyDescent="0.25">
      <c r="B17" s="11" t="s">
        <v>11</v>
      </c>
      <c r="C17" s="43">
        <f>'FC Aide k€ FC'!C16/'FC Invest. k€'!C17</f>
        <v>0.55804121895367276</v>
      </c>
      <c r="D17" s="43">
        <f>'FC Aide k€ FC'!D16/'FC Invest. k€'!D17</f>
        <v>0.51840298169713106</v>
      </c>
      <c r="E17" s="43">
        <f>'FC Aide k€ FC'!E16/'FC Invest. k€'!E17</f>
        <v>0.41646308194760556</v>
      </c>
      <c r="F17" s="43">
        <f>'FC Aide k€ FC'!F16/'FC Invest. k€'!F17</f>
        <v>0.4742382279058579</v>
      </c>
      <c r="G17" s="43">
        <f>'FC Aide k€ FC'!G16/'FC Invest. k€'!G17</f>
        <v>0.44704870322230766</v>
      </c>
      <c r="H17" s="43">
        <f>'FC Aide k€ FC'!H16/'FC Invest. k€'!H17</f>
        <v>0.4347507750968605</v>
      </c>
      <c r="I17" s="43">
        <f>'FC Aide k€ FC'!I16/'FC Invest. k€'!I17</f>
        <v>0.45800217583060082</v>
      </c>
      <c r="J17" s="43">
        <f>'FC Aide k€ FC'!J16/'FC Invest. k€'!J17</f>
        <v>0.2888329750148847</v>
      </c>
      <c r="K17" s="43">
        <f>'FC Aide k€ FC'!K16/'FC Invest. k€'!K17</f>
        <v>0.47885208659523637</v>
      </c>
      <c r="L17" s="43">
        <f>'FC Aide k€ FC'!L16/'FC Invest. k€'!L17</f>
        <v>0.46084671836235291</v>
      </c>
      <c r="M17" s="43">
        <f>'FC Aide k€ FC'!M16/'FC Invest. k€'!M17</f>
        <v>0.5221350149992815</v>
      </c>
      <c r="N17" s="43">
        <f>'FC Aide k€ FC'!N16/'FC Invest. k€'!N17</f>
        <v>0.41801842085980567</v>
      </c>
      <c r="O17" s="43">
        <f>'FC Aide k€ FC'!O16/'FC Invest. k€'!O17</f>
        <v>0.55328558251434634</v>
      </c>
      <c r="P17" s="43">
        <f>'FC Aide k€ FC'!P16/'FC Invest. k€'!P17</f>
        <v>0.48698884246362428</v>
      </c>
      <c r="Q17" s="43">
        <f>'FC Aide k€ FC'!Q16/'FC Invest. k€'!Q17</f>
        <v>0.53598823844978571</v>
      </c>
      <c r="R17" s="43">
        <f>'FC Aide k€ FC'!R16/'FC Invest. k€'!R17</f>
        <v>0.48215270915831593</v>
      </c>
      <c r="S17" s="37">
        <v>3852.4800246</v>
      </c>
      <c r="T17" s="34">
        <v>1395.3219999999999</v>
      </c>
      <c r="U17" s="35">
        <f t="shared" si="0"/>
        <v>4.8361333053083544E-3</v>
      </c>
      <c r="V17" s="36">
        <f t="shared" si="1"/>
        <v>-1395.3171638666945</v>
      </c>
      <c r="W17" s="35">
        <f t="shared" si="2"/>
        <v>0.48698884246370494</v>
      </c>
    </row>
    <row r="18" spans="2:23" x14ac:dyDescent="0.25">
      <c r="B18" s="11" t="s">
        <v>12</v>
      </c>
      <c r="C18" s="43">
        <f>'FC Aide k€ FC'!C17/'FC Invest. k€'!C18</f>
        <v>0.21713670841079294</v>
      </c>
      <c r="D18" s="43">
        <f>'FC Aide k€ FC'!D17/'FC Invest. k€'!D18</f>
        <v>0.53640103194825361</v>
      </c>
      <c r="E18" s="43">
        <f>'FC Aide k€ FC'!E17/'FC Invest. k€'!E18</f>
        <v>0.38692616872460411</v>
      </c>
      <c r="F18" s="43">
        <f>'FC Aide k€ FC'!F17/'FC Invest. k€'!F18</f>
        <v>0.31950853725845901</v>
      </c>
      <c r="G18" s="43">
        <f>'FC Aide k€ FC'!G17/'FC Invest. k€'!G18</f>
        <v>0.24832133783524052</v>
      </c>
      <c r="H18" s="43">
        <f>'FC Aide k€ FC'!H17/'FC Invest. k€'!H18</f>
        <v>0.33526153747389165</v>
      </c>
      <c r="I18" s="43">
        <f>'FC Aide k€ FC'!I17/'FC Invest. k€'!I18</f>
        <v>0.36204260172222691</v>
      </c>
      <c r="J18" s="43">
        <f>'FC Aide k€ FC'!J17/'FC Invest. k€'!J18</f>
        <v>0.53901118335273024</v>
      </c>
      <c r="K18" s="43">
        <f>'FC Aide k€ FC'!K17/'FC Invest. k€'!K18</f>
        <v>0.36400885958056789</v>
      </c>
      <c r="L18" s="43">
        <f>'FC Aide k€ FC'!L17/'FC Invest. k€'!L18</f>
        <v>0.36880709774216647</v>
      </c>
      <c r="M18" s="43">
        <f>'FC Aide k€ FC'!M17/'FC Invest. k€'!M18</f>
        <v>0.37343250706420689</v>
      </c>
      <c r="N18" s="43">
        <f>'FC Aide k€ FC'!N17/'FC Invest. k€'!N18</f>
        <v>0.32116262259886547</v>
      </c>
      <c r="O18" s="43">
        <f>'FC Aide k€ FC'!O17/'FC Invest. k€'!O18</f>
        <v>0.44711592071272305</v>
      </c>
      <c r="P18" s="43">
        <f>'FC Aide k€ FC'!P17/'FC Invest. k€'!P18</f>
        <v>0.3620470933663672</v>
      </c>
      <c r="Q18" s="43">
        <f>'FC Aide k€ FC'!Q17/'FC Invest. k€'!Q18</f>
        <v>0.40582045762812247</v>
      </c>
      <c r="R18" s="43">
        <f>'FC Aide k€ FC'!R17/'FC Invest. k€'!R18</f>
        <v>0.36246295146660029</v>
      </c>
      <c r="S18" s="37">
        <v>11718.749495200002</v>
      </c>
      <c r="T18" s="34"/>
      <c r="U18" s="35">
        <f t="shared" si="0"/>
        <v>-4.1585810023309078E-4</v>
      </c>
      <c r="V18" s="36">
        <f t="shared" si="1"/>
        <v>-4.1585810023309078E-4</v>
      </c>
      <c r="W18" s="35">
        <f t="shared" si="2"/>
        <v>0.3620470933663672</v>
      </c>
    </row>
    <row r="19" spans="2:23" x14ac:dyDescent="0.25">
      <c r="B19" s="11" t="s">
        <v>13</v>
      </c>
      <c r="C19" s="43"/>
      <c r="D19" s="43"/>
      <c r="E19" s="43">
        <f>'FC Aide k€ FC'!E18/'FC Invest. k€'!E19</f>
        <v>0.38830662993086112</v>
      </c>
      <c r="F19" s="43">
        <f>'FC Aide k€ FC'!F18/'FC Invest. k€'!F19</f>
        <v>0.20784417707648523</v>
      </c>
      <c r="G19" s="43">
        <f>'FC Aide k€ FC'!G18/'FC Invest. k€'!G19</f>
        <v>0.37802031136157499</v>
      </c>
      <c r="H19" s="43">
        <f>'FC Aide k€ FC'!H18/'FC Invest. k€'!H19</f>
        <v>0.27199273355192566</v>
      </c>
      <c r="I19" s="43">
        <f>'FC Aide k€ FC'!I18/'FC Invest. k€'!I19</f>
        <v>0.29193434454248401</v>
      </c>
      <c r="J19" s="43">
        <f>'FC Aide k€ FC'!J18/'FC Invest. k€'!J19</f>
        <v>0.20151557895906827</v>
      </c>
      <c r="K19" s="43">
        <f>'FC Aide k€ FC'!K18/'FC Invest. k€'!K19</f>
        <v>0.12310037220454179</v>
      </c>
      <c r="L19" s="43">
        <f>'FC Aide k€ FC'!L18/'FC Invest. k€'!L19</f>
        <v>0.23865339191774654</v>
      </c>
      <c r="M19" s="43">
        <f>'FC Aide k€ FC'!M18/'FC Invest. k€'!M19</f>
        <v>0.27847488274555465</v>
      </c>
      <c r="N19" s="43">
        <f>'FC Aide k€ FC'!N18/'FC Invest. k€'!N19</f>
        <v>0.2667123705674273</v>
      </c>
      <c r="O19" s="43">
        <f>'FC Aide k€ FC'!O18/'FC Invest. k€'!O19</f>
        <v>0.33850492015186839</v>
      </c>
      <c r="P19" s="43">
        <f>'FC Aide k€ FC'!P18/'FC Invest. k€'!P19</f>
        <v>0.31319395041702636</v>
      </c>
      <c r="Q19" s="43">
        <f>'FC Aide k€ FC'!Q18/'FC Invest. k€'!Q19</f>
        <v>0.27321494836045412</v>
      </c>
      <c r="R19" s="43">
        <f>'FC Aide k€ FC'!R18/'FC Invest. k€'!R19</f>
        <v>0.25964715192555343</v>
      </c>
      <c r="S19" s="37"/>
      <c r="T19" s="34"/>
      <c r="U19" s="35">
        <f t="shared" si="0"/>
        <v>5.3546798491472924E-2</v>
      </c>
      <c r="V19" s="36">
        <f t="shared" si="1"/>
        <v>5.3546798491472924E-2</v>
      </c>
      <c r="W19" s="35">
        <f t="shared" si="2"/>
        <v>0.31319395041702636</v>
      </c>
    </row>
    <row r="20" spans="2:23" x14ac:dyDescent="0.25">
      <c r="B20" s="11" t="s">
        <v>14</v>
      </c>
      <c r="C20" s="43"/>
      <c r="D20" s="43"/>
      <c r="E20" s="43"/>
      <c r="F20" s="43"/>
      <c r="G20" s="43"/>
      <c r="H20" s="43"/>
      <c r="I20" s="43"/>
      <c r="J20" s="43"/>
      <c r="K20" s="43"/>
      <c r="L20" s="43">
        <f>'FC Aide k€ FC'!L19/'FC Invest. k€'!L20</f>
        <v>0.28491156634721154</v>
      </c>
      <c r="M20" s="43">
        <f>'FC Aide k€ FC'!M19/'FC Invest. k€'!M20</f>
        <v>0.22333652120997829</v>
      </c>
      <c r="N20" s="43">
        <f>'FC Aide k€ FC'!N19/'FC Invest. k€'!N20</f>
        <v>0.22775649212430821</v>
      </c>
      <c r="O20" s="43"/>
      <c r="P20" s="43"/>
      <c r="Q20" s="43"/>
      <c r="R20" s="43">
        <f>'FC Aide k€ FC'!R19/'FC Invest. k€'!R20</f>
        <v>0.2288469153921816</v>
      </c>
      <c r="S20" s="37"/>
      <c r="T20" s="34"/>
      <c r="U20" s="35">
        <f t="shared" si="0"/>
        <v>-0.2288469153921816</v>
      </c>
      <c r="V20" s="36">
        <f t="shared" si="1"/>
        <v>-0.2288469153921816</v>
      </c>
      <c r="W20" s="35">
        <f t="shared" si="2"/>
        <v>0</v>
      </c>
    </row>
    <row r="21" spans="2:23" x14ac:dyDescent="0.25">
      <c r="B21" s="11" t="s">
        <v>15</v>
      </c>
      <c r="C21" s="43">
        <f>'FC Aide k€ FC'!C20/'FC Invest. k€'!C21</f>
        <v>9.4679858129550126E-2</v>
      </c>
      <c r="D21" s="43">
        <f>'FC Aide k€ FC'!D20/'FC Invest. k€'!D21</f>
        <v>7.7611940298507459E-2</v>
      </c>
      <c r="E21" s="43"/>
      <c r="F21" s="43"/>
      <c r="G21" s="43">
        <f>'FC Aide k€ FC'!G20/'FC Invest. k€'!G21</f>
        <v>0.15668679896462467</v>
      </c>
      <c r="H21" s="43">
        <f>'FC Aide k€ FC'!H20/'FC Invest. k€'!H21</f>
        <v>0.17534888675828272</v>
      </c>
      <c r="I21" s="43">
        <f>'FC Aide k€ FC'!I20/'FC Invest. k€'!I21</f>
        <v>0.32164923076923074</v>
      </c>
      <c r="J21" s="43">
        <f>'FC Aide k€ FC'!J20/'FC Invest. k€'!J21</f>
        <v>0.3510075136612022</v>
      </c>
      <c r="K21" s="43">
        <f>'FC Aide k€ FC'!K20/'FC Invest. k€'!K21</f>
        <v>0.27560917908682281</v>
      </c>
      <c r="L21" s="43">
        <f>'FC Aide k€ FC'!L20/'FC Invest. k€'!L21</f>
        <v>0.33788037775445962</v>
      </c>
      <c r="M21" s="43">
        <f>'FC Aide k€ FC'!M20/'FC Invest. k€'!M21</f>
        <v>8.5015985192663637E-2</v>
      </c>
      <c r="N21" s="43">
        <f>'FC Aide k€ FC'!N20/'FC Invest. k€'!N21</f>
        <v>9.8745564083519019E-2</v>
      </c>
      <c r="O21" s="43">
        <f>'FC Aide k€ FC'!O20/'FC Invest. k€'!O21</f>
        <v>6.6844700082169264E-2</v>
      </c>
      <c r="P21" s="43">
        <f>'FC Aide k€ FC'!P20/'FC Invest. k€'!P21</f>
        <v>0.35911239316903903</v>
      </c>
      <c r="Q21" s="43">
        <f>'FC Aide k€ FC'!Q20/'FC Invest. k€'!Q21</f>
        <v>0.36603278546225876</v>
      </c>
      <c r="R21" s="43">
        <f>'FC Aide k€ FC'!R20/'FC Invest. k€'!R21</f>
        <v>0.18446752620515905</v>
      </c>
      <c r="S21" s="37"/>
      <c r="T21" s="34"/>
      <c r="U21" s="34">
        <f t="shared" si="0"/>
        <v>0.17464486696387999</v>
      </c>
      <c r="V21" s="34">
        <f t="shared" si="1"/>
        <v>0.17464486696387999</v>
      </c>
      <c r="W21" s="35">
        <f t="shared" si="2"/>
        <v>0.35911239316903903</v>
      </c>
    </row>
    <row r="22" spans="2:23" x14ac:dyDescent="0.25">
      <c r="B22" s="9" t="s">
        <v>16</v>
      </c>
      <c r="C22" s="60">
        <f>'FC Aide k€ FC'!C21/'FC Invest. k€'!C22</f>
        <v>0.2922406666325254</v>
      </c>
      <c r="D22" s="60">
        <f>'FC Aide k€ FC'!D21/'FC Invest. k€'!D22</f>
        <v>0.4472054406007282</v>
      </c>
      <c r="E22" s="60"/>
      <c r="F22" s="60"/>
      <c r="G22" s="60">
        <f>'FC Aide k€ FC'!G21/'FC Invest. k€'!G22</f>
        <v>0.24677710705256875</v>
      </c>
      <c r="H22" s="60">
        <f>'FC Aide k€ FC'!H21/'FC Invest. k€'!H22</f>
        <v>0.2646283785375339</v>
      </c>
      <c r="I22" s="60">
        <f>'FC Aide k€ FC'!I21/'FC Invest. k€'!I22</f>
        <v>0.28827555683755185</v>
      </c>
      <c r="J22" s="60">
        <f>'FC Aide k€ FC'!J21/'FC Invest. k€'!J22</f>
        <v>0.34901193309208606</v>
      </c>
      <c r="K22" s="60">
        <f>'FC Aide k€ FC'!K21/'FC Invest. k€'!K22</f>
        <v>0.28734750488715372</v>
      </c>
      <c r="L22" s="60">
        <f>'FC Aide k€ FC'!L21/'FC Invest. k€'!L22</f>
        <v>0.26745376964080092</v>
      </c>
      <c r="M22" s="60">
        <f>'FC Aide k€ FC'!M21/'FC Invest. k€'!M22</f>
        <v>0.22228543341932702</v>
      </c>
      <c r="N22" s="60">
        <f>'FC Aide k€ FC'!N21/'FC Invest. k€'!N22</f>
        <v>0.21591647315053844</v>
      </c>
      <c r="O22" s="60">
        <f>'FC Aide k€ FC'!O21/'FC Invest. k€'!O22</f>
        <v>0.21495160495789825</v>
      </c>
      <c r="P22" s="60">
        <f>'FC Aide k€ FC'!P21/'FC Invest. k€'!P22</f>
        <v>0.29468276781094188</v>
      </c>
      <c r="Q22" s="60">
        <f>'FC Aide k€ FC'!Q21/'FC Invest. k€'!Q22</f>
        <v>0.34633716131559783</v>
      </c>
      <c r="R22" s="60">
        <f>'FC Aide k€ FC'!R21/'FC Invest. k€'!R22</f>
        <v>0.27940521917909877</v>
      </c>
      <c r="S22" s="37">
        <v>163252.4186678</v>
      </c>
      <c r="T22" s="34">
        <f>SUM(T13:T21)</f>
        <v>5373.692</v>
      </c>
      <c r="U22" s="34">
        <f>SUM(U13:U21)</f>
        <v>-1.3496283126409103E-2</v>
      </c>
      <c r="V22" s="34">
        <f t="shared" si="1"/>
        <v>-5373.7054962831262</v>
      </c>
      <c r="W22" s="35">
        <f>T22+V22+R22</f>
        <v>0.26590893605291144</v>
      </c>
    </row>
    <row r="23" spans="2:23" x14ac:dyDescent="0.25"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37"/>
    </row>
    <row r="24" spans="2:23" x14ac:dyDescent="0.25">
      <c r="B24" s="11" t="s">
        <v>17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>
        <f>'FC Aide k€ FC'!O23/'FC Invest. k€'!O24</f>
        <v>0.41424553196483505</v>
      </c>
      <c r="P24" s="43">
        <f>'FC Aide k€ FC'!P23/'FC Invest. k€'!P24</f>
        <v>0.41370223594601602</v>
      </c>
      <c r="Q24" s="43">
        <f>'FC Aide k€ FC'!Q23/'FC Invest. k€'!Q24</f>
        <v>0.37832704159876668</v>
      </c>
      <c r="R24" s="43">
        <f>'FC Aide k€ FC'!R23/'FC Invest. k€'!R24</f>
        <v>0.39774264040275387</v>
      </c>
      <c r="S24" s="37">
        <v>647002.56799999997</v>
      </c>
    </row>
    <row r="25" spans="2:23" x14ac:dyDescent="0.25">
      <c r="B25" s="9" t="s">
        <v>18</v>
      </c>
      <c r="C25" s="60">
        <f>'FC Aide k€ FC'!C24/'FC Invest. k€'!C25</f>
        <v>0.2922406666325254</v>
      </c>
      <c r="D25" s="60">
        <f>'FC Aide k€ FC'!D24/'FC Invest. k€'!D25</f>
        <v>0.4472054406007282</v>
      </c>
      <c r="E25" s="60">
        <f>'FC Aide k€ FC'!E24/'FC Invest. k€'!E25</f>
        <v>0.30722243373534952</v>
      </c>
      <c r="F25" s="60">
        <f>'FC Aide k€ FC'!F24/'FC Invest. k€'!F25</f>
        <v>0.27844160068188212</v>
      </c>
      <c r="G25" s="60">
        <f>'FC Aide k€ FC'!G24/'FC Invest. k€'!G25</f>
        <v>0.24677710705256875</v>
      </c>
      <c r="H25" s="60">
        <f>'FC Aide k€ FC'!H24/'FC Invest. k€'!H25</f>
        <v>0.2646283785375339</v>
      </c>
      <c r="I25" s="60">
        <f>'FC Aide k€ FC'!I24/'FC Invest. k€'!I25</f>
        <v>0.28827555683755185</v>
      </c>
      <c r="J25" s="60">
        <f>'FC Aide k€ FC'!J24/'FC Invest. k€'!J25</f>
        <v>0.34901193309208606</v>
      </c>
      <c r="K25" s="60">
        <f>'FC Aide k€ FC'!K24/'FC Invest. k€'!K25</f>
        <v>0.28734750488715372</v>
      </c>
      <c r="L25" s="60">
        <f>'FC Aide k€ FC'!L24/'FC Invest. k€'!L25</f>
        <v>0.26745376964080092</v>
      </c>
      <c r="M25" s="60">
        <f>'FC Aide k€ FC'!M24/'FC Invest. k€'!M25</f>
        <v>0.22228543341932702</v>
      </c>
      <c r="N25" s="60">
        <f>'FC Aide k€ FC'!N24/'FC Invest. k€'!N25</f>
        <v>0.21591647315053844</v>
      </c>
      <c r="O25" s="60">
        <f>'FC Aide k€ FC'!O24/'FC Invest. k€'!O25</f>
        <v>0.24093805707696367</v>
      </c>
      <c r="P25" s="60">
        <f>'FC Aide k€ FC'!P24/'FC Invest. k€'!P25</f>
        <v>0.32057396907592239</v>
      </c>
      <c r="Q25" s="60">
        <f>'FC Aide k€ FC'!Q24/'FC Invest. k€'!Q25</f>
        <v>0.35458469268101805</v>
      </c>
      <c r="R25" s="60">
        <f>'FC Aide k€ FC'!R24/'FC Invest. k€'!R25</f>
        <v>0.28869478174212765</v>
      </c>
      <c r="S25" s="37">
        <v>810254.9866678</v>
      </c>
    </row>
    <row r="26" spans="2:23" x14ac:dyDescent="0.25">
      <c r="P26" s="32"/>
      <c r="Q26" s="32"/>
    </row>
    <row r="30" spans="2:23" x14ac:dyDescent="0.25"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</row>
    <row r="31" spans="2:23" x14ac:dyDescent="0.25"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</row>
    <row r="32" spans="2:23" x14ac:dyDescent="0.25"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</row>
    <row r="33" spans="3:18" x14ac:dyDescent="0.25"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</row>
    <row r="34" spans="3:18" x14ac:dyDescent="0.25"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</row>
    <row r="35" spans="3:18" x14ac:dyDescent="0.25"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</row>
    <row r="36" spans="3:18" x14ac:dyDescent="0.25"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</row>
    <row r="37" spans="3:18" x14ac:dyDescent="0.25"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073E-C210-4ABC-85EC-5E53B4E6868E}">
  <sheetPr>
    <tabColor theme="7" tint="0.39997558519241921"/>
  </sheetPr>
  <dimension ref="B2:S30"/>
  <sheetViews>
    <sheetView zoomScale="85" zoomScaleNormal="85" workbookViewId="0">
      <selection activeCell="Q15" sqref="Q15"/>
    </sheetView>
  </sheetViews>
  <sheetFormatPr baseColWidth="10" defaultRowHeight="12.75" x14ac:dyDescent="0.2"/>
  <cols>
    <col min="1" max="1" width="4.7109375" style="17" customWidth="1"/>
    <col min="2" max="2" width="53.42578125" style="17" customWidth="1"/>
    <col min="3" max="3" width="15.140625" style="17" bestFit="1" customWidth="1"/>
    <col min="4" max="4" width="15.5703125" style="17" customWidth="1"/>
    <col min="5" max="13" width="14" style="17" customWidth="1"/>
    <col min="14" max="17" width="16.140625" style="17" customWidth="1"/>
    <col min="18" max="18" width="18.140625" style="17" customWidth="1"/>
    <col min="19" max="19" width="10.7109375" style="17" customWidth="1"/>
    <col min="20" max="20" width="12" style="17" bestFit="1" customWidth="1"/>
    <col min="21" max="21" width="14.140625" style="17" bestFit="1" customWidth="1"/>
    <col min="22" max="16384" width="11.42578125" style="17"/>
  </cols>
  <sheetData>
    <row r="2" spans="2:19" ht="15" x14ac:dyDescent="0.25">
      <c r="B2" s="1" t="s">
        <v>173</v>
      </c>
      <c r="J2" s="93">
        <v>0.20100000000000001</v>
      </c>
      <c r="K2" s="18"/>
      <c r="L2" s="18"/>
      <c r="M2" s="18"/>
      <c r="N2" s="18"/>
      <c r="O2" s="18"/>
      <c r="P2" s="18"/>
      <c r="Q2" s="18"/>
    </row>
    <row r="4" spans="2:19" x14ac:dyDescent="0.2">
      <c r="B4" s="19"/>
      <c r="C4" s="20">
        <v>2009</v>
      </c>
      <c r="D4" s="20">
        <v>2010</v>
      </c>
      <c r="E4" s="20">
        <v>2011</v>
      </c>
      <c r="F4" s="20">
        <v>2012</v>
      </c>
      <c r="G4" s="20">
        <v>2013</v>
      </c>
      <c r="H4" s="20">
        <v>2014</v>
      </c>
      <c r="I4" s="20">
        <v>2015</v>
      </c>
      <c r="J4" s="20">
        <v>2016</v>
      </c>
      <c r="K4" s="20">
        <v>2017</v>
      </c>
      <c r="L4" s="20">
        <v>2018</v>
      </c>
      <c r="M4" s="20">
        <v>2019</v>
      </c>
      <c r="N4" s="20">
        <v>2020</v>
      </c>
      <c r="O4" s="20">
        <v>2021</v>
      </c>
      <c r="P4" s="20">
        <v>2022</v>
      </c>
      <c r="Q4" s="20">
        <v>2023</v>
      </c>
      <c r="R4" s="21" t="s">
        <v>1</v>
      </c>
    </row>
    <row r="5" spans="2:19" x14ac:dyDescent="0.2">
      <c r="B5" s="46" t="s">
        <v>189</v>
      </c>
      <c r="C5" s="45">
        <f>'FC Prod GWh FC'!C14</f>
        <v>2275.4094999999998</v>
      </c>
      <c r="D5" s="45">
        <f>'FC Prod GWh FC'!D14</f>
        <v>3884.8619400000002</v>
      </c>
      <c r="E5" s="45">
        <f>'FC Prod GWh FC'!E14</f>
        <v>3385.2603999999997</v>
      </c>
      <c r="F5" s="45">
        <f>'FC Prod GWh FC'!F14</f>
        <v>3480.0565370000004</v>
      </c>
      <c r="G5" s="45">
        <f>'FC Prod GWh FC'!G14</f>
        <v>2820.2828329999998</v>
      </c>
      <c r="H5" s="45">
        <f>'FC Prod GWh FC'!H14</f>
        <v>2229.2035100000007</v>
      </c>
      <c r="I5" s="45">
        <f>'FC Prod GWh FC'!I14</f>
        <v>2932.3765699999999</v>
      </c>
      <c r="J5" s="45">
        <f>'FC Prod GWh FC'!J14</f>
        <v>2083.0144099999998</v>
      </c>
      <c r="K5" s="45">
        <f>'FC Prod GWh FC'!K14</f>
        <v>2005.58187</v>
      </c>
      <c r="L5" s="45">
        <f>'FC Prod GWh FC'!L14</f>
        <v>2617.6370000000002</v>
      </c>
      <c r="M5" s="45">
        <f>'FC Prod GWh FC'!M14</f>
        <v>3877.52</v>
      </c>
      <c r="N5" s="45">
        <f>'FC Prod GWh FC'!N14</f>
        <v>3949.9979999999996</v>
      </c>
      <c r="O5" s="45">
        <f>'FC Prod GWh FC'!O14</f>
        <v>3348.2180000000003</v>
      </c>
      <c r="P5" s="45">
        <f>'FC Prod GWh FC'!P14</f>
        <v>3679.7066560000003</v>
      </c>
      <c r="Q5" s="45">
        <f>'FC Prod GWh FC'!Q14</f>
        <v>2817.5397876269244</v>
      </c>
      <c r="R5" s="45">
        <f>'FC Prod GWh FC'!R14</f>
        <v>45386.667013626924</v>
      </c>
      <c r="S5" s="73"/>
    </row>
    <row r="6" spans="2:19" x14ac:dyDescent="0.2">
      <c r="B6" s="46" t="s">
        <v>57</v>
      </c>
      <c r="C6" s="45">
        <f>C5/0.9</f>
        <v>2528.2327777777773</v>
      </c>
      <c r="D6" s="45">
        <f t="shared" ref="D6:R6" si="0">D5/0.9</f>
        <v>4316.5132666666668</v>
      </c>
      <c r="E6" s="45">
        <f t="shared" si="0"/>
        <v>3761.400444444444</v>
      </c>
      <c r="F6" s="45">
        <f t="shared" si="0"/>
        <v>3866.729485555556</v>
      </c>
      <c r="G6" s="45">
        <f t="shared" si="0"/>
        <v>3133.6475922222216</v>
      </c>
      <c r="H6" s="45">
        <f t="shared" si="0"/>
        <v>2476.8927888888898</v>
      </c>
      <c r="I6" s="45">
        <f t="shared" si="0"/>
        <v>3258.1961888888886</v>
      </c>
      <c r="J6" s="45">
        <f t="shared" si="0"/>
        <v>2314.4604555555552</v>
      </c>
      <c r="K6" s="45">
        <f t="shared" si="0"/>
        <v>2228.4243000000001</v>
      </c>
      <c r="L6" s="45">
        <f t="shared" si="0"/>
        <v>2908.4855555555555</v>
      </c>
      <c r="M6" s="45">
        <f t="shared" si="0"/>
        <v>4308.3555555555558</v>
      </c>
      <c r="N6" s="45">
        <f t="shared" si="0"/>
        <v>4388.8866666666663</v>
      </c>
      <c r="O6" s="45">
        <f t="shared" si="0"/>
        <v>3720.2422222222226</v>
      </c>
      <c r="P6" s="45">
        <f t="shared" si="0"/>
        <v>4088.5629511111115</v>
      </c>
      <c r="Q6" s="45">
        <f t="shared" si="0"/>
        <v>3130.5997640299161</v>
      </c>
      <c r="R6" s="45">
        <f t="shared" si="0"/>
        <v>50429.630015141025</v>
      </c>
    </row>
    <row r="7" spans="2:19" s="41" customFormat="1" x14ac:dyDescent="0.2">
      <c r="B7" s="46" t="s">
        <v>58</v>
      </c>
      <c r="C7" s="44">
        <f t="shared" ref="C7:Q7" si="1">C6*$J$2*1000</f>
        <v>508174.78833333327</v>
      </c>
      <c r="D7" s="44">
        <f t="shared" si="1"/>
        <v>867619.16660000011</v>
      </c>
      <c r="E7" s="44">
        <f t="shared" si="1"/>
        <v>756041.48933333333</v>
      </c>
      <c r="F7" s="44">
        <f t="shared" si="1"/>
        <v>777212.62659666687</v>
      </c>
      <c r="G7" s="44">
        <f t="shared" si="1"/>
        <v>629863.1660366666</v>
      </c>
      <c r="H7" s="44">
        <f t="shared" si="1"/>
        <v>497855.4505666669</v>
      </c>
      <c r="I7" s="44">
        <f t="shared" si="1"/>
        <v>654897.43396666669</v>
      </c>
      <c r="J7" s="44">
        <f t="shared" si="1"/>
        <v>465206.55156666663</v>
      </c>
      <c r="K7" s="44">
        <f t="shared" si="1"/>
        <v>447913.28430000006</v>
      </c>
      <c r="L7" s="44">
        <f t="shared" si="1"/>
        <v>584605.59666666668</v>
      </c>
      <c r="M7" s="44">
        <f t="shared" si="1"/>
        <v>865979.46666666679</v>
      </c>
      <c r="N7" s="44">
        <f t="shared" si="1"/>
        <v>882166.22</v>
      </c>
      <c r="O7" s="44">
        <f t="shared" si="1"/>
        <v>747768.68666666676</v>
      </c>
      <c r="P7" s="44">
        <f t="shared" si="1"/>
        <v>821801.15317333338</v>
      </c>
      <c r="Q7" s="44">
        <f t="shared" si="1"/>
        <v>629250.55257001321</v>
      </c>
      <c r="R7" s="44">
        <f>SUM(C7:Q7)</f>
        <v>10136355.633043347</v>
      </c>
    </row>
    <row r="8" spans="2:19" s="41" customFormat="1" x14ac:dyDescent="0.2">
      <c r="B8" s="47" t="s">
        <v>59</v>
      </c>
      <c r="C8" s="48">
        <f>'FC Aide k€ FC'!C5*1000/'FC tCO2 évitées'!C7/20</f>
        <v>15.7211655977699</v>
      </c>
      <c r="D8" s="48">
        <f>'FC Aide k€ FC'!D5*1000/'FC tCO2 évitées'!D7/20</f>
        <v>14.814243514085131</v>
      </c>
      <c r="E8" s="48">
        <f>'FC Aide k€ FC'!E5*1000/'FC tCO2 évitées'!E7/20</f>
        <v>15.405371483343126</v>
      </c>
      <c r="F8" s="48">
        <f>'FC Aide k€ FC'!F5*1000/'FC tCO2 évitées'!F7/20</f>
        <v>14.32764526582867</v>
      </c>
      <c r="G8" s="48">
        <f>'FC Aide k€ FC'!G5*1000/'FC tCO2 évitées'!G7/20</f>
        <v>15.474238236265768</v>
      </c>
      <c r="H8" s="48">
        <f>'FC Aide k€ FC'!H5*1000/'FC tCO2 évitées'!H7/20</f>
        <v>13.543790657157981</v>
      </c>
      <c r="I8" s="48">
        <f>'FC Aide k€ FC'!I5*1000/'FC tCO2 évitées'!I7/20</f>
        <v>14.309609053189524</v>
      </c>
      <c r="J8" s="48">
        <f>'FC Aide k€ FC'!J5*1000/'FC tCO2 évitées'!J7/20</f>
        <v>19.614405621053198</v>
      </c>
      <c r="K8" s="48">
        <f>'FC Aide k€ FC'!K5*1000/'FC tCO2 évitées'!K7/20</f>
        <v>20.15986535007977</v>
      </c>
      <c r="L8" s="48">
        <f>'FC Aide k€ FC'!L5*1000/'FC tCO2 évitées'!L7/20</f>
        <v>20.409630985457721</v>
      </c>
      <c r="M8" s="48">
        <f>'FC Aide k€ FC'!M5*1000/'FC tCO2 évitées'!M7/20</f>
        <v>15.991150636981999</v>
      </c>
      <c r="N8" s="48">
        <f>'FC Aide k€ FC'!N5*1000/'FC tCO2 évitées'!N7/20</f>
        <v>17.966506357498027</v>
      </c>
      <c r="O8" s="48">
        <f>'FC Aide k€ FC'!O5*1000/'FC tCO2 évitées'!O7/20</f>
        <v>20.120466754322415</v>
      </c>
      <c r="P8" s="48">
        <f>'FC Aide k€ FC'!P5*1000/'FC tCO2 évitées'!P7/20</f>
        <v>28.188045784007404</v>
      </c>
      <c r="Q8" s="48">
        <f>'FC Aide k€ FC'!Q5*1000/'FC tCO2 évitées'!Q7/20</f>
        <v>42.598315232337526</v>
      </c>
      <c r="R8" s="48">
        <f>'FC Aide k€ FC'!R5*1000/'FC tCO2 évitées'!R7/20</f>
        <v>19.167132687723957</v>
      </c>
    </row>
    <row r="9" spans="2:19" s="41" customFormat="1" x14ac:dyDescent="0.2">
      <c r="B9" s="47" t="s">
        <v>60</v>
      </c>
      <c r="C9" s="48">
        <f>'FC Aide k€ FC'!C7*1000/'FC tCO2 évitées'!C7/20</f>
        <v>16.58632067844977</v>
      </c>
      <c r="D9" s="48">
        <f>'FC Aide k€ FC'!D7*1000/'FC tCO2 évitées'!D7/20</f>
        <v>15.183389794883766</v>
      </c>
      <c r="E9" s="48">
        <f>'FC Aide k€ FC'!E7*1000/'FC tCO2 évitées'!E7/20</f>
        <v>16.4312411094716</v>
      </c>
      <c r="F9" s="48">
        <f>'FC Aide k€ FC'!F7*1000/'FC tCO2 évitées'!F7/20</f>
        <v>14.885051534299937</v>
      </c>
      <c r="G9" s="48">
        <f>'FC Aide k€ FC'!G7*1000/'FC tCO2 évitées'!G7/20</f>
        <v>16.362283993917579</v>
      </c>
      <c r="H9" s="48">
        <f>'FC Aide k€ FC'!H7*1000/'FC tCO2 évitées'!H7/20</f>
        <v>16.583528392835035</v>
      </c>
      <c r="I9" s="48">
        <f>'FC Aide k€ FC'!I7*1000/'FC tCO2 évitées'!I7/20</f>
        <v>16.518159087107684</v>
      </c>
      <c r="J9" s="48">
        <f>'FC Aide k€ FC'!J7*1000/'FC tCO2 évitées'!J7/20</f>
        <v>22.893056781195817</v>
      </c>
      <c r="K9" s="48">
        <f>'FC Aide k€ FC'!K7*1000/'FC tCO2 évitées'!K7/20</f>
        <v>22.01932906592295</v>
      </c>
      <c r="L9" s="48">
        <f>'FC Aide k€ FC'!L7*1000/'FC tCO2 évitées'!L7/20</f>
        <v>22.152199831545687</v>
      </c>
      <c r="M9" s="48">
        <f>'FC Aide k€ FC'!M7*1000/'FC tCO2 évitées'!M7/20</f>
        <v>17.009872135536391</v>
      </c>
      <c r="N9" s="48">
        <f>'FC Aide k€ FC'!N7*1000/'FC tCO2 évitées'!N7/20</f>
        <v>19.81922409135095</v>
      </c>
      <c r="O9" s="48">
        <f>'FC Aide k€ FC'!O7*1000/'FC tCO2 évitées'!O7/20</f>
        <v>23.373415776356435</v>
      </c>
      <c r="P9" s="48">
        <f>'FC Aide k€ FC'!P7*1000/'FC tCO2 évitées'!P7/20</f>
        <v>31.742179386426368</v>
      </c>
      <c r="Q9" s="112">
        <f>'FC Aide k€ FC'!Q7*1000/'FC tCO2 évitées'!Q7/20</f>
        <v>47.743063118974923</v>
      </c>
      <c r="R9" s="48">
        <f>'FC Aide k€ FC'!R7*1000/'FC tCO2 évitées'!R7/20</f>
        <v>21.137450642768279</v>
      </c>
    </row>
    <row r="12" spans="2:19" x14ac:dyDescent="0.2">
      <c r="B12" s="17" t="s">
        <v>180</v>
      </c>
    </row>
    <row r="13" spans="2:19" x14ac:dyDescent="0.2">
      <c r="B13" s="19"/>
      <c r="C13" s="20">
        <v>2009</v>
      </c>
      <c r="D13" s="20">
        <v>2010</v>
      </c>
      <c r="E13" s="20">
        <v>2011</v>
      </c>
      <c r="F13" s="20">
        <v>2012</v>
      </c>
      <c r="G13" s="20">
        <v>2013</v>
      </c>
      <c r="H13" s="20">
        <v>2014</v>
      </c>
      <c r="I13" s="20">
        <v>2015</v>
      </c>
      <c r="J13" s="20">
        <v>2016</v>
      </c>
      <c r="K13" s="20">
        <v>2017</v>
      </c>
      <c r="L13" s="20">
        <v>2018</v>
      </c>
      <c r="M13" s="20">
        <v>2019</v>
      </c>
      <c r="N13" s="20">
        <v>2020</v>
      </c>
      <c r="O13" s="20">
        <v>2021</v>
      </c>
      <c r="P13" s="20">
        <v>2022</v>
      </c>
      <c r="Q13" s="20">
        <v>2023</v>
      </c>
      <c r="R13" s="21" t="s">
        <v>1</v>
      </c>
    </row>
    <row r="14" spans="2:19" x14ac:dyDescent="0.2">
      <c r="B14" s="46" t="s">
        <v>57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>
        <f>'FC Prod GWh FC'!O16/0.9</f>
        <v>1731.6144444444444</v>
      </c>
      <c r="P14" s="45">
        <f>'FC Prod GWh FC'!P16/0.9</f>
        <v>2925.3266666666664</v>
      </c>
      <c r="Q14" s="45">
        <f>'FC Prod GWh FC'!Q16/0.9</f>
        <v>2662.5944444444444</v>
      </c>
      <c r="R14" s="45">
        <f>'FC Prod GWh FC'!R16/0.9</f>
        <v>7319.5355555555543</v>
      </c>
    </row>
    <row r="15" spans="2:19" x14ac:dyDescent="0.2">
      <c r="B15" s="46" t="s">
        <v>58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>
        <f>O14*$J$2*1000</f>
        <v>348054.50333333336</v>
      </c>
      <c r="P15" s="44">
        <f t="shared" ref="P15:R15" si="2">P14*$J$2*1000</f>
        <v>587990.65999999992</v>
      </c>
      <c r="Q15" s="44">
        <f t="shared" si="2"/>
        <v>535181.4833333334</v>
      </c>
      <c r="R15" s="44">
        <f t="shared" si="2"/>
        <v>1471226.6466666665</v>
      </c>
    </row>
    <row r="16" spans="2:19" x14ac:dyDescent="0.2">
      <c r="B16" s="47" t="s">
        <v>56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>
        <f>'FC Aide k€ FC'!O23/('FC tCO2 évitées'!O15/1000)/20</f>
        <v>12.491221370108979</v>
      </c>
      <c r="P16" s="48">
        <f>'FC Aide k€ FC'!P23/('FC tCO2 évitées'!P15/1000)/20</f>
        <v>15.376769165006806</v>
      </c>
      <c r="Q16" s="48">
        <f>'FC Aide k€ FC'!Q23/('FC tCO2 évitées'!Q15/1000)/20</f>
        <v>19.005685298840525</v>
      </c>
      <c r="R16" s="48">
        <f>'FC Aide k€ FC'!R23*1000/'FC tCO2 évitées'!R15/20</f>
        <v>16.01419699906922</v>
      </c>
    </row>
    <row r="19" spans="2:18" x14ac:dyDescent="0.2">
      <c r="B19" s="17" t="s">
        <v>181</v>
      </c>
    </row>
    <row r="20" spans="2:18" x14ac:dyDescent="0.2">
      <c r="B20" s="19"/>
      <c r="C20" s="20">
        <v>2009</v>
      </c>
      <c r="D20" s="20">
        <v>2010</v>
      </c>
      <c r="E20" s="20">
        <v>2011</v>
      </c>
      <c r="F20" s="20">
        <v>2012</v>
      </c>
      <c r="G20" s="20">
        <v>2013</v>
      </c>
      <c r="H20" s="20">
        <v>2014</v>
      </c>
      <c r="I20" s="20">
        <v>2015</v>
      </c>
      <c r="J20" s="20">
        <v>2016</v>
      </c>
      <c r="K20" s="20">
        <v>2017</v>
      </c>
      <c r="L20" s="20">
        <v>2018</v>
      </c>
      <c r="M20" s="20">
        <v>2019</v>
      </c>
      <c r="N20" s="20">
        <v>2020</v>
      </c>
      <c r="O20" s="20">
        <v>2021</v>
      </c>
      <c r="P20" s="20">
        <v>2022</v>
      </c>
      <c r="Q20" s="20">
        <v>2023</v>
      </c>
      <c r="R20" s="21" t="s">
        <v>1</v>
      </c>
    </row>
    <row r="21" spans="2:18" x14ac:dyDescent="0.2">
      <c r="B21" s="46" t="s">
        <v>57</v>
      </c>
      <c r="C21" s="45">
        <f>C6</f>
        <v>2528.2327777777773</v>
      </c>
      <c r="D21" s="45">
        <f t="shared" ref="D21:N21" si="3">D6</f>
        <v>4316.5132666666668</v>
      </c>
      <c r="E21" s="45">
        <f t="shared" si="3"/>
        <v>3761.400444444444</v>
      </c>
      <c r="F21" s="45">
        <f t="shared" si="3"/>
        <v>3866.729485555556</v>
      </c>
      <c r="G21" s="45">
        <f t="shared" si="3"/>
        <v>3133.6475922222216</v>
      </c>
      <c r="H21" s="45">
        <f t="shared" si="3"/>
        <v>2476.8927888888898</v>
      </c>
      <c r="I21" s="45">
        <f t="shared" si="3"/>
        <v>3258.1961888888886</v>
      </c>
      <c r="J21" s="45">
        <f t="shared" si="3"/>
        <v>2314.4604555555552</v>
      </c>
      <c r="K21" s="45">
        <f t="shared" si="3"/>
        <v>2228.4243000000001</v>
      </c>
      <c r="L21" s="45">
        <f t="shared" si="3"/>
        <v>2908.4855555555555</v>
      </c>
      <c r="M21" s="45">
        <f t="shared" si="3"/>
        <v>4308.3555555555558</v>
      </c>
      <c r="N21" s="45">
        <f t="shared" si="3"/>
        <v>4388.8866666666663</v>
      </c>
      <c r="O21" s="45">
        <f>O6+O14</f>
        <v>5451.8566666666666</v>
      </c>
      <c r="P21" s="45">
        <f>P6+P14</f>
        <v>7013.8896177777779</v>
      </c>
      <c r="Q21" s="45">
        <f t="shared" ref="Q21:R21" si="4">Q6+Q14</f>
        <v>5793.1942084743605</v>
      </c>
      <c r="R21" s="45">
        <f t="shared" si="4"/>
        <v>57749.165570696583</v>
      </c>
    </row>
    <row r="22" spans="2:18" x14ac:dyDescent="0.2">
      <c r="B22" s="46" t="s">
        <v>58</v>
      </c>
      <c r="C22" s="45">
        <f t="shared" ref="C22:N24" si="5">C7</f>
        <v>508174.78833333327</v>
      </c>
      <c r="D22" s="45">
        <f t="shared" si="5"/>
        <v>867619.16660000011</v>
      </c>
      <c r="E22" s="45">
        <f t="shared" si="5"/>
        <v>756041.48933333333</v>
      </c>
      <c r="F22" s="45">
        <f t="shared" si="5"/>
        <v>777212.62659666687</v>
      </c>
      <c r="G22" s="45">
        <f t="shared" si="5"/>
        <v>629863.1660366666</v>
      </c>
      <c r="H22" s="45">
        <f t="shared" si="5"/>
        <v>497855.4505666669</v>
      </c>
      <c r="I22" s="45">
        <f t="shared" si="5"/>
        <v>654897.43396666669</v>
      </c>
      <c r="J22" s="45">
        <f t="shared" si="5"/>
        <v>465206.55156666663</v>
      </c>
      <c r="K22" s="45">
        <f t="shared" si="5"/>
        <v>447913.28430000006</v>
      </c>
      <c r="L22" s="45">
        <f t="shared" si="5"/>
        <v>584605.59666666668</v>
      </c>
      <c r="M22" s="45">
        <f t="shared" si="5"/>
        <v>865979.46666666679</v>
      </c>
      <c r="N22" s="45">
        <f t="shared" si="5"/>
        <v>882166.22</v>
      </c>
      <c r="O22" s="44">
        <f>O15+O7</f>
        <v>1095823.1900000002</v>
      </c>
      <c r="P22" s="44">
        <f t="shared" ref="P22:R22" si="6">P15+P7</f>
        <v>1409791.8131733332</v>
      </c>
      <c r="Q22" s="44">
        <f t="shared" si="6"/>
        <v>1164432.0359033467</v>
      </c>
      <c r="R22" s="44">
        <f t="shared" si="6"/>
        <v>11607582.279710013</v>
      </c>
    </row>
    <row r="23" spans="2:18" ht="25.5" x14ac:dyDescent="0.2">
      <c r="B23" s="47" t="s">
        <v>182</v>
      </c>
      <c r="C23" s="49">
        <f t="shared" si="5"/>
        <v>15.7211655977699</v>
      </c>
      <c r="D23" s="49">
        <f t="shared" si="5"/>
        <v>14.814243514085131</v>
      </c>
      <c r="E23" s="49">
        <f t="shared" si="5"/>
        <v>15.405371483343126</v>
      </c>
      <c r="F23" s="49">
        <f t="shared" si="5"/>
        <v>14.32764526582867</v>
      </c>
      <c r="G23" s="49">
        <f t="shared" si="5"/>
        <v>15.474238236265768</v>
      </c>
      <c r="H23" s="49">
        <f t="shared" si="5"/>
        <v>13.543790657157981</v>
      </c>
      <c r="I23" s="49">
        <f t="shared" si="5"/>
        <v>14.309609053189524</v>
      </c>
      <c r="J23" s="49">
        <f t="shared" si="5"/>
        <v>19.614405621053198</v>
      </c>
      <c r="K23" s="49">
        <f t="shared" si="5"/>
        <v>20.15986535007977</v>
      </c>
      <c r="L23" s="49">
        <f t="shared" si="5"/>
        <v>20.409630985457721</v>
      </c>
      <c r="M23" s="49">
        <f t="shared" si="5"/>
        <v>15.991150636981999</v>
      </c>
      <c r="N23" s="49">
        <f t="shared" si="5"/>
        <v>17.966506357498027</v>
      </c>
      <c r="O23" s="65">
        <f>'FC 2009-2022 Aide k€'!O25*1000/'FC tCO2 évitées'!O22/20</f>
        <v>17.69727181079276</v>
      </c>
      <c r="P23" s="65">
        <f>'FC 2009-2022 Aide k€'!P25*1000/'FC tCO2 évitées'!P22/20</f>
        <v>22.844766780497856</v>
      </c>
      <c r="Q23" s="65">
        <f>'FC Aide k€ FC'!Q24*1000/'FC tCO2 évitées'!Q22/20</f>
        <v>31.754969898105088</v>
      </c>
      <c r="R23" s="65">
        <f>'FC Aide k€ FC'!R24*1000/'FC tCO2 évitées'!R22/20</f>
        <v>18.767507435143706</v>
      </c>
    </row>
    <row r="24" spans="2:18" ht="25.5" x14ac:dyDescent="0.2">
      <c r="B24" s="47" t="s">
        <v>183</v>
      </c>
      <c r="C24" s="49">
        <f t="shared" si="5"/>
        <v>16.58632067844977</v>
      </c>
      <c r="D24" s="49">
        <f t="shared" si="5"/>
        <v>15.183389794883766</v>
      </c>
      <c r="E24" s="49">
        <f t="shared" si="5"/>
        <v>16.4312411094716</v>
      </c>
      <c r="F24" s="49">
        <f t="shared" si="5"/>
        <v>14.885051534299937</v>
      </c>
      <c r="G24" s="49">
        <f t="shared" si="5"/>
        <v>16.362283993917579</v>
      </c>
      <c r="H24" s="49">
        <f t="shared" si="5"/>
        <v>16.583528392835035</v>
      </c>
      <c r="I24" s="49">
        <f t="shared" si="5"/>
        <v>16.518159087107684</v>
      </c>
      <c r="J24" s="49">
        <f t="shared" si="5"/>
        <v>22.893056781195817</v>
      </c>
      <c r="K24" s="49">
        <f t="shared" si="5"/>
        <v>22.01932906592295</v>
      </c>
      <c r="L24" s="49">
        <f t="shared" si="5"/>
        <v>22.152199831545687</v>
      </c>
      <c r="M24" s="49">
        <f t="shared" si="5"/>
        <v>17.009872135536391</v>
      </c>
      <c r="N24" s="49">
        <f t="shared" si="5"/>
        <v>19.81922409135095</v>
      </c>
      <c r="O24" s="65">
        <f>'FC 2009-2022 Aide k€'!O26*1000/'FC tCO2 évitées'!O22/20</f>
        <v>19.917021712234433</v>
      </c>
      <c r="P24" s="65">
        <f>'FC 2009-2022 Aide k€'!P26*1000/'FC tCO2 évitées'!P22/20</f>
        <v>24.916555725296398</v>
      </c>
      <c r="Q24" s="65">
        <f>'FC Aide k€ FC'!Q25*1000/'FC tCO2 évitées'!Q22/20</f>
        <v>34.535154014208118</v>
      </c>
      <c r="R24" s="65">
        <f>'FC Aide k€ FC'!R25*1000/'FC tCO2 évitées'!R22/20</f>
        <v>20.488093429818118</v>
      </c>
    </row>
    <row r="28" spans="2:18" x14ac:dyDescent="0.2">
      <c r="R28" s="73"/>
    </row>
    <row r="30" spans="2:18" x14ac:dyDescent="0.2">
      <c r="R30" s="73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CB51E-338B-466A-93DC-82FC6E2B6727}">
  <sheetPr>
    <tabColor theme="7" tint="0.39997558519241921"/>
  </sheetPr>
  <dimension ref="B2:W21"/>
  <sheetViews>
    <sheetView zoomScale="85" zoomScaleNormal="85" workbookViewId="0">
      <selection activeCell="G8" sqref="G8:T13"/>
    </sheetView>
  </sheetViews>
  <sheetFormatPr baseColWidth="10" defaultRowHeight="15" x14ac:dyDescent="0.25"/>
  <cols>
    <col min="1" max="1" width="5.7109375" style="2" customWidth="1"/>
    <col min="2" max="2" width="63.5703125" style="2" customWidth="1"/>
    <col min="3" max="3" width="11.42578125" style="2"/>
    <col min="4" max="4" width="15.28515625" style="2" customWidth="1"/>
    <col min="5" max="5" width="17.140625" style="2" customWidth="1"/>
    <col min="6" max="15" width="11.42578125" style="2"/>
    <col min="16" max="16" width="14.85546875" style="2" bestFit="1" customWidth="1"/>
    <col min="17" max="17" width="14.85546875" style="2" customWidth="1"/>
    <col min="18" max="19" width="15" style="2" customWidth="1"/>
    <col min="20" max="21" width="11.42578125" style="2"/>
    <col min="22" max="22" width="16.140625" style="2" customWidth="1"/>
    <col min="23" max="23" width="16.28515625" style="2" customWidth="1"/>
    <col min="24" max="16384" width="11.42578125" style="2"/>
  </cols>
  <sheetData>
    <row r="2" spans="2:23" x14ac:dyDescent="0.25">
      <c r="B2" s="1" t="s">
        <v>95</v>
      </c>
    </row>
    <row r="4" spans="2:23" x14ac:dyDescent="0.25">
      <c r="B4" s="3"/>
      <c r="C4" s="4">
        <v>2009</v>
      </c>
      <c r="D4" s="4">
        <v>2010</v>
      </c>
      <c r="E4" s="4">
        <v>2011</v>
      </c>
      <c r="F4" s="4">
        <v>2012</v>
      </c>
      <c r="G4" s="4">
        <v>2013</v>
      </c>
      <c r="H4" s="4">
        <v>2014</v>
      </c>
      <c r="I4" s="4">
        <v>2015</v>
      </c>
      <c r="J4" s="4">
        <v>2016</v>
      </c>
      <c r="K4" s="4">
        <v>2017</v>
      </c>
      <c r="L4" s="4">
        <v>2018</v>
      </c>
      <c r="M4" s="4">
        <v>2019</v>
      </c>
      <c r="N4" s="4">
        <v>2020</v>
      </c>
      <c r="O4" s="4">
        <v>2021</v>
      </c>
      <c r="P4" s="4">
        <v>2022</v>
      </c>
      <c r="Q4" s="4">
        <v>2023</v>
      </c>
      <c r="R4" s="5" t="s">
        <v>1</v>
      </c>
    </row>
    <row r="5" spans="2:23" x14ac:dyDescent="0.25">
      <c r="B5" s="6" t="s">
        <v>96</v>
      </c>
      <c r="C5" s="31">
        <f>'FC Invest. k€'!C5/'FC Prod GWh FC'!C14/20</f>
        <v>12.014276990581257</v>
      </c>
      <c r="D5" s="31">
        <f>'FC Invest. k€'!D5/'FC Prod GWh FC'!D14/20</f>
        <v>7.3981979744433346</v>
      </c>
      <c r="E5" s="31">
        <f>'FC Invest. k€'!E5/'FC Prod GWh FC'!E14/20</f>
        <v>11.198833766081924</v>
      </c>
      <c r="F5" s="31">
        <f>'FC Invest. k€'!F5/'FC Prod GWh FC'!F14/20</f>
        <v>11.491963730272005</v>
      </c>
      <c r="G5" s="31">
        <f>'FC Invest. k€'!G5/'FC Prod GWh FC'!G14/20</f>
        <v>14.004188830056961</v>
      </c>
      <c r="H5" s="31">
        <f>'FC Invest. k€'!H5/'FC Prod GWh FC'!H14/20</f>
        <v>11.43029304018097</v>
      </c>
      <c r="I5" s="31">
        <f>'FC Invest. k€'!I5/'FC Prod GWh FC'!I14/20</f>
        <v>11.085964844208261</v>
      </c>
      <c r="J5" s="31">
        <f>'FC Invest. k€'!J5/'FC Prod GWh FC'!J14/20</f>
        <v>12.551291727741818</v>
      </c>
      <c r="K5" s="31">
        <f>'FC Invest. k€'!K5/'FC Prod GWh FC'!K14/20</f>
        <v>15.668728113552405</v>
      </c>
      <c r="L5" s="31">
        <f>'FC Invest. k€'!L5/'FC Prod GWh FC'!L14/20</f>
        <v>17.04276191809636</v>
      </c>
      <c r="M5" s="31">
        <f>'FC Invest. k€'!M5/'FC Prod GWh FC'!M14/20</f>
        <v>16.066536257711114</v>
      </c>
      <c r="N5" s="31">
        <f>'FC Invest. k€'!N5/'FC Prod GWh FC'!N14/20</f>
        <v>18.58366661249141</v>
      </c>
      <c r="O5" s="31">
        <f>'FC Invest. k€'!O5/'FC Prod GWh FC'!O14/20</f>
        <v>20.90503538852607</v>
      </c>
      <c r="P5" s="31">
        <f>'FC Invest. k€'!P5/'FC Prod GWh FC'!P14/20</f>
        <v>21.363075526472077</v>
      </c>
      <c r="Q5" s="31">
        <f>'FC Invest. k€'!Q5/'FC Prod GWh FC'!Q14/20</f>
        <v>27.469254812517249</v>
      </c>
      <c r="R5" s="31">
        <f>'FC Invest. k€'!R5/'FC Prod GWh FC'!R14/20</f>
        <v>15.320614432931478</v>
      </c>
    </row>
    <row r="6" spans="2:23" x14ac:dyDescent="0.25">
      <c r="B6" s="9" t="s">
        <v>97</v>
      </c>
      <c r="C6" s="63">
        <f t="shared" ref="C6:Q6" si="0">SUM(C5:C5)</f>
        <v>12.014276990581257</v>
      </c>
      <c r="D6" s="63">
        <f t="shared" si="0"/>
        <v>7.3981979744433346</v>
      </c>
      <c r="E6" s="63">
        <f t="shared" si="0"/>
        <v>11.198833766081924</v>
      </c>
      <c r="F6" s="63">
        <f t="shared" si="0"/>
        <v>11.491963730272005</v>
      </c>
      <c r="G6" s="63">
        <f t="shared" si="0"/>
        <v>14.004188830056961</v>
      </c>
      <c r="H6" s="63">
        <f t="shared" si="0"/>
        <v>11.43029304018097</v>
      </c>
      <c r="I6" s="63">
        <f t="shared" si="0"/>
        <v>11.085964844208261</v>
      </c>
      <c r="J6" s="63">
        <f t="shared" si="0"/>
        <v>12.551291727741818</v>
      </c>
      <c r="K6" s="63">
        <f t="shared" si="0"/>
        <v>15.668728113552405</v>
      </c>
      <c r="L6" s="63">
        <f t="shared" si="0"/>
        <v>17.04276191809636</v>
      </c>
      <c r="M6" s="63">
        <f t="shared" si="0"/>
        <v>16.066536257711114</v>
      </c>
      <c r="N6" s="63">
        <f t="shared" si="0"/>
        <v>18.58366661249141</v>
      </c>
      <c r="O6" s="63">
        <f t="shared" si="0"/>
        <v>20.90503538852607</v>
      </c>
      <c r="P6" s="63">
        <f t="shared" si="0"/>
        <v>21.363075526472077</v>
      </c>
      <c r="Q6" s="63">
        <f t="shared" si="0"/>
        <v>27.469254812517249</v>
      </c>
      <c r="R6" s="63">
        <f>SUM(R5:R5)</f>
        <v>15.320614432931478</v>
      </c>
    </row>
    <row r="9" spans="2:23" x14ac:dyDescent="0.25">
      <c r="B9" s="1" t="s">
        <v>98</v>
      </c>
    </row>
    <row r="11" spans="2:23" x14ac:dyDescent="0.25">
      <c r="B11" s="3"/>
      <c r="C11" s="4">
        <v>2009</v>
      </c>
      <c r="D11" s="4">
        <v>2010</v>
      </c>
      <c r="E11" s="4">
        <v>2011</v>
      </c>
      <c r="F11" s="4">
        <v>2012</v>
      </c>
      <c r="G11" s="4">
        <v>2013</v>
      </c>
      <c r="H11" s="4">
        <v>2014</v>
      </c>
      <c r="I11" s="4">
        <v>2015</v>
      </c>
      <c r="J11" s="4">
        <v>2016</v>
      </c>
      <c r="K11" s="39">
        <v>2017</v>
      </c>
      <c r="L11" s="39">
        <v>2018</v>
      </c>
      <c r="M11" s="39">
        <v>2019</v>
      </c>
      <c r="N11" s="39">
        <v>2020</v>
      </c>
      <c r="O11" s="39">
        <v>2021</v>
      </c>
      <c r="P11" s="39">
        <v>2022</v>
      </c>
      <c r="Q11" s="39">
        <v>2023</v>
      </c>
      <c r="R11" s="5" t="s">
        <v>1</v>
      </c>
      <c r="T11" s="34"/>
      <c r="U11" s="34"/>
      <c r="V11" s="34"/>
      <c r="W11" s="34"/>
    </row>
    <row r="12" spans="2:23" x14ac:dyDescent="0.25">
      <c r="B12" s="11" t="s">
        <v>7</v>
      </c>
      <c r="C12" s="31">
        <f>'FC Invest. k€'!C13/'FC Prod GWh FC'!C5/20</f>
        <v>10.02861371898971</v>
      </c>
      <c r="D12" s="31">
        <f>'FC Invest. k€'!D13/'FC Prod GWh FC'!D5/20</f>
        <v>9.2033058943681212</v>
      </c>
      <c r="E12" s="31">
        <f>'FC Invest. k€'!E13/'FC Prod GWh FC'!E5/20</f>
        <v>9.0689477324858103</v>
      </c>
      <c r="F12" s="31">
        <f>'FC Invest. k€'!F13/'FC Prod GWh FC'!F5/20</f>
        <v>9.2242201982266963</v>
      </c>
      <c r="G12" s="31">
        <f>'FC Invest. k€'!G13/'FC Prod GWh FC'!G5/20</f>
        <v>8.6221198417306351</v>
      </c>
      <c r="H12" s="31">
        <f>'FC Invest. k€'!H13/'FC Prod GWh FC'!H5/20</f>
        <v>8.5247359240047729</v>
      </c>
      <c r="I12" s="31">
        <f>'FC Invest. k€'!I13/'FC Prod GWh FC'!I5/20</f>
        <v>8.2526712396101392</v>
      </c>
      <c r="J12" s="31">
        <f>'FC Invest. k€'!J13/'FC Prod GWh FC'!J5/20</f>
        <v>9.5272157502515391</v>
      </c>
      <c r="K12" s="31">
        <f>'FC Invest. k€'!K13/'FC Prod GWh FC'!K5/20</f>
        <v>8.1246175290369163</v>
      </c>
      <c r="L12" s="31">
        <f>'FC Invest. k€'!L13/'FC Prod GWh FC'!L5/20</f>
        <v>11.083191385905931</v>
      </c>
      <c r="M12" s="31">
        <f>'FC Invest. k€'!M13/'FC Prod GWh FC'!M5/20</f>
        <v>8.7600539011142295</v>
      </c>
      <c r="N12" s="31">
        <f>'FC Invest. k€'!N13/'FC Prod GWh FC'!N5/20</f>
        <v>15.871365419434738</v>
      </c>
      <c r="O12" s="31">
        <f>'FC Invest. k€'!O13/'FC Prod GWh FC'!O5/20</f>
        <v>12.714587573842252</v>
      </c>
      <c r="P12" s="31">
        <f>'FC Invest. k€'!P13/'FC Prod GWh FC'!P5/20</f>
        <v>16.643991504516059</v>
      </c>
      <c r="Q12" s="31">
        <f>'FC Invest. k€'!Q13/'FC Prod GWh FC'!Q5/20</f>
        <v>24.769229841038609</v>
      </c>
      <c r="R12" s="31">
        <f>'FC Invest. k€'!R13/'FC Prod GWh FC'!R5/20</f>
        <v>11.346978541681484</v>
      </c>
      <c r="S12" s="37">
        <v>126862.98816860002</v>
      </c>
      <c r="T12" s="34">
        <v>3886.9</v>
      </c>
      <c r="U12" s="35">
        <f t="shared" ref="U12:U17" si="1">P12-R12</f>
        <v>5.2970129628345752</v>
      </c>
      <c r="V12" s="36">
        <f>U12-T12</f>
        <v>-3881.6029870371653</v>
      </c>
      <c r="W12" s="35">
        <f>T12+V12+R12</f>
        <v>16.643991504516226</v>
      </c>
    </row>
    <row r="13" spans="2:23" x14ac:dyDescent="0.25">
      <c r="B13" s="11" t="s">
        <v>8</v>
      </c>
      <c r="C13" s="31">
        <f>'FC Invest. k€'!C14/'FC Prod GWh FC'!C6/20</f>
        <v>4.4824766249174628</v>
      </c>
      <c r="D13" s="31">
        <f>'FC Invest. k€'!D14/'FC Prod GWh FC'!D6/20</f>
        <v>3.8142499703959052</v>
      </c>
      <c r="E13" s="31">
        <f>'FC Invest. k€'!E14/'FC Prod GWh FC'!E6/20</f>
        <v>4.8513388300284186</v>
      </c>
      <c r="F13" s="31">
        <f>'FC Invest. k€'!F14/'FC Prod GWh FC'!F6/20</f>
        <v>4.6286750625867628</v>
      </c>
      <c r="G13" s="31">
        <f>'FC Invest. k€'!G14/'FC Prod GWh FC'!G6/20</f>
        <v>4.7254276073569335</v>
      </c>
      <c r="H13" s="31">
        <f>'FC Invest. k€'!H14/'FC Prod GWh FC'!H6/20</f>
        <v>5.2217558342085528</v>
      </c>
      <c r="I13" s="31">
        <f>'FC Invest. k€'!I14/'FC Prod GWh FC'!I6/20</f>
        <v>6.1603935184002125</v>
      </c>
      <c r="J13" s="31">
        <f>'FC Invest. k€'!J14/'FC Prod GWh FC'!J6/20</f>
        <v>6.022538578041833</v>
      </c>
      <c r="K13" s="31">
        <f>'FC Invest. k€'!K14/'FC Prod GWh FC'!K6/20</f>
        <v>6.533895893560393</v>
      </c>
      <c r="L13" s="31">
        <f>'FC Invest. k€'!L14/'FC Prod GWh FC'!L6/20</f>
        <v>8.5283366780900405</v>
      </c>
      <c r="M13" s="31">
        <f>'FC Invest. k€'!M14/'FC Prod GWh FC'!M6/20</f>
        <v>6.4208393996544144</v>
      </c>
      <c r="N13" s="31">
        <f>'FC Invest. k€'!N14/'FC Prod GWh FC'!N6/20</f>
        <v>6.378319341986221</v>
      </c>
      <c r="O13" s="31">
        <f>'FC Invest. k€'!O14/'FC Prod GWh FC'!O6/20</f>
        <v>6.8874324211446947</v>
      </c>
      <c r="P13" s="31">
        <f>'FC Invest. k€'!P14/'FC Prod GWh FC'!P6/20</f>
        <v>10.757610570450582</v>
      </c>
      <c r="Q13" s="31">
        <f>'FC Invest. k€'!Q14/'FC Prod GWh FC'!Q6/20</f>
        <v>14.402773566922983</v>
      </c>
      <c r="R13" s="31">
        <f>'FC Invest. k€'!R14/'FC Prod GWh FC'!R6/20</f>
        <v>5.8746210392366027</v>
      </c>
      <c r="S13" s="37"/>
      <c r="T13" s="34"/>
      <c r="U13" s="35">
        <f t="shared" si="1"/>
        <v>4.8829895312139797</v>
      </c>
      <c r="V13" s="36">
        <f t="shared" ref="V13:V17" si="2">U13-T13</f>
        <v>4.8829895312139797</v>
      </c>
      <c r="W13" s="35">
        <f t="shared" ref="W13:W17" si="3">T13+V13+R13</f>
        <v>10.757610570450582</v>
      </c>
    </row>
    <row r="14" spans="2:23" x14ac:dyDescent="0.25">
      <c r="B14" s="11" t="s">
        <v>9</v>
      </c>
      <c r="C14" s="31">
        <f>'FC Invest. k€'!C15/'FC Prod GWh FC'!C7/20</f>
        <v>20.01169509767962</v>
      </c>
      <c r="D14" s="31">
        <f>'FC Invest. k€'!D15/'FC Prod GWh FC'!D7/20</f>
        <v>18.899454999753381</v>
      </c>
      <c r="E14" s="31">
        <f>'FC Invest. k€'!E15/'FC Prod GWh FC'!E7/20</f>
        <v>15.145662475953614</v>
      </c>
      <c r="F14" s="31">
        <f>'FC Invest. k€'!F15/'FC Prod GWh FC'!F7/20</f>
        <v>24.028509687197086</v>
      </c>
      <c r="G14" s="31">
        <f>'FC Invest. k€'!G15/'FC Prod GWh FC'!G7/20</f>
        <v>15.165913990635001</v>
      </c>
      <c r="H14" s="31">
        <f>'FC Invest. k€'!H15/'FC Prod GWh FC'!H7/20</f>
        <v>21.429972170163275</v>
      </c>
      <c r="I14" s="31">
        <f>'FC Invest. k€'!I15/'FC Prod GWh FC'!I7/20</f>
        <v>10.483669017799645</v>
      </c>
      <c r="J14" s="31">
        <f>'FC Invest. k€'!J15/'FC Prod GWh FC'!J7/20</f>
        <v>18.258153272369505</v>
      </c>
      <c r="K14" s="31">
        <f>'FC Invest. k€'!K15/'FC Prod GWh FC'!K7/20</f>
        <v>26.457942280958708</v>
      </c>
      <c r="L14" s="31">
        <f>'FC Invest. k€'!L15/'FC Prod GWh FC'!L7/20</f>
        <v>15.135635526986301</v>
      </c>
      <c r="M14" s="31">
        <f>'FC Invest. k€'!M15/'FC Prod GWh FC'!M7/20</f>
        <v>22.927014173478732</v>
      </c>
      <c r="N14" s="31">
        <f>'FC Invest. k€'!N15/'FC Prod GWh FC'!N7/20</f>
        <v>14.935939164308667</v>
      </c>
      <c r="O14" s="31">
        <f>'FC Invest. k€'!O15/'FC Prod GWh FC'!O7/20</f>
        <v>18.987949129238309</v>
      </c>
      <c r="P14" s="31">
        <f>'FC Invest. k€'!P15/'FC Prod GWh FC'!P7/20</f>
        <v>28.596269620748814</v>
      </c>
      <c r="Q14" s="31">
        <f>'FC Invest. k€'!Q15/'FC Prod GWh FC'!Q7/20</f>
        <v>30.508886001397105</v>
      </c>
      <c r="R14" s="31">
        <f>'FC Invest. k€'!R15/'FC Prod GWh FC'!R7/20</f>
        <v>19.236526742490849</v>
      </c>
      <c r="S14" s="37">
        <v>20818.200979400001</v>
      </c>
      <c r="T14" s="34">
        <v>91.47</v>
      </c>
      <c r="U14" s="35">
        <f t="shared" si="1"/>
        <v>9.3597428782579648</v>
      </c>
      <c r="V14" s="36">
        <f t="shared" si="2"/>
        <v>-82.110257121742038</v>
      </c>
      <c r="W14" s="35">
        <f t="shared" si="3"/>
        <v>28.59626962074881</v>
      </c>
    </row>
    <row r="15" spans="2:23" x14ac:dyDescent="0.25">
      <c r="B15" s="11" t="s">
        <v>10</v>
      </c>
      <c r="C15" s="31">
        <f>'FC Invest. k€'!C16/'FC Prod GWh FC'!C8/20</f>
        <v>2.6179815667246604</v>
      </c>
      <c r="D15" s="31">
        <f>'FC Invest. k€'!D16/'FC Prod GWh FC'!D8/20</f>
        <v>5.5578268586630433</v>
      </c>
      <c r="E15" s="31">
        <f>'FC Invest. k€'!E16/'FC Prod GWh FC'!E8/20</f>
        <v>1.1408181272078373</v>
      </c>
      <c r="F15" s="31">
        <f>'FC Invest. k€'!F16/'FC Prod GWh FC'!F8/20</f>
        <v>0</v>
      </c>
      <c r="G15" s="31">
        <f>'FC Invest. k€'!G16/'FC Prod GWh FC'!G8/20</f>
        <v>5.1061960182461537</v>
      </c>
      <c r="H15" s="31">
        <f>'FC Invest. k€'!H16/'FC Prod GWh FC'!H8/20</f>
        <v>5.0379411131736953</v>
      </c>
      <c r="I15" s="31">
        <f>'FC Invest. k€'!I16/'FC Prod GWh FC'!I8/20</f>
        <v>18.789108641481654</v>
      </c>
      <c r="J15" s="31">
        <f>'FC Invest. k€'!J16/'FC Prod GWh FC'!J8/20</f>
        <v>16.485269202567398</v>
      </c>
      <c r="K15" s="31">
        <f>'FC Invest. k€'!K16/'FC Prod GWh FC'!K8/20</f>
        <v>22.700513409827863</v>
      </c>
      <c r="L15" s="31">
        <f>'FC Invest. k€'!L16/'FC Prod GWh FC'!L8/20</f>
        <v>18.017601410243152</v>
      </c>
      <c r="M15" s="31">
        <f>'FC Invest. k€'!M16/'FC Prod GWh FC'!M8/20</f>
        <v>23.94205552317446</v>
      </c>
      <c r="N15" s="31">
        <f>'FC Invest. k€'!N16/'FC Prod GWh FC'!N8/20</f>
        <v>25.747067929398106</v>
      </c>
      <c r="O15" s="31">
        <f>'FC Invest. k€'!O16/'FC Prod GWh FC'!O8/20</f>
        <v>24.733048134689735</v>
      </c>
      <c r="P15" s="31">
        <f>'FC Invest. k€'!P16/'FC Prod GWh FC'!P8/20</f>
        <v>25.969154735374406</v>
      </c>
      <c r="Q15" s="31">
        <f>'FC Invest. k€'!Q16/'FC Prod GWh FC'!Q8/20</f>
        <v>22.414172498012654</v>
      </c>
      <c r="R15" s="31">
        <f>'FC Invest. k€'!R16/'FC Prod GWh FC'!R8/20</f>
        <v>21.125032058212113</v>
      </c>
      <c r="S15" s="37"/>
      <c r="T15" s="34"/>
      <c r="U15" s="35">
        <f t="shared" si="1"/>
        <v>4.8441226771622929</v>
      </c>
      <c r="V15" s="36">
        <f t="shared" si="2"/>
        <v>4.8441226771622929</v>
      </c>
      <c r="W15" s="35">
        <f t="shared" si="3"/>
        <v>25.969154735374406</v>
      </c>
    </row>
    <row r="16" spans="2:23" x14ac:dyDescent="0.25">
      <c r="B16" s="11" t="s">
        <v>11</v>
      </c>
      <c r="C16" s="31">
        <f>'FC Invest. k€'!C17/'FC Prod GWh FC'!C9/20</f>
        <v>92.889464482501609</v>
      </c>
      <c r="D16" s="31">
        <f>'FC Invest. k€'!D17/'FC Prod GWh FC'!D9/20</f>
        <v>97.312748448432046</v>
      </c>
      <c r="E16" s="31">
        <f>'FC Invest. k€'!E17/'FC Prod GWh FC'!E9/20</f>
        <v>105.8450855146322</v>
      </c>
      <c r="F16" s="31">
        <f>'FC Invest. k€'!F17/'FC Prod GWh FC'!F9/20</f>
        <v>95.312423881147623</v>
      </c>
      <c r="G16" s="31">
        <f>'FC Invest. k€'!G17/'FC Prod GWh FC'!G9/20</f>
        <v>99.659521627075918</v>
      </c>
      <c r="H16" s="31">
        <f>'FC Invest. k€'!H17/'FC Prod GWh FC'!H9/20</f>
        <v>105.5519082370258</v>
      </c>
      <c r="I16" s="31">
        <f>'FC Invest. k€'!I17/'FC Prod GWh FC'!I9/20</f>
        <v>110.64112463791098</v>
      </c>
      <c r="J16" s="31">
        <f>'FC Invest. k€'!J17/'FC Prod GWh FC'!J9/20</f>
        <v>163.73299319375525</v>
      </c>
      <c r="K16" s="31">
        <f>'FC Invest. k€'!K17/'FC Prod GWh FC'!K9/20</f>
        <v>69.197971874659075</v>
      </c>
      <c r="L16" s="31">
        <f>'FC Invest. k€'!L17/'FC Prod GWh FC'!L9/20</f>
        <v>51.695404268247486</v>
      </c>
      <c r="M16" s="31">
        <f>'FC Invest. k€'!M17/'FC Prod GWh FC'!M9/20</f>
        <v>46.376897561346198</v>
      </c>
      <c r="N16" s="31">
        <f>'FC Invest. k€'!N17/'FC Prod GWh FC'!N9/20</f>
        <v>74.371959482249366</v>
      </c>
      <c r="O16" s="31">
        <f>'FC Invest. k€'!O17/'FC Prod GWh FC'!O9/20</f>
        <v>45.003483624286261</v>
      </c>
      <c r="P16" s="31">
        <f>'FC Invest. k€'!P17/'FC Prod GWh FC'!P9/20</f>
        <v>53.911988013448862</v>
      </c>
      <c r="Q16" s="31">
        <f>'FC Invest. k€'!Q17/'FC Prod GWh FC'!Q9/20</f>
        <v>42.761733961114594</v>
      </c>
      <c r="R16" s="31">
        <f>'FC Invest. k€'!R17/'FC Prod GWh FC'!R9/20</f>
        <v>69.89492086196681</v>
      </c>
      <c r="S16" s="37">
        <v>3852.4800246</v>
      </c>
      <c r="T16" s="34">
        <v>1395.3219999999999</v>
      </c>
      <c r="U16" s="35">
        <f t="shared" si="1"/>
        <v>-15.982932848517947</v>
      </c>
      <c r="V16" s="36">
        <f t="shared" si="2"/>
        <v>-1411.3049328485179</v>
      </c>
      <c r="W16" s="35">
        <f t="shared" si="3"/>
        <v>53.911988013448834</v>
      </c>
    </row>
    <row r="17" spans="2:23" x14ac:dyDescent="0.25">
      <c r="B17" s="11" t="s">
        <v>192</v>
      </c>
      <c r="C17" s="31">
        <f>'FC Invest. k€'!C18*1000/'FC ml réseaux'!C5</f>
        <v>1825.5665076469763</v>
      </c>
      <c r="D17" s="31">
        <f>'FC Invest. k€'!D18*1000/'FC ml réseaux'!D5</f>
        <v>740.85739030144236</v>
      </c>
      <c r="E17" s="31">
        <f>'FC Invest. k€'!E18*1000/'FC ml réseaux'!E5</f>
        <v>903.04611340245935</v>
      </c>
      <c r="F17" s="31">
        <f>'FC Invest. k€'!F18*1000/'FC ml réseaux'!F5</f>
        <v>780.38132366700802</v>
      </c>
      <c r="G17" s="31">
        <f>'FC Invest. k€'!G18*1000/'FC ml réseaux'!G5</f>
        <v>1111.26639256418</v>
      </c>
      <c r="H17" s="31">
        <f>'FC Invest. k€'!H18*1000/'FC ml réseaux'!H5</f>
        <v>745.20773083405231</v>
      </c>
      <c r="I17" s="31">
        <f>'FC Invest. k€'!I18*1000/'FC ml réseaux'!I5</f>
        <v>766.45857000310446</v>
      </c>
      <c r="J17" s="31">
        <f>'FC Invest. k€'!J18*1000/'FC ml réseaux'!J5</f>
        <v>745.81079707405445</v>
      </c>
      <c r="K17" s="31">
        <f>'FC Invest. k€'!K18*1000/'FC ml réseaux'!K5</f>
        <v>1047.2032197405122</v>
      </c>
      <c r="L17" s="31">
        <f>'FC Invest. k€'!L18*1000/'FC ml réseaux'!L5</f>
        <v>853.0943719652729</v>
      </c>
      <c r="M17" s="31">
        <f>'FC Invest. k€'!M18*1000/'FC ml réseaux'!M5</f>
        <v>871.02275866857065</v>
      </c>
      <c r="N17" s="31">
        <f>'FC Invest. k€'!N18*1000/'FC ml réseaux'!N5</f>
        <v>1065.4919383284671</v>
      </c>
      <c r="O17" s="31">
        <f>'FC Invest. k€'!O18*1000/'FC ml réseaux'!O5</f>
        <v>1146.7526395746872</v>
      </c>
      <c r="P17" s="31">
        <f>'FC Invest. k€'!P18*1000/'FC ml réseaux'!P5</f>
        <v>1603.1282723068628</v>
      </c>
      <c r="Q17" s="31">
        <f>'FC Invest. k€'!Q18*1000/'FC ml réseaux'!Q5</f>
        <v>1444.9330251020558</v>
      </c>
      <c r="R17" s="31">
        <f>'FC Invest. k€'!R18*1000/'FC ml réseaux'!R5</f>
        <v>1136.4541717296561</v>
      </c>
      <c r="S17" s="37">
        <v>11718.749495200002</v>
      </c>
      <c r="T17" s="34"/>
      <c r="U17" s="35">
        <f t="shared" si="1"/>
        <v>466.67410057720667</v>
      </c>
      <c r="V17" s="36">
        <f t="shared" si="2"/>
        <v>466.67410057720667</v>
      </c>
      <c r="W17" s="35">
        <f t="shared" si="3"/>
        <v>1603.1282723068628</v>
      </c>
    </row>
    <row r="20" spans="2:23" x14ac:dyDescent="0.25">
      <c r="B20" s="11" t="s">
        <v>190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31">
        <f>'FC Invest. k€'!O24/'FC Prod GWh FC'!O16/20</f>
        <v>6.7344265435017929</v>
      </c>
      <c r="P20" s="31">
        <f>'FC Invest. k€'!P24/'FC Prod GWh FC'!P16/20</f>
        <v>8.3010068960959345</v>
      </c>
      <c r="Q20" s="31">
        <f>'FC Invest. k€'!Q24/'FC Prod GWh FC'!Q16/20</f>
        <v>11.219401690498199</v>
      </c>
      <c r="R20" s="31">
        <f>'FC Invest. k€'!R24/'FC Prod GWh FC'!R16/20</f>
        <v>8.9920054657384156</v>
      </c>
    </row>
    <row r="21" spans="2:23" x14ac:dyDescent="0.25">
      <c r="B21" s="9" t="s">
        <v>191</v>
      </c>
      <c r="C21" s="63">
        <f t="shared" ref="C21:N21" si="4">C6</f>
        <v>12.014276990581257</v>
      </c>
      <c r="D21" s="63">
        <f t="shared" si="4"/>
        <v>7.3981979744433346</v>
      </c>
      <c r="E21" s="63">
        <f t="shared" si="4"/>
        <v>11.198833766081924</v>
      </c>
      <c r="F21" s="63">
        <f t="shared" si="4"/>
        <v>11.491963730272005</v>
      </c>
      <c r="G21" s="63">
        <f t="shared" si="4"/>
        <v>14.004188830056961</v>
      </c>
      <c r="H21" s="63">
        <f t="shared" si="4"/>
        <v>11.43029304018097</v>
      </c>
      <c r="I21" s="63">
        <f t="shared" si="4"/>
        <v>11.085964844208261</v>
      </c>
      <c r="J21" s="63">
        <f t="shared" si="4"/>
        <v>12.551291727741818</v>
      </c>
      <c r="K21" s="63">
        <f t="shared" si="4"/>
        <v>15.668728113552405</v>
      </c>
      <c r="L21" s="63">
        <f t="shared" si="4"/>
        <v>17.04276191809636</v>
      </c>
      <c r="M21" s="63">
        <f t="shared" si="4"/>
        <v>16.066536257711114</v>
      </c>
      <c r="N21" s="63">
        <f t="shared" si="4"/>
        <v>18.58366661249141</v>
      </c>
      <c r="O21" s="63">
        <f>'FC Invest. k€'!O26/'FC Prod GWh FC'!O17/20</f>
        <v>16.404177705923217</v>
      </c>
      <c r="P21" s="63">
        <f>'FC Invest. k€'!P26/'FC Prod GWh FC'!P17/20</f>
        <v>16.805606388201536</v>
      </c>
      <c r="Q21" s="63">
        <f>'FC Invest. k€'!Q26/'FC Prod GWh FC'!Q17/20</f>
        <v>21.312635430550149</v>
      </c>
      <c r="R21" s="63">
        <f>'FC Invest. k€'!R26/'FC Prod GWh FC'!R17/20</f>
        <v>14.758234545373195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16456-2BB4-4D9D-A66C-C9D4657EC526}">
  <sheetPr>
    <tabColor theme="7" tint="0.39997558519241921"/>
  </sheetPr>
  <dimension ref="A1:G18"/>
  <sheetViews>
    <sheetView workbookViewId="0">
      <selection activeCell="B49" sqref="B49"/>
    </sheetView>
  </sheetViews>
  <sheetFormatPr baseColWidth="10" defaultRowHeight="15" x14ac:dyDescent="0.25"/>
  <cols>
    <col min="2" max="2" width="17.140625" customWidth="1"/>
    <col min="3" max="3" width="15.140625" customWidth="1"/>
    <col min="5" max="6" width="15.85546875" customWidth="1"/>
    <col min="7" max="7" width="17" customWidth="1"/>
  </cols>
  <sheetData>
    <row r="1" spans="1:7" x14ac:dyDescent="0.25">
      <c r="A1" t="s">
        <v>102</v>
      </c>
    </row>
    <row r="3" spans="1:7" ht="90" x14ac:dyDescent="0.25">
      <c r="A3" s="66" t="s">
        <v>103</v>
      </c>
      <c r="B3" s="67" t="s">
        <v>105</v>
      </c>
      <c r="C3" s="67" t="s">
        <v>107</v>
      </c>
      <c r="D3" s="67" t="s">
        <v>106</v>
      </c>
      <c r="E3" s="67" t="s">
        <v>108</v>
      </c>
      <c r="F3" s="67" t="s">
        <v>109</v>
      </c>
      <c r="G3" s="67" t="s">
        <v>104</v>
      </c>
    </row>
    <row r="4" spans="1:7" x14ac:dyDescent="0.25">
      <c r="A4" s="68">
        <v>2009</v>
      </c>
      <c r="B4" s="70">
        <f>'FC Aide k€ FC'!C7</f>
        <v>168575</v>
      </c>
      <c r="C4" s="10">
        <v>4499</v>
      </c>
      <c r="D4" s="71">
        <f>C4/1000</f>
        <v>4.4989999999999997</v>
      </c>
      <c r="E4" s="72">
        <f>B4+C4</f>
        <v>173074</v>
      </c>
      <c r="F4" s="69">
        <f>C4/E4</f>
        <v>2.5994661243167662E-2</v>
      </c>
      <c r="G4" s="69">
        <f>B4/E4</f>
        <v>0.97400533875683237</v>
      </c>
    </row>
    <row r="5" spans="1:7" x14ac:dyDescent="0.25">
      <c r="A5" s="68">
        <v>2010</v>
      </c>
      <c r="B5" s="70">
        <f>'FC Aide k€ FC'!D7</f>
        <v>263468</v>
      </c>
      <c r="C5" s="10">
        <v>4073</v>
      </c>
      <c r="D5" s="71">
        <f t="shared" ref="D5:D18" si="0">C5/1000</f>
        <v>4.0730000000000004</v>
      </c>
      <c r="E5" s="72">
        <f t="shared" ref="E5:E18" si="1">B5+C5</f>
        <v>267541</v>
      </c>
      <c r="F5" s="69">
        <f t="shared" ref="F5:F18" si="2">C5/E5</f>
        <v>1.5223834851480707E-2</v>
      </c>
      <c r="G5" s="69">
        <f t="shared" ref="G5:G18" si="3">B5/E5</f>
        <v>0.98477616514851929</v>
      </c>
    </row>
    <row r="6" spans="1:7" x14ac:dyDescent="0.25">
      <c r="A6" s="68">
        <v>2011</v>
      </c>
      <c r="B6" s="70">
        <f>'FC Aide k€ FC'!E7</f>
        <v>248454</v>
      </c>
      <c r="C6" s="10">
        <v>8430</v>
      </c>
      <c r="D6" s="71">
        <f t="shared" si="0"/>
        <v>8.43</v>
      </c>
      <c r="E6" s="72">
        <f t="shared" si="1"/>
        <v>256884</v>
      </c>
      <c r="F6" s="69">
        <f t="shared" si="2"/>
        <v>3.2816368477600784E-2</v>
      </c>
      <c r="G6" s="69">
        <f t="shared" si="3"/>
        <v>0.96718363152239917</v>
      </c>
    </row>
    <row r="7" spans="1:7" x14ac:dyDescent="0.25">
      <c r="A7" s="68">
        <v>2012</v>
      </c>
      <c r="B7" s="70">
        <f>'FC Aide k€ FC'!F7</f>
        <v>231377</v>
      </c>
      <c r="C7" s="10">
        <v>4273</v>
      </c>
      <c r="D7" s="71">
        <f t="shared" si="0"/>
        <v>4.2729999999999997</v>
      </c>
      <c r="E7" s="72">
        <f t="shared" si="1"/>
        <v>235650</v>
      </c>
      <c r="F7" s="69">
        <f t="shared" si="2"/>
        <v>1.8132824103543391E-2</v>
      </c>
      <c r="G7" s="69">
        <f t="shared" si="3"/>
        <v>0.98186717589645656</v>
      </c>
    </row>
    <row r="8" spans="1:7" x14ac:dyDescent="0.25">
      <c r="A8" s="68">
        <v>2013</v>
      </c>
      <c r="B8" s="70">
        <f>'FC Aide k€ FC'!G7</f>
        <v>206120</v>
      </c>
      <c r="C8" s="10">
        <v>6259</v>
      </c>
      <c r="D8" s="71">
        <f t="shared" si="0"/>
        <v>6.2590000000000003</v>
      </c>
      <c r="E8" s="72">
        <f t="shared" si="1"/>
        <v>212379</v>
      </c>
      <c r="F8" s="69">
        <f t="shared" si="2"/>
        <v>2.9470898723508446E-2</v>
      </c>
      <c r="G8" s="69">
        <f t="shared" si="3"/>
        <v>0.9705291012764915</v>
      </c>
    </row>
    <row r="9" spans="1:7" x14ac:dyDescent="0.25">
      <c r="A9" s="68">
        <v>2014</v>
      </c>
      <c r="B9" s="70">
        <f>'FC Aide k€ FC'!H7</f>
        <v>165124</v>
      </c>
      <c r="C9" s="10">
        <v>17111.832291809002</v>
      </c>
      <c r="D9" s="71">
        <f t="shared" si="0"/>
        <v>17.111832291809002</v>
      </c>
      <c r="E9" s="72">
        <f t="shared" si="1"/>
        <v>182235.832291809</v>
      </c>
      <c r="F9" s="69">
        <f t="shared" si="2"/>
        <v>9.3899383434144376E-2</v>
      </c>
      <c r="G9" s="69">
        <f t="shared" si="3"/>
        <v>0.90610061656585561</v>
      </c>
    </row>
    <row r="10" spans="1:7" x14ac:dyDescent="0.25">
      <c r="A10" s="68">
        <v>2015</v>
      </c>
      <c r="B10" s="70">
        <f>'FC Aide k€ FC'!I7</f>
        <v>216354</v>
      </c>
      <c r="C10" s="10">
        <v>26533.314686674996</v>
      </c>
      <c r="D10" s="71">
        <f t="shared" si="0"/>
        <v>26.533314686674995</v>
      </c>
      <c r="E10" s="72">
        <f t="shared" si="1"/>
        <v>242887.314686675</v>
      </c>
      <c r="F10" s="69">
        <f t="shared" si="2"/>
        <v>0.10924125338082399</v>
      </c>
      <c r="G10" s="69">
        <f t="shared" si="3"/>
        <v>0.89075874661917598</v>
      </c>
    </row>
    <row r="11" spans="1:7" x14ac:dyDescent="0.25">
      <c r="A11" s="68">
        <v>2016</v>
      </c>
      <c r="B11" s="70">
        <f>'FC Aide k€ FC'!J7</f>
        <v>213000</v>
      </c>
      <c r="C11" s="10">
        <v>20439.260827536</v>
      </c>
      <c r="D11" s="71">
        <f t="shared" si="0"/>
        <v>20.439260827536</v>
      </c>
      <c r="E11" s="72">
        <f t="shared" si="1"/>
        <v>233439.260827536</v>
      </c>
      <c r="F11" s="69">
        <f t="shared" si="2"/>
        <v>8.7557083393253396E-2</v>
      </c>
      <c r="G11" s="69">
        <f t="shared" si="3"/>
        <v>0.91244291660674659</v>
      </c>
    </row>
    <row r="12" spans="1:7" x14ac:dyDescent="0.25">
      <c r="A12" s="68">
        <v>2017</v>
      </c>
      <c r="B12" s="70">
        <f>'FC Aide k€ FC'!K7</f>
        <v>197255</v>
      </c>
      <c r="C12" s="10">
        <v>38857.708932079004</v>
      </c>
      <c r="D12" s="71">
        <f t="shared" si="0"/>
        <v>38.857708932079007</v>
      </c>
      <c r="E12" s="72">
        <f t="shared" si="1"/>
        <v>236112.708932079</v>
      </c>
      <c r="F12" s="69">
        <f t="shared" si="2"/>
        <v>0.16457271236194637</v>
      </c>
      <c r="G12" s="69">
        <f t="shared" si="3"/>
        <v>0.83542728763805363</v>
      </c>
    </row>
    <row r="13" spans="1:7" x14ac:dyDescent="0.25">
      <c r="A13" s="68">
        <v>2018</v>
      </c>
      <c r="B13" s="70">
        <f>'FC Aide k€ FC'!L7</f>
        <v>259006</v>
      </c>
      <c r="C13" s="10">
        <v>81117.423049994002</v>
      </c>
      <c r="D13" s="71">
        <f t="shared" si="0"/>
        <v>81.117423049994002</v>
      </c>
      <c r="E13" s="72">
        <f t="shared" si="1"/>
        <v>340123.42304999399</v>
      </c>
      <c r="F13" s="69">
        <f t="shared" si="2"/>
        <v>0.23849408053873059</v>
      </c>
      <c r="G13" s="69">
        <f t="shared" si="3"/>
        <v>0.76150591946126944</v>
      </c>
    </row>
    <row r="14" spans="1:7" x14ac:dyDescent="0.25">
      <c r="A14" s="68">
        <v>2019</v>
      </c>
      <c r="B14" s="70">
        <f>'FC Aide k€ FC'!M7</f>
        <v>294604</v>
      </c>
      <c r="C14" s="10">
        <v>73193.264338570996</v>
      </c>
      <c r="D14" s="71">
        <f t="shared" si="0"/>
        <v>73.193264338570998</v>
      </c>
      <c r="E14" s="72">
        <f t="shared" si="1"/>
        <v>367797.264338571</v>
      </c>
      <c r="F14" s="69">
        <f t="shared" si="2"/>
        <v>0.19900437397270548</v>
      </c>
      <c r="G14" s="69">
        <f t="shared" si="3"/>
        <v>0.80099562602729457</v>
      </c>
    </row>
    <row r="15" spans="1:7" x14ac:dyDescent="0.25">
      <c r="A15" s="68">
        <v>2020</v>
      </c>
      <c r="B15" s="70">
        <f>'FC Aide k€ FC'!N7</f>
        <v>349677</v>
      </c>
      <c r="C15" s="10">
        <v>92574.355548216001</v>
      </c>
      <c r="D15" s="71">
        <f t="shared" si="0"/>
        <v>92.574355548216005</v>
      </c>
      <c r="E15" s="72">
        <f t="shared" si="1"/>
        <v>442251.35554821603</v>
      </c>
      <c r="F15" s="69">
        <f t="shared" si="2"/>
        <v>0.20932520474348928</v>
      </c>
      <c r="G15" s="69">
        <f t="shared" si="3"/>
        <v>0.79067479525651063</v>
      </c>
    </row>
    <row r="16" spans="1:7" x14ac:dyDescent="0.25">
      <c r="A16" s="68">
        <v>2021</v>
      </c>
      <c r="B16" s="70">
        <f>'FC Aide k€ FC'!O7</f>
        <v>349558.16836000001</v>
      </c>
      <c r="C16" s="10">
        <v>36845.171339496999</v>
      </c>
      <c r="D16" s="71">
        <f t="shared" si="0"/>
        <v>36.845171339497</v>
      </c>
      <c r="E16" s="72">
        <f t="shared" si="1"/>
        <v>386403.33969949698</v>
      </c>
      <c r="F16" s="69">
        <f t="shared" si="2"/>
        <v>9.5354174133565242E-2</v>
      </c>
      <c r="G16" s="69">
        <f t="shared" si="3"/>
        <v>0.90464582586643483</v>
      </c>
    </row>
    <row r="17" spans="1:7" x14ac:dyDescent="0.25">
      <c r="A17" s="68">
        <v>2022</v>
      </c>
      <c r="B17" s="70">
        <f>'FC Aide k€ FC'!P7</f>
        <v>521715.19248000009</v>
      </c>
      <c r="C17" s="10">
        <v>36521.267241745998</v>
      </c>
      <c r="D17" s="71">
        <f t="shared" si="0"/>
        <v>36.521267241745996</v>
      </c>
      <c r="E17" s="72">
        <f t="shared" si="1"/>
        <v>558236.45972174604</v>
      </c>
      <c r="F17" s="69">
        <f t="shared" si="2"/>
        <v>6.5422576053076303E-2</v>
      </c>
      <c r="G17" s="69">
        <f t="shared" si="3"/>
        <v>0.93457742394692378</v>
      </c>
    </row>
    <row r="18" spans="1:7" x14ac:dyDescent="0.25">
      <c r="A18" s="68">
        <v>2023</v>
      </c>
      <c r="B18" s="70">
        <f>'FC Aide k€ FC'!Q7</f>
        <v>600846.9769799998</v>
      </c>
      <c r="C18" s="10">
        <v>54049</v>
      </c>
      <c r="D18" s="71">
        <f t="shared" si="0"/>
        <v>54.048999999999999</v>
      </c>
      <c r="E18" s="72">
        <f t="shared" si="1"/>
        <v>654895.9769799998</v>
      </c>
      <c r="F18" s="69">
        <f t="shared" si="2"/>
        <v>8.2530664257921729E-2</v>
      </c>
      <c r="G18" s="69">
        <f t="shared" si="3"/>
        <v>0.91746933574207823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2F078-E5EE-41AB-832D-57A8EA2709F5}">
  <dimension ref="A1:P147"/>
  <sheetViews>
    <sheetView topLeftCell="A61" zoomScale="90" zoomScaleNormal="90" workbookViewId="0">
      <selection activeCell="F151" sqref="F151"/>
    </sheetView>
  </sheetViews>
  <sheetFormatPr baseColWidth="10" defaultRowHeight="15" x14ac:dyDescent="0.25"/>
  <cols>
    <col min="1" max="1" width="18.28515625" bestFit="1" customWidth="1"/>
    <col min="2" max="2" width="34.7109375" customWidth="1"/>
    <col min="3" max="5" width="17.7109375" customWidth="1"/>
    <col min="6" max="6" width="12.28515625" bestFit="1" customWidth="1"/>
    <col min="7" max="7" width="14" bestFit="1" customWidth="1"/>
    <col min="8" max="8" width="12.28515625" bestFit="1" customWidth="1"/>
    <col min="9" max="10" width="11.7109375" bestFit="1" customWidth="1"/>
  </cols>
  <sheetData>
    <row r="1" spans="1:16" x14ac:dyDescent="0.25">
      <c r="A1" s="19"/>
      <c r="B1" s="20">
        <v>2009</v>
      </c>
      <c r="C1" s="20">
        <v>2010</v>
      </c>
      <c r="D1" s="20">
        <v>2011</v>
      </c>
      <c r="E1" s="20">
        <v>2012</v>
      </c>
      <c r="F1" s="20">
        <v>2013</v>
      </c>
      <c r="G1" s="20">
        <v>2014</v>
      </c>
      <c r="H1" s="20">
        <v>2015</v>
      </c>
      <c r="I1" s="20">
        <v>2016</v>
      </c>
      <c r="J1" s="20">
        <v>2017</v>
      </c>
      <c r="K1" s="20">
        <v>2018</v>
      </c>
      <c r="L1" s="20">
        <v>2019</v>
      </c>
      <c r="M1" s="20">
        <v>2020</v>
      </c>
      <c r="N1" s="20">
        <v>2021</v>
      </c>
      <c r="O1" s="20">
        <v>2022</v>
      </c>
    </row>
    <row r="2" spans="1:16" x14ac:dyDescent="0.25">
      <c r="A2" s="6" t="s">
        <v>113</v>
      </c>
      <c r="B2" s="7">
        <v>46</v>
      </c>
      <c r="C2" s="7">
        <v>73</v>
      </c>
      <c r="D2" s="7">
        <v>117</v>
      </c>
      <c r="E2" s="7">
        <v>118</v>
      </c>
      <c r="F2" s="7">
        <v>107</v>
      </c>
      <c r="G2" s="7">
        <v>68</v>
      </c>
      <c r="H2" s="7">
        <v>47</v>
      </c>
      <c r="I2" s="7">
        <v>44</v>
      </c>
      <c r="J2" s="7">
        <f>43+25</f>
        <v>68</v>
      </c>
      <c r="K2" s="7">
        <f>78+11+59</f>
        <v>148</v>
      </c>
      <c r="L2" s="7">
        <f>86+17+22</f>
        <v>125</v>
      </c>
      <c r="M2" s="7">
        <f>108+19+70+11</f>
        <v>208</v>
      </c>
      <c r="N2" s="7">
        <f>105+22+15+14</f>
        <v>156</v>
      </c>
      <c r="O2" s="7">
        <v>449</v>
      </c>
    </row>
    <row r="3" spans="1:16" x14ac:dyDescent="0.25">
      <c r="A3" s="6" t="s">
        <v>29</v>
      </c>
      <c r="B3" s="7">
        <v>31</v>
      </c>
      <c r="C3" s="7">
        <v>37</v>
      </c>
      <c r="D3" s="7">
        <v>22</v>
      </c>
      <c r="E3" s="7">
        <v>22</v>
      </c>
      <c r="F3" s="7">
        <v>14</v>
      </c>
      <c r="G3" s="7">
        <v>10</v>
      </c>
      <c r="H3" s="7">
        <v>11</v>
      </c>
      <c r="I3" s="7">
        <v>11</v>
      </c>
      <c r="J3" s="7">
        <v>5</v>
      </c>
      <c r="K3" s="7">
        <v>6</v>
      </c>
      <c r="L3" s="7">
        <v>10</v>
      </c>
      <c r="M3" s="7">
        <v>19</v>
      </c>
      <c r="N3" s="7">
        <v>12</v>
      </c>
      <c r="O3" s="7">
        <v>20</v>
      </c>
    </row>
    <row r="6" spans="1:16" ht="46.5" thickBot="1" x14ac:dyDescent="0.3">
      <c r="A6">
        <v>2009</v>
      </c>
      <c r="B6" s="85" t="s">
        <v>120</v>
      </c>
      <c r="C6" s="86" t="s">
        <v>121</v>
      </c>
      <c r="D6" s="86" t="s">
        <v>122</v>
      </c>
      <c r="E6" s="86" t="s">
        <v>123</v>
      </c>
      <c r="F6" s="86" t="s">
        <v>124</v>
      </c>
      <c r="G6" s="85" t="s">
        <v>125</v>
      </c>
      <c r="H6" s="86" t="s">
        <v>126</v>
      </c>
      <c r="I6" s="86" t="s">
        <v>127</v>
      </c>
      <c r="J6" s="85" t="s">
        <v>128</v>
      </c>
    </row>
    <row r="7" spans="1:16" ht="15.75" thickBot="1" x14ac:dyDescent="0.3">
      <c r="B7" s="74" t="s">
        <v>116</v>
      </c>
      <c r="C7" s="75">
        <v>12700000</v>
      </c>
      <c r="D7" s="75">
        <v>2819400</v>
      </c>
      <c r="E7" s="76">
        <v>0</v>
      </c>
      <c r="F7" s="76">
        <v>2819400</v>
      </c>
      <c r="G7" s="75"/>
      <c r="H7" s="75">
        <v>0</v>
      </c>
      <c r="I7" s="75">
        <v>36000</v>
      </c>
      <c r="J7" s="77">
        <v>1</v>
      </c>
    </row>
    <row r="8" spans="1:16" x14ac:dyDescent="0.25">
      <c r="B8" t="s">
        <v>117</v>
      </c>
      <c r="C8">
        <v>924368.39</v>
      </c>
      <c r="D8">
        <v>278118.54000000004</v>
      </c>
      <c r="E8">
        <v>0</v>
      </c>
      <c r="F8">
        <v>278118.54000000004</v>
      </c>
      <c r="H8">
        <v>1204</v>
      </c>
      <c r="I8">
        <v>0</v>
      </c>
      <c r="J8">
        <v>4</v>
      </c>
    </row>
    <row r="9" spans="1:16" ht="15.75" thickBot="1" x14ac:dyDescent="0.3">
      <c r="B9" t="s">
        <v>118</v>
      </c>
      <c r="C9">
        <v>1534004.39</v>
      </c>
      <c r="D9">
        <v>637996.75</v>
      </c>
      <c r="E9">
        <v>182174</v>
      </c>
      <c r="F9">
        <v>820170.75</v>
      </c>
      <c r="H9">
        <v>902.57</v>
      </c>
      <c r="I9">
        <v>0</v>
      </c>
      <c r="J9">
        <v>10</v>
      </c>
    </row>
    <row r="10" spans="1:16" ht="15.75" thickBot="1" x14ac:dyDescent="0.3">
      <c r="B10" s="78" t="s">
        <v>119</v>
      </c>
      <c r="C10" s="79">
        <v>1200532</v>
      </c>
      <c r="D10" s="79">
        <v>540000</v>
      </c>
      <c r="E10" s="80">
        <v>0</v>
      </c>
      <c r="F10" s="80">
        <v>540000</v>
      </c>
      <c r="G10" s="79"/>
      <c r="H10" s="79">
        <v>1806</v>
      </c>
      <c r="I10" s="79">
        <v>0</v>
      </c>
      <c r="J10" s="81">
        <v>1</v>
      </c>
    </row>
    <row r="11" spans="1:16" ht="16.5" thickBot="1" x14ac:dyDescent="0.3">
      <c r="B11" s="82" t="s">
        <v>34</v>
      </c>
      <c r="C11" s="83">
        <v>16358904.780000001</v>
      </c>
      <c r="D11" s="83">
        <v>4275515.2899999991</v>
      </c>
      <c r="E11" s="84">
        <v>182174</v>
      </c>
      <c r="F11" s="84">
        <v>4457689.2899999991</v>
      </c>
      <c r="G11" s="83"/>
      <c r="H11" s="83">
        <v>3912.57</v>
      </c>
      <c r="I11" s="83">
        <v>36000</v>
      </c>
      <c r="J11" s="83">
        <v>16</v>
      </c>
    </row>
    <row r="14" spans="1:16" x14ac:dyDescent="0.25">
      <c r="A14">
        <v>2009</v>
      </c>
      <c r="B14" s="87" t="s">
        <v>129</v>
      </c>
      <c r="C14" s="87"/>
      <c r="D14" s="87"/>
      <c r="E14" s="87"/>
      <c r="F14" s="87"/>
      <c r="G14" s="87"/>
      <c r="H14" s="87"/>
      <c r="I14" s="87"/>
      <c r="J14" s="87"/>
      <c r="K14" s="87"/>
      <c r="L14" s="87"/>
    </row>
    <row r="15" spans="1:16" x14ac:dyDescent="0.25">
      <c r="B15" s="87" t="s">
        <v>114</v>
      </c>
      <c r="C15" s="87" t="s">
        <v>130</v>
      </c>
      <c r="D15" s="87" t="s">
        <v>131</v>
      </c>
      <c r="E15" s="87" t="s">
        <v>132</v>
      </c>
      <c r="F15" s="87" t="s">
        <v>133</v>
      </c>
      <c r="G15" s="87" t="s">
        <v>154</v>
      </c>
      <c r="H15" s="87" t="s">
        <v>115</v>
      </c>
      <c r="I15" s="87"/>
      <c r="J15" s="87"/>
      <c r="K15" s="87"/>
      <c r="L15" s="87"/>
      <c r="P15" s="88">
        <v>16</v>
      </c>
    </row>
    <row r="16" spans="1:16" x14ac:dyDescent="0.25">
      <c r="B16" s="87" t="s">
        <v>134</v>
      </c>
      <c r="C16" s="87">
        <v>1</v>
      </c>
      <c r="D16" s="87">
        <f>C7/1000</f>
        <v>12700</v>
      </c>
      <c r="E16" s="87">
        <f>D7/1000</f>
        <v>2819.4</v>
      </c>
      <c r="F16" s="87">
        <f>E7/1000</f>
        <v>0</v>
      </c>
      <c r="G16" s="87">
        <v>36000</v>
      </c>
      <c r="H16" s="87">
        <f t="shared" ref="H16:H19" si="0">G16/11.63</f>
        <v>3095.4428202923473</v>
      </c>
      <c r="I16" s="87"/>
      <c r="J16" s="87"/>
      <c r="K16" s="87"/>
      <c r="L16" s="87"/>
      <c r="P16" s="88">
        <v>77</v>
      </c>
    </row>
    <row r="17" spans="1:16" x14ac:dyDescent="0.25">
      <c r="B17" s="87" t="s">
        <v>135</v>
      </c>
      <c r="C17" s="87">
        <v>4</v>
      </c>
      <c r="D17" s="87">
        <f t="shared" ref="D17:F19" si="1">C8/1000</f>
        <v>924.36838999999998</v>
      </c>
      <c r="E17" s="87">
        <f t="shared" si="1"/>
        <v>278.11854000000005</v>
      </c>
      <c r="F17" s="87">
        <f t="shared" si="1"/>
        <v>0</v>
      </c>
      <c r="G17" s="87">
        <v>1204</v>
      </c>
      <c r="H17" s="87">
        <f t="shared" si="0"/>
        <v>103.52536543422184</v>
      </c>
      <c r="I17" s="87"/>
      <c r="J17" s="87"/>
      <c r="K17" s="87"/>
      <c r="L17" s="87"/>
      <c r="P17" s="88">
        <v>88</v>
      </c>
    </row>
    <row r="18" spans="1:16" x14ac:dyDescent="0.25">
      <c r="B18" s="87" t="s">
        <v>136</v>
      </c>
      <c r="C18" s="87">
        <v>10</v>
      </c>
      <c r="D18" s="87">
        <f t="shared" si="1"/>
        <v>1534.0043899999998</v>
      </c>
      <c r="E18" s="87">
        <f t="shared" si="1"/>
        <v>637.99675000000002</v>
      </c>
      <c r="F18" s="87">
        <f t="shared" si="1"/>
        <v>182.17400000000001</v>
      </c>
      <c r="G18" s="87">
        <v>902.57</v>
      </c>
      <c r="H18" s="87">
        <f t="shared" si="0"/>
        <v>77.607050730868437</v>
      </c>
      <c r="I18" s="87"/>
      <c r="J18" s="87"/>
      <c r="K18" s="87"/>
      <c r="L18" s="87"/>
      <c r="P18" s="88">
        <v>64</v>
      </c>
    </row>
    <row r="19" spans="1:16" x14ac:dyDescent="0.25">
      <c r="B19" s="87" t="s">
        <v>137</v>
      </c>
      <c r="C19" s="87">
        <v>1</v>
      </c>
      <c r="D19" s="87">
        <f t="shared" si="1"/>
        <v>1200.5319999999999</v>
      </c>
      <c r="E19" s="87">
        <f t="shared" si="1"/>
        <v>540</v>
      </c>
      <c r="F19" s="87">
        <f t="shared" si="1"/>
        <v>0</v>
      </c>
      <c r="G19" s="87">
        <v>1806</v>
      </c>
      <c r="H19" s="87">
        <f t="shared" si="0"/>
        <v>155.28804815133276</v>
      </c>
      <c r="I19" s="87"/>
      <c r="J19" s="87"/>
      <c r="K19" s="87"/>
      <c r="L19" s="87"/>
      <c r="P19" s="88">
        <v>51</v>
      </c>
    </row>
    <row r="20" spans="1:16" x14ac:dyDescent="0.25">
      <c r="B20" s="87" t="s">
        <v>1</v>
      </c>
      <c r="C20" s="87">
        <f>SUM(C16:C19)</f>
        <v>16</v>
      </c>
      <c r="D20" s="87">
        <f t="shared" ref="D20:G20" si="2">SUM(D16:D19)</f>
        <v>16358.904779999999</v>
      </c>
      <c r="E20" s="87">
        <f t="shared" si="2"/>
        <v>4275.5152900000003</v>
      </c>
      <c r="F20" s="87">
        <f t="shared" si="2"/>
        <v>182.17400000000001</v>
      </c>
      <c r="G20" s="87">
        <f t="shared" si="2"/>
        <v>39912.57</v>
      </c>
      <c r="H20" s="87">
        <f>G20/11.63</f>
        <v>3431.8632846087703</v>
      </c>
      <c r="I20" s="87"/>
      <c r="J20" s="87"/>
      <c r="K20" s="87"/>
      <c r="L20" s="87"/>
      <c r="P20" s="88">
        <v>46</v>
      </c>
    </row>
    <row r="21" spans="1:16" x14ac:dyDescent="0.25"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P21" s="88">
        <v>52</v>
      </c>
    </row>
    <row r="22" spans="1:16" x14ac:dyDescent="0.25"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P22" s="88">
        <v>50</v>
      </c>
    </row>
    <row r="23" spans="1:16" x14ac:dyDescent="0.25">
      <c r="A23">
        <v>2010</v>
      </c>
      <c r="B23" s="87" t="s">
        <v>129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P23" s="89">
        <f>51+4</f>
        <v>55</v>
      </c>
    </row>
    <row r="24" spans="1:16" x14ac:dyDescent="0.25">
      <c r="B24" s="87" t="s">
        <v>114</v>
      </c>
      <c r="C24" s="87" t="s">
        <v>130</v>
      </c>
      <c r="D24" s="87" t="s">
        <v>131</v>
      </c>
      <c r="E24" s="87" t="s">
        <v>132</v>
      </c>
      <c r="F24" s="87" t="s">
        <v>133</v>
      </c>
      <c r="G24" s="87" t="s">
        <v>154</v>
      </c>
      <c r="H24" s="87" t="s">
        <v>115</v>
      </c>
      <c r="I24" s="87"/>
      <c r="J24" s="87"/>
      <c r="K24" s="87"/>
      <c r="L24" s="87"/>
      <c r="P24" s="88">
        <f>77+0</f>
        <v>77</v>
      </c>
    </row>
    <row r="25" spans="1:16" x14ac:dyDescent="0.25">
      <c r="B25" s="87" t="s">
        <v>134</v>
      </c>
      <c r="C25" s="87">
        <v>4</v>
      </c>
      <c r="D25" s="87">
        <v>36595.495000000003</v>
      </c>
      <c r="E25" s="87">
        <v>11965.933999999999</v>
      </c>
      <c r="F25" s="87">
        <v>0</v>
      </c>
      <c r="G25" s="87">
        <f>H25*11.63</f>
        <v>116817</v>
      </c>
      <c r="H25" s="87">
        <v>10044.453998280309</v>
      </c>
      <c r="I25" s="87"/>
      <c r="J25" s="87"/>
      <c r="K25" s="87"/>
      <c r="L25" s="87"/>
      <c r="P25" s="88">
        <f>79+0</f>
        <v>79</v>
      </c>
    </row>
    <row r="26" spans="1:16" x14ac:dyDescent="0.25">
      <c r="B26" s="87" t="s">
        <v>135</v>
      </c>
      <c r="C26" s="87">
        <v>32</v>
      </c>
      <c r="D26" s="87">
        <v>9138.1725999999999</v>
      </c>
      <c r="E26" s="87">
        <v>3427.3719599999999</v>
      </c>
      <c r="F26" s="87">
        <v>33.968000000000004</v>
      </c>
      <c r="G26" s="87">
        <f t="shared" ref="G26:G84" si="3">H26*11.63</f>
        <v>24027.21</v>
      </c>
      <c r="H26" s="87">
        <v>2065.9681857265691</v>
      </c>
      <c r="I26" s="87"/>
      <c r="J26" s="87"/>
      <c r="K26" s="87"/>
      <c r="L26" s="87"/>
      <c r="P26" s="89">
        <f>73+3+4</f>
        <v>80</v>
      </c>
    </row>
    <row r="27" spans="1:16" x14ac:dyDescent="0.25">
      <c r="B27" s="87" t="s">
        <v>136</v>
      </c>
      <c r="C27" s="87">
        <v>35</v>
      </c>
      <c r="D27" s="87">
        <v>5613.3022599999995</v>
      </c>
      <c r="E27" s="87">
        <v>2544.4793100000002</v>
      </c>
      <c r="F27" s="87">
        <v>254.76</v>
      </c>
      <c r="G27" s="87">
        <f t="shared" si="3"/>
        <v>3780.6069999999995</v>
      </c>
      <c r="H27" s="87">
        <v>325.07368873602746</v>
      </c>
      <c r="I27" s="87"/>
      <c r="J27" s="87"/>
      <c r="K27" s="87"/>
      <c r="L27" s="87"/>
      <c r="P27" s="89">
        <f>81+3+5+5</f>
        <v>94</v>
      </c>
    </row>
    <row r="28" spans="1:16" x14ac:dyDescent="0.25">
      <c r="B28" s="87" t="s">
        <v>137</v>
      </c>
      <c r="C28" s="87">
        <v>6</v>
      </c>
      <c r="D28" s="87">
        <v>5286.8686200000002</v>
      </c>
      <c r="E28" s="87">
        <v>2983.3445999999999</v>
      </c>
      <c r="F28" s="87">
        <v>0</v>
      </c>
      <c r="G28" s="87">
        <f t="shared" si="3"/>
        <v>5205</v>
      </c>
      <c r="H28" s="87">
        <v>447.54944110060188</v>
      </c>
      <c r="I28" s="87"/>
      <c r="J28" s="87"/>
      <c r="K28" s="87"/>
      <c r="L28" s="87"/>
      <c r="P28" s="90">
        <v>151</v>
      </c>
    </row>
    <row r="29" spans="1:16" x14ac:dyDescent="0.25">
      <c r="B29" s="87" t="s">
        <v>1</v>
      </c>
      <c r="C29" s="87">
        <v>77</v>
      </c>
      <c r="D29" s="87">
        <v>56633.838479999999</v>
      </c>
      <c r="E29" s="87">
        <v>20921.129870000001</v>
      </c>
      <c r="F29" s="87">
        <v>288.72800000000001</v>
      </c>
      <c r="G29" s="87">
        <f t="shared" si="3"/>
        <v>149829.81700000001</v>
      </c>
      <c r="H29" s="87">
        <v>12883.045313843508</v>
      </c>
      <c r="I29" s="87"/>
      <c r="J29" s="87"/>
      <c r="K29" s="87"/>
      <c r="L29" s="87"/>
    </row>
    <row r="30" spans="1:16" x14ac:dyDescent="0.25"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</row>
    <row r="31" spans="1:16" x14ac:dyDescent="0.25"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</row>
    <row r="32" spans="1:16" x14ac:dyDescent="0.25">
      <c r="A32">
        <v>2011</v>
      </c>
      <c r="B32" s="87" t="s">
        <v>129</v>
      </c>
      <c r="C32" s="87"/>
      <c r="D32" s="87"/>
      <c r="E32" s="87"/>
      <c r="F32" s="87"/>
      <c r="G32" s="87"/>
      <c r="H32" s="87"/>
      <c r="I32" s="87"/>
      <c r="J32" s="87"/>
      <c r="K32" s="87"/>
      <c r="L32" s="87"/>
    </row>
    <row r="33" spans="1:12" x14ac:dyDescent="0.25">
      <c r="B33" s="87" t="s">
        <v>114</v>
      </c>
      <c r="C33" s="87" t="s">
        <v>130</v>
      </c>
      <c r="D33" s="87" t="s">
        <v>131</v>
      </c>
      <c r="E33" s="87" t="s">
        <v>132</v>
      </c>
      <c r="F33" s="87" t="s">
        <v>133</v>
      </c>
      <c r="G33" s="87" t="s">
        <v>154</v>
      </c>
      <c r="H33" s="87" t="s">
        <v>115</v>
      </c>
      <c r="I33" s="87"/>
      <c r="J33" s="87"/>
      <c r="K33" s="87"/>
      <c r="L33" s="87"/>
    </row>
    <row r="34" spans="1:12" x14ac:dyDescent="0.25">
      <c r="B34" s="87" t="s">
        <v>134</v>
      </c>
      <c r="C34" s="87">
        <v>4</v>
      </c>
      <c r="D34" s="87">
        <v>54137.758999999998</v>
      </c>
      <c r="E34" s="87">
        <v>14211.662</v>
      </c>
      <c r="F34" s="87">
        <v>0</v>
      </c>
      <c r="G34" s="87">
        <f t="shared" si="3"/>
        <v>298623</v>
      </c>
      <c r="H34" s="87">
        <v>25676.956147893379</v>
      </c>
      <c r="I34" s="87"/>
      <c r="J34" s="87"/>
      <c r="K34" s="87"/>
      <c r="L34" s="87"/>
    </row>
    <row r="35" spans="1:12" x14ac:dyDescent="0.25">
      <c r="B35" s="87" t="s">
        <v>135</v>
      </c>
      <c r="C35" s="87">
        <v>33</v>
      </c>
      <c r="D35" s="87">
        <v>35593.22597</v>
      </c>
      <c r="E35" s="87">
        <v>5984.4498199999998</v>
      </c>
      <c r="F35" s="87">
        <v>30.257000000000001</v>
      </c>
      <c r="G35" s="87">
        <f t="shared" si="3"/>
        <v>39207.949999999997</v>
      </c>
      <c r="H35" s="87">
        <v>3371.2768701633699</v>
      </c>
      <c r="I35" s="87"/>
      <c r="J35" s="87"/>
      <c r="K35" s="87"/>
      <c r="L35" s="87"/>
    </row>
    <row r="36" spans="1:12" x14ac:dyDescent="0.25">
      <c r="B36" s="87" t="s">
        <v>136</v>
      </c>
      <c r="C36" s="87">
        <v>35</v>
      </c>
      <c r="D36" s="87">
        <v>7926.3715400000001</v>
      </c>
      <c r="E36" s="87">
        <v>2503.0191599999998</v>
      </c>
      <c r="F36" s="87">
        <v>88.119</v>
      </c>
      <c r="G36" s="87">
        <f t="shared" si="3"/>
        <v>4558.09</v>
      </c>
      <c r="H36" s="87">
        <v>391.92519346517628</v>
      </c>
      <c r="I36" s="87"/>
      <c r="J36" s="87"/>
      <c r="K36" s="87"/>
      <c r="L36" s="87"/>
    </row>
    <row r="37" spans="1:12" x14ac:dyDescent="0.25">
      <c r="B37" s="87" t="s">
        <v>137</v>
      </c>
      <c r="C37" s="87">
        <v>16</v>
      </c>
      <c r="D37" s="87">
        <v>9554.4837599999992</v>
      </c>
      <c r="E37" s="87">
        <v>3403.73306</v>
      </c>
      <c r="F37" s="87">
        <v>11.353</v>
      </c>
      <c r="G37" s="87">
        <f t="shared" si="3"/>
        <v>9930.75</v>
      </c>
      <c r="H37" s="87">
        <v>853.89079965606186</v>
      </c>
      <c r="I37" s="87"/>
      <c r="J37" s="87"/>
      <c r="K37" s="87"/>
      <c r="L37" s="87"/>
    </row>
    <row r="38" spans="1:12" x14ac:dyDescent="0.25">
      <c r="B38" s="87" t="s">
        <v>1</v>
      </c>
      <c r="C38" s="87">
        <v>88</v>
      </c>
      <c r="D38" s="87">
        <v>107211.84026999999</v>
      </c>
      <c r="E38" s="87">
        <v>26102.864039999997</v>
      </c>
      <c r="F38" s="87">
        <v>129.72900000000001</v>
      </c>
      <c r="G38" s="87">
        <f t="shared" si="3"/>
        <v>352319.79000000004</v>
      </c>
      <c r="H38" s="87">
        <v>30294.049011177987</v>
      </c>
      <c r="I38" s="87"/>
      <c r="J38" s="87"/>
      <c r="K38" s="87"/>
      <c r="L38" s="87"/>
    </row>
    <row r="39" spans="1:12" x14ac:dyDescent="0.25"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</row>
    <row r="40" spans="1:12" x14ac:dyDescent="0.25">
      <c r="A40">
        <v>2012</v>
      </c>
      <c r="B40" s="87" t="s">
        <v>129</v>
      </c>
      <c r="C40" s="87"/>
      <c r="D40" s="87"/>
      <c r="E40" s="87"/>
      <c r="F40" s="87"/>
      <c r="G40" s="87"/>
      <c r="H40" s="87"/>
      <c r="I40" s="87"/>
      <c r="J40" s="87"/>
      <c r="K40" s="87"/>
      <c r="L40" s="87"/>
    </row>
    <row r="41" spans="1:12" x14ac:dyDescent="0.25">
      <c r="B41" s="87" t="s">
        <v>114</v>
      </c>
      <c r="C41" s="87" t="s">
        <v>130</v>
      </c>
      <c r="D41" s="87" t="s">
        <v>131</v>
      </c>
      <c r="E41" s="87" t="s">
        <v>132</v>
      </c>
      <c r="F41" s="87" t="s">
        <v>133</v>
      </c>
      <c r="G41" s="87" t="s">
        <v>154</v>
      </c>
      <c r="H41" s="87" t="s">
        <v>115</v>
      </c>
      <c r="I41" s="87" t="s">
        <v>138</v>
      </c>
      <c r="J41" s="87" t="s">
        <v>139</v>
      </c>
      <c r="K41" s="87"/>
      <c r="L41" s="87"/>
    </row>
    <row r="42" spans="1:12" x14ac:dyDescent="0.25">
      <c r="B42" s="87" t="s">
        <v>134</v>
      </c>
      <c r="C42" s="87">
        <v>3</v>
      </c>
      <c r="D42" s="87">
        <v>37546.46</v>
      </c>
      <c r="E42" s="87">
        <v>6917.7539999999999</v>
      </c>
      <c r="F42" s="87">
        <v>0</v>
      </c>
      <c r="G42" s="87">
        <f t="shared" si="3"/>
        <v>101086</v>
      </c>
      <c r="H42" s="87">
        <v>8691.831470335339</v>
      </c>
      <c r="I42" s="87">
        <v>795.89140949290709</v>
      </c>
      <c r="J42" s="87">
        <v>39.794570474645354</v>
      </c>
      <c r="K42" s="87"/>
      <c r="L42" s="87"/>
    </row>
    <row r="43" spans="1:12" x14ac:dyDescent="0.25">
      <c r="B43" s="87" t="s">
        <v>135</v>
      </c>
      <c r="C43" s="87">
        <v>18</v>
      </c>
      <c r="D43" s="87">
        <v>4864.3842000000004</v>
      </c>
      <c r="E43" s="87">
        <v>1345.74089</v>
      </c>
      <c r="F43" s="87">
        <v>26.893000000000001</v>
      </c>
      <c r="G43" s="87">
        <f t="shared" si="3"/>
        <v>10282.831</v>
      </c>
      <c r="H43" s="87">
        <v>884.16431642304383</v>
      </c>
      <c r="I43" s="87">
        <v>1522.0484077487999</v>
      </c>
      <c r="J43" s="87">
        <v>76.102420387439992</v>
      </c>
      <c r="K43" s="87"/>
      <c r="L43" s="87"/>
    </row>
    <row r="44" spans="1:12" x14ac:dyDescent="0.25">
      <c r="B44" s="87" t="s">
        <v>136</v>
      </c>
      <c r="C44" s="87">
        <v>30</v>
      </c>
      <c r="D44" s="87">
        <v>10608.63269</v>
      </c>
      <c r="E44" s="87">
        <v>2403.4283399999999</v>
      </c>
      <c r="F44" s="87">
        <v>36.045999999999999</v>
      </c>
      <c r="G44" s="87">
        <f t="shared" si="3"/>
        <v>5881.0300000000016</v>
      </c>
      <c r="H44" s="87">
        <v>505.67755803955299</v>
      </c>
      <c r="I44" s="87">
        <v>4752.8870953217365</v>
      </c>
      <c r="J44" s="87">
        <v>237.64435476608682</v>
      </c>
      <c r="K44" s="87"/>
      <c r="L44" s="87"/>
    </row>
    <row r="45" spans="1:12" x14ac:dyDescent="0.25">
      <c r="B45" s="87" t="s">
        <v>140</v>
      </c>
      <c r="C45" s="87">
        <v>13</v>
      </c>
      <c r="D45" s="87">
        <v>24269.118859999999</v>
      </c>
      <c r="E45" s="87">
        <v>3816.7704800000001</v>
      </c>
      <c r="F45" s="87">
        <v>0</v>
      </c>
      <c r="G45" s="87">
        <f t="shared" si="3"/>
        <v>22203</v>
      </c>
      <c r="H45" s="87">
        <v>1909.1143594153052</v>
      </c>
      <c r="I45" s="87">
        <v>1999.2361699950459</v>
      </c>
      <c r="J45" s="87">
        <v>99.961808499752294</v>
      </c>
      <c r="K45" s="87"/>
      <c r="L45" s="87"/>
    </row>
    <row r="46" spans="1:12" x14ac:dyDescent="0.25">
      <c r="B46" s="87" t="s">
        <v>1</v>
      </c>
      <c r="C46" s="87">
        <v>64</v>
      </c>
      <c r="D46" s="87">
        <v>77288.595749999993</v>
      </c>
      <c r="E46" s="87">
        <v>14483.69371</v>
      </c>
      <c r="F46" s="87">
        <v>62.939</v>
      </c>
      <c r="G46" s="87">
        <f t="shared" si="3"/>
        <v>139452.861</v>
      </c>
      <c r="H46" s="87">
        <v>11990.787704213242</v>
      </c>
      <c r="I46" s="87"/>
      <c r="J46" s="87"/>
      <c r="K46" s="87"/>
      <c r="L46" s="87"/>
    </row>
    <row r="47" spans="1:12" x14ac:dyDescent="0.25"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</row>
    <row r="48" spans="1:12" x14ac:dyDescent="0.25">
      <c r="A48">
        <v>2013</v>
      </c>
      <c r="B48" s="87" t="s">
        <v>129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</row>
    <row r="49" spans="1:12" x14ac:dyDescent="0.25">
      <c r="B49" s="87" t="s">
        <v>114</v>
      </c>
      <c r="C49" s="87" t="s">
        <v>130</v>
      </c>
      <c r="D49" s="87" t="s">
        <v>131</v>
      </c>
      <c r="E49" s="87" t="s">
        <v>132</v>
      </c>
      <c r="F49" s="87" t="s">
        <v>133</v>
      </c>
      <c r="G49" s="87" t="s">
        <v>154</v>
      </c>
      <c r="H49" s="87" t="s">
        <v>115</v>
      </c>
      <c r="I49" s="87" t="s">
        <v>138</v>
      </c>
      <c r="J49" s="87" t="s">
        <v>139</v>
      </c>
      <c r="K49" s="87"/>
      <c r="L49" s="87"/>
    </row>
    <row r="50" spans="1:12" x14ac:dyDescent="0.25">
      <c r="B50" s="87" t="s">
        <v>134</v>
      </c>
      <c r="C50" s="87">
        <v>4</v>
      </c>
      <c r="D50" s="87">
        <v>53163.311999999998</v>
      </c>
      <c r="E50" s="87">
        <v>5007.2370000000001</v>
      </c>
      <c r="F50" s="87">
        <v>0</v>
      </c>
      <c r="G50" s="87">
        <f t="shared" si="3"/>
        <v>202124.99999999997</v>
      </c>
      <c r="H50" s="87">
        <v>17379.621668099739</v>
      </c>
      <c r="I50" s="87">
        <v>288.10966634508355</v>
      </c>
      <c r="J50" s="87">
        <v>14.405483317254177</v>
      </c>
      <c r="K50" s="87"/>
      <c r="L50" s="87"/>
    </row>
    <row r="51" spans="1:12" x14ac:dyDescent="0.25">
      <c r="B51" s="87" t="s">
        <v>135</v>
      </c>
      <c r="C51" s="87">
        <v>17</v>
      </c>
      <c r="D51" s="87">
        <v>9920.478430000001</v>
      </c>
      <c r="E51" s="87">
        <v>1854.26244</v>
      </c>
      <c r="F51" s="87">
        <v>0</v>
      </c>
      <c r="G51" s="87">
        <f t="shared" si="3"/>
        <v>11924.32</v>
      </c>
      <c r="H51" s="87">
        <v>1025.3069647463456</v>
      </c>
      <c r="I51" s="87">
        <v>1808.4949227461191</v>
      </c>
      <c r="J51" s="87">
        <v>90.424746137305959</v>
      </c>
      <c r="K51" s="87"/>
      <c r="L51" s="87"/>
    </row>
    <row r="52" spans="1:12" x14ac:dyDescent="0.25">
      <c r="B52" s="87" t="s">
        <v>136</v>
      </c>
      <c r="C52" s="87">
        <v>22</v>
      </c>
      <c r="D52" s="87">
        <v>3280.4519999999993</v>
      </c>
      <c r="E52" s="87">
        <v>945.96463000000006</v>
      </c>
      <c r="F52" s="87">
        <v>14.308999999999999</v>
      </c>
      <c r="G52" s="87">
        <f t="shared" si="3"/>
        <v>2218.4790000000003</v>
      </c>
      <c r="H52" s="87">
        <v>190.75485812553742</v>
      </c>
      <c r="I52" s="87">
        <v>4959.0591783379514</v>
      </c>
      <c r="J52" s="87">
        <v>247.95295891689756</v>
      </c>
      <c r="K52" s="87"/>
      <c r="L52" s="87"/>
    </row>
    <row r="53" spans="1:12" x14ac:dyDescent="0.25">
      <c r="B53" s="87" t="s">
        <v>140</v>
      </c>
      <c r="C53" s="87">
        <v>8</v>
      </c>
      <c r="D53" s="87">
        <v>4271.3656600000004</v>
      </c>
      <c r="E53" s="87">
        <v>1357.616</v>
      </c>
      <c r="F53" s="87">
        <v>35.886000000000003</v>
      </c>
      <c r="G53" s="87">
        <f t="shared" si="3"/>
        <v>9516.4</v>
      </c>
      <c r="H53" s="87">
        <v>818.2631126397248</v>
      </c>
      <c r="I53" s="87">
        <v>1659.1435921146654</v>
      </c>
      <c r="J53" s="87">
        <v>82.957179605733273</v>
      </c>
      <c r="K53" s="87"/>
      <c r="L53" s="87"/>
    </row>
    <row r="54" spans="1:12" x14ac:dyDescent="0.25">
      <c r="B54" s="87" t="s">
        <v>1</v>
      </c>
      <c r="C54" s="87">
        <v>51</v>
      </c>
      <c r="D54" s="87">
        <v>70635.608089999994</v>
      </c>
      <c r="E54" s="87">
        <v>9165.08007</v>
      </c>
      <c r="F54" s="87">
        <v>50.195</v>
      </c>
      <c r="G54" s="87">
        <f t="shared" si="3"/>
        <v>225784.19899999996</v>
      </c>
      <c r="H54" s="87">
        <v>19413.946603611344</v>
      </c>
      <c r="I54" s="87"/>
      <c r="J54" s="87"/>
      <c r="K54" s="87"/>
      <c r="L54" s="87"/>
    </row>
    <row r="55" spans="1:12" x14ac:dyDescent="0.25"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</row>
    <row r="56" spans="1:12" x14ac:dyDescent="0.25">
      <c r="A56">
        <v>2014</v>
      </c>
      <c r="B56" s="87" t="s">
        <v>129</v>
      </c>
      <c r="C56" s="87"/>
      <c r="D56" s="87"/>
      <c r="E56" s="87"/>
      <c r="F56" s="87"/>
      <c r="G56" s="87"/>
      <c r="H56" s="87"/>
      <c r="I56" s="87"/>
      <c r="J56" s="87"/>
      <c r="K56" s="87"/>
      <c r="L56" s="87"/>
    </row>
    <row r="57" spans="1:12" x14ac:dyDescent="0.25">
      <c r="B57" s="87" t="s">
        <v>114</v>
      </c>
      <c r="C57" s="87" t="s">
        <v>130</v>
      </c>
      <c r="D57" s="87" t="s">
        <v>131</v>
      </c>
      <c r="E57" s="87" t="s">
        <v>132</v>
      </c>
      <c r="F57" s="87" t="s">
        <v>133</v>
      </c>
      <c r="G57" s="87" t="s">
        <v>154</v>
      </c>
      <c r="H57" s="87" t="s">
        <v>115</v>
      </c>
      <c r="I57" s="87" t="s">
        <v>138</v>
      </c>
      <c r="J57" s="87" t="s">
        <v>139</v>
      </c>
      <c r="K57" s="87"/>
      <c r="L57" s="87"/>
    </row>
    <row r="58" spans="1:12" x14ac:dyDescent="0.25">
      <c r="B58" s="87" t="s">
        <v>134</v>
      </c>
      <c r="C58" s="87">
        <v>4</v>
      </c>
      <c r="D58" s="87">
        <v>68178.157000000007</v>
      </c>
      <c r="E58" s="87">
        <v>7476.15128</v>
      </c>
      <c r="F58" s="87">
        <v>0</v>
      </c>
      <c r="G58" s="87">
        <f t="shared" si="3"/>
        <v>185632</v>
      </c>
      <c r="H58" s="87">
        <v>15961.478933791916</v>
      </c>
      <c r="I58" s="87">
        <v>468.38712822358218</v>
      </c>
      <c r="J58" s="87">
        <v>23.419356411179109</v>
      </c>
      <c r="K58" s="87"/>
      <c r="L58" s="87"/>
    </row>
    <row r="59" spans="1:12" x14ac:dyDescent="0.25">
      <c r="B59" s="87" t="s">
        <v>135</v>
      </c>
      <c r="C59" s="87">
        <v>12</v>
      </c>
      <c r="D59" s="87">
        <v>2673.8104800000006</v>
      </c>
      <c r="E59" s="87">
        <v>360.09199999999998</v>
      </c>
      <c r="F59" s="87">
        <v>0</v>
      </c>
      <c r="G59" s="87">
        <f t="shared" si="3"/>
        <v>2040.5469999999998</v>
      </c>
      <c r="H59" s="87">
        <v>175.45546001719688</v>
      </c>
      <c r="I59" s="87">
        <v>2052.3271260108199</v>
      </c>
      <c r="J59" s="87">
        <v>102.616356300541</v>
      </c>
      <c r="K59" s="87"/>
      <c r="L59" s="87"/>
    </row>
    <row r="60" spans="1:12" x14ac:dyDescent="0.25">
      <c r="B60" s="87" t="s">
        <v>136</v>
      </c>
      <c r="C60" s="87">
        <v>24</v>
      </c>
      <c r="D60" s="87">
        <v>9643.5274700000009</v>
      </c>
      <c r="E60" s="87">
        <v>2239.1320000000001</v>
      </c>
      <c r="F60" s="87">
        <v>36.465000000000003</v>
      </c>
      <c r="G60" s="87">
        <f t="shared" si="3"/>
        <v>4382.1440000000002</v>
      </c>
      <c r="H60" s="87">
        <v>376.79656061908855</v>
      </c>
      <c r="I60" s="87">
        <v>5942.5489349505633</v>
      </c>
      <c r="J60" s="87">
        <v>297.12744674752815</v>
      </c>
      <c r="K60" s="87"/>
      <c r="L60" s="87"/>
    </row>
    <row r="61" spans="1:12" x14ac:dyDescent="0.25">
      <c r="B61" s="87" t="s">
        <v>140</v>
      </c>
      <c r="C61" s="87">
        <v>6</v>
      </c>
      <c r="D61" s="87">
        <v>4846.0389999999998</v>
      </c>
      <c r="E61" s="87">
        <v>1516.4302499999999</v>
      </c>
      <c r="F61" s="87">
        <v>0</v>
      </c>
      <c r="G61" s="87">
        <f t="shared" si="3"/>
        <v>3884.54</v>
      </c>
      <c r="H61" s="87">
        <v>334.01031814273426</v>
      </c>
      <c r="I61" s="87">
        <v>4540.0700745776858</v>
      </c>
      <c r="J61" s="87">
        <v>227.00350372888428</v>
      </c>
      <c r="K61" s="87"/>
      <c r="L61" s="87"/>
    </row>
    <row r="62" spans="1:12" x14ac:dyDescent="0.25">
      <c r="B62" s="87" t="s">
        <v>1</v>
      </c>
      <c r="C62" s="87">
        <v>46</v>
      </c>
      <c r="D62" s="87">
        <v>85341.533950000012</v>
      </c>
      <c r="E62" s="87">
        <v>11591.80553</v>
      </c>
      <c r="F62" s="87">
        <v>36.465000000000003</v>
      </c>
      <c r="G62" s="87">
        <f t="shared" si="3"/>
        <v>195939.231</v>
      </c>
      <c r="H62" s="87">
        <v>16847.741272570936</v>
      </c>
      <c r="I62" s="87">
        <v>688.03321124548052</v>
      </c>
      <c r="J62" s="87">
        <v>34.401660562274024</v>
      </c>
      <c r="K62" s="87"/>
      <c r="L62" s="87"/>
    </row>
    <row r="63" spans="1:12" x14ac:dyDescent="0.25"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</row>
    <row r="64" spans="1:12" x14ac:dyDescent="0.25">
      <c r="A64">
        <v>2015</v>
      </c>
      <c r="B64" s="87" t="s">
        <v>129</v>
      </c>
      <c r="C64" s="87"/>
      <c r="D64" s="87"/>
      <c r="E64" s="87"/>
      <c r="F64" s="87"/>
      <c r="G64" s="87"/>
      <c r="H64" s="87"/>
      <c r="I64" s="87"/>
      <c r="J64" s="87"/>
      <c r="K64" s="87"/>
      <c r="L64" s="87"/>
    </row>
    <row r="65" spans="1:12" x14ac:dyDescent="0.25">
      <c r="B65" s="87" t="s">
        <v>114</v>
      </c>
      <c r="C65" s="87" t="s">
        <v>130</v>
      </c>
      <c r="D65" s="87" t="s">
        <v>131</v>
      </c>
      <c r="E65" s="87" t="s">
        <v>132</v>
      </c>
      <c r="F65" s="87" t="s">
        <v>133</v>
      </c>
      <c r="G65" s="87" t="s">
        <v>154</v>
      </c>
      <c r="H65" s="87" t="s">
        <v>115</v>
      </c>
      <c r="I65" s="87" t="s">
        <v>138</v>
      </c>
      <c r="J65" s="87" t="s">
        <v>139</v>
      </c>
      <c r="K65" s="87"/>
      <c r="L65" s="87"/>
    </row>
    <row r="66" spans="1:12" x14ac:dyDescent="0.25">
      <c r="B66" s="87" t="s">
        <v>134</v>
      </c>
      <c r="C66" s="87">
        <v>5</v>
      </c>
      <c r="D66" s="87">
        <v>62942.744150000006</v>
      </c>
      <c r="E66" s="87">
        <v>13525.353999999999</v>
      </c>
      <c r="F66" s="87">
        <v>5954.7833799999999</v>
      </c>
      <c r="G66" s="87">
        <f t="shared" si="3"/>
        <v>395680</v>
      </c>
      <c r="H66" s="87">
        <v>34022.355975924329</v>
      </c>
      <c r="I66" s="87">
        <v>397.54313339061872</v>
      </c>
      <c r="J66" s="87">
        <v>19.877156669530937</v>
      </c>
      <c r="K66" s="87"/>
      <c r="L66" s="87"/>
    </row>
    <row r="67" spans="1:12" x14ac:dyDescent="0.25">
      <c r="B67" s="87" t="s">
        <v>135</v>
      </c>
      <c r="C67" s="87">
        <v>24</v>
      </c>
      <c r="D67" s="87">
        <v>6496.1529</v>
      </c>
      <c r="E67" s="87">
        <v>1329.211</v>
      </c>
      <c r="F67" s="87">
        <v>0</v>
      </c>
      <c r="G67" s="87">
        <f t="shared" si="3"/>
        <v>6960.7869999999994</v>
      </c>
      <c r="H67" s="87">
        <v>598.51994840928626</v>
      </c>
      <c r="I67" s="87">
        <v>2220.8299047219807</v>
      </c>
      <c r="J67" s="87">
        <v>111.04149523609904</v>
      </c>
      <c r="K67" s="87"/>
      <c r="L67" s="87"/>
    </row>
    <row r="68" spans="1:12" x14ac:dyDescent="0.25">
      <c r="B68" s="87" t="s">
        <v>136</v>
      </c>
      <c r="C68" s="87">
        <v>19</v>
      </c>
      <c r="D68" s="87">
        <v>8805.3980600000014</v>
      </c>
      <c r="E68" s="87">
        <v>3061.2809999999999</v>
      </c>
      <c r="F68" s="87">
        <v>118.738</v>
      </c>
      <c r="G68" s="87">
        <f t="shared" si="3"/>
        <v>4164.92</v>
      </c>
      <c r="H68" s="87">
        <v>358.11865864144454</v>
      </c>
      <c r="I68" s="87">
        <v>8548.2309456124003</v>
      </c>
      <c r="J68" s="87">
        <v>427.41154728062003</v>
      </c>
      <c r="K68" s="87"/>
      <c r="L68" s="87"/>
    </row>
    <row r="69" spans="1:12" x14ac:dyDescent="0.25">
      <c r="B69" s="87" t="s">
        <v>140</v>
      </c>
      <c r="C69" s="87">
        <v>4</v>
      </c>
      <c r="D69" s="87">
        <v>8200.58</v>
      </c>
      <c r="E69" s="87">
        <v>1796.83</v>
      </c>
      <c r="F69" s="87">
        <v>0</v>
      </c>
      <c r="G69" s="87">
        <f t="shared" si="3"/>
        <v>2996</v>
      </c>
      <c r="H69" s="87">
        <v>257.60963026655202</v>
      </c>
      <c r="I69" s="87">
        <v>6975.0109813084109</v>
      </c>
      <c r="J69" s="87">
        <v>348.75054906542056</v>
      </c>
      <c r="K69" s="87"/>
      <c r="L69" s="87"/>
    </row>
    <row r="70" spans="1:12" x14ac:dyDescent="0.25">
      <c r="B70" s="87" t="s">
        <v>1</v>
      </c>
      <c r="C70" s="87">
        <v>52</v>
      </c>
      <c r="D70" s="87">
        <v>86444.875110000008</v>
      </c>
      <c r="E70" s="87">
        <v>19712.675999999999</v>
      </c>
      <c r="F70" s="87">
        <v>6073.5213800000001</v>
      </c>
      <c r="G70" s="87">
        <f t="shared" si="3"/>
        <v>409801.70700000005</v>
      </c>
      <c r="H70" s="87">
        <v>35236.604213241619</v>
      </c>
      <c r="I70" s="87">
        <v>559.43744978104735</v>
      </c>
      <c r="J70" s="87">
        <v>27.971872489052366</v>
      </c>
      <c r="K70" s="87"/>
      <c r="L70" s="87"/>
    </row>
    <row r="71" spans="1:12" x14ac:dyDescent="0.25"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</row>
    <row r="72" spans="1:12" x14ac:dyDescent="0.25">
      <c r="A72">
        <v>2016</v>
      </c>
      <c r="B72" s="87" t="s">
        <v>129</v>
      </c>
      <c r="C72" s="87"/>
      <c r="D72" s="87"/>
      <c r="E72" s="87"/>
      <c r="F72" s="87"/>
      <c r="G72" s="87"/>
      <c r="H72" s="87"/>
      <c r="I72" s="87"/>
      <c r="J72" s="87"/>
      <c r="K72" s="87"/>
      <c r="L72" s="87"/>
    </row>
    <row r="73" spans="1:12" x14ac:dyDescent="0.25">
      <c r="B73" s="87" t="s">
        <v>114</v>
      </c>
      <c r="C73" s="87" t="s">
        <v>130</v>
      </c>
      <c r="D73" s="87" t="s">
        <v>131</v>
      </c>
      <c r="E73" s="87" t="s">
        <v>132</v>
      </c>
      <c r="F73" s="87" t="s">
        <v>133</v>
      </c>
      <c r="G73" s="87" t="s">
        <v>154</v>
      </c>
      <c r="H73" s="87" t="s">
        <v>115</v>
      </c>
      <c r="I73" s="87" t="s">
        <v>138</v>
      </c>
      <c r="J73" s="87" t="s">
        <v>139</v>
      </c>
      <c r="K73" s="87"/>
      <c r="L73" s="87"/>
    </row>
    <row r="74" spans="1:12" x14ac:dyDescent="0.25">
      <c r="B74" s="87" t="s">
        <v>134</v>
      </c>
      <c r="C74" s="87">
        <v>3</v>
      </c>
      <c r="D74" s="87">
        <v>40555.678679999997</v>
      </c>
      <c r="E74" s="87">
        <v>10574.574000000001</v>
      </c>
      <c r="F74" s="87">
        <v>0</v>
      </c>
      <c r="G74" s="87">
        <f t="shared" si="3"/>
        <v>83005</v>
      </c>
      <c r="H74" s="87">
        <v>7137.1453138435072</v>
      </c>
      <c r="I74" s="87">
        <v>1481.6251505331006</v>
      </c>
      <c r="J74" s="87">
        <v>74.081257526655037</v>
      </c>
      <c r="K74" s="87"/>
      <c r="L74" s="87"/>
    </row>
    <row r="75" spans="1:12" x14ac:dyDescent="0.25">
      <c r="B75" s="87" t="s">
        <v>135</v>
      </c>
      <c r="C75" s="87">
        <v>19</v>
      </c>
      <c r="D75" s="87">
        <v>9332.6496599999991</v>
      </c>
      <c r="E75" s="87">
        <v>1970.0840000000001</v>
      </c>
      <c r="F75" s="87">
        <v>0</v>
      </c>
      <c r="G75" s="87">
        <f t="shared" si="3"/>
        <v>12215.099999999999</v>
      </c>
      <c r="H75" s="87">
        <v>1050.309544282029</v>
      </c>
      <c r="I75" s="87">
        <v>1875.7175070200003</v>
      </c>
      <c r="J75" s="87">
        <v>93.785875351000016</v>
      </c>
      <c r="K75" s="87"/>
      <c r="L75" s="87"/>
    </row>
    <row r="76" spans="1:12" x14ac:dyDescent="0.25">
      <c r="B76" s="87" t="s">
        <v>136</v>
      </c>
      <c r="C76" s="87">
        <v>20</v>
      </c>
      <c r="D76" s="87">
        <v>7653.1204800000005</v>
      </c>
      <c r="E76" s="87">
        <v>2440.8879999999999</v>
      </c>
      <c r="F76" s="87">
        <v>0</v>
      </c>
      <c r="G76" s="87">
        <f t="shared" si="3"/>
        <v>3142.922</v>
      </c>
      <c r="H76" s="87">
        <v>270.24264832330181</v>
      </c>
      <c r="I76" s="87">
        <v>9032.2087026022273</v>
      </c>
      <c r="J76" s="87">
        <v>451.61043513011134</v>
      </c>
      <c r="K76" s="87"/>
      <c r="L76" s="87"/>
    </row>
    <row r="77" spans="1:12" x14ac:dyDescent="0.25">
      <c r="B77" s="87" t="s">
        <v>140</v>
      </c>
      <c r="C77" s="87">
        <v>8</v>
      </c>
      <c r="D77" s="87">
        <v>8012.8729999999996</v>
      </c>
      <c r="E77" s="87">
        <v>2282.9319999999998</v>
      </c>
      <c r="F77" s="87">
        <v>0</v>
      </c>
      <c r="G77" s="87">
        <f t="shared" si="3"/>
        <v>15549.999999999998</v>
      </c>
      <c r="H77" s="87">
        <v>1337.0593293207221</v>
      </c>
      <c r="I77" s="87">
        <v>1707.4275987138262</v>
      </c>
      <c r="J77" s="87">
        <v>85.371379935691309</v>
      </c>
      <c r="K77" s="87"/>
      <c r="L77" s="87"/>
    </row>
    <row r="78" spans="1:12" x14ac:dyDescent="0.25">
      <c r="B78" s="87" t="s">
        <v>1</v>
      </c>
      <c r="C78" s="87">
        <v>50</v>
      </c>
      <c r="D78" s="87">
        <v>65554.321819999983</v>
      </c>
      <c r="E78" s="87">
        <v>17268.478000000003</v>
      </c>
      <c r="F78" s="87">
        <v>0</v>
      </c>
      <c r="G78" s="87">
        <f t="shared" si="3"/>
        <v>113913.022</v>
      </c>
      <c r="H78" s="87">
        <v>9794.75683576956</v>
      </c>
      <c r="I78" s="87">
        <v>1763.0328439535215</v>
      </c>
      <c r="J78" s="87">
        <v>88.151642197676068</v>
      </c>
      <c r="K78" s="87"/>
      <c r="L78" s="87"/>
    </row>
    <row r="79" spans="1:12" x14ac:dyDescent="0.25"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</row>
    <row r="80" spans="1:12" x14ac:dyDescent="0.25">
      <c r="A80">
        <v>2017</v>
      </c>
      <c r="B80" s="87" t="s">
        <v>129</v>
      </c>
      <c r="C80" s="87"/>
      <c r="D80" s="87"/>
      <c r="E80" s="87"/>
      <c r="F80" s="87"/>
      <c r="G80" s="87"/>
      <c r="H80" s="87"/>
      <c r="I80" s="87"/>
      <c r="J80" s="87"/>
      <c r="K80" s="87"/>
      <c r="L80" s="87"/>
    </row>
    <row r="81" spans="1:12" x14ac:dyDescent="0.25">
      <c r="B81" s="87" t="s">
        <v>114</v>
      </c>
      <c r="C81" s="87" t="s">
        <v>130</v>
      </c>
      <c r="D81" s="87" t="s">
        <v>131</v>
      </c>
      <c r="E81" s="87" t="s">
        <v>132</v>
      </c>
      <c r="F81" s="87" t="s">
        <v>133</v>
      </c>
      <c r="G81" s="87" t="s">
        <v>154</v>
      </c>
      <c r="H81" s="87" t="s">
        <v>115</v>
      </c>
      <c r="I81" s="87" t="s">
        <v>138</v>
      </c>
      <c r="J81" s="87" t="s">
        <v>139</v>
      </c>
      <c r="K81" s="87"/>
      <c r="L81" s="87"/>
    </row>
    <row r="82" spans="1:12" x14ac:dyDescent="0.25">
      <c r="B82" s="87" t="s">
        <v>134</v>
      </c>
      <c r="C82" s="87">
        <v>3</v>
      </c>
      <c r="D82" s="87">
        <v>44508.606</v>
      </c>
      <c r="E82" s="87">
        <v>8404.5133000000005</v>
      </c>
      <c r="F82" s="87">
        <v>0</v>
      </c>
      <c r="G82" s="87">
        <f t="shared" si="3"/>
        <v>89626.999999999985</v>
      </c>
      <c r="H82" s="87">
        <v>7706.5348237317266</v>
      </c>
      <c r="I82" s="87">
        <v>1090.5696908186153</v>
      </c>
      <c r="J82" s="87">
        <v>54.528484540930762</v>
      </c>
      <c r="K82" s="87"/>
      <c r="L82" s="87"/>
    </row>
    <row r="83" spans="1:12" x14ac:dyDescent="0.25">
      <c r="B83" s="87" t="s">
        <v>135</v>
      </c>
      <c r="C83" s="87">
        <v>18</v>
      </c>
      <c r="D83" s="87">
        <v>18327.564939999997</v>
      </c>
      <c r="E83" s="87">
        <v>5120.509</v>
      </c>
      <c r="F83" s="87">
        <v>0</v>
      </c>
      <c r="G83" s="87">
        <f t="shared" si="3"/>
        <v>18216.528999999999</v>
      </c>
      <c r="H83" s="87">
        <v>1566.3395528804813</v>
      </c>
      <c r="I83" s="87">
        <v>3269.0925735632741</v>
      </c>
      <c r="J83" s="87">
        <v>163.45462867816371</v>
      </c>
      <c r="K83" s="87"/>
      <c r="L83" s="87"/>
    </row>
    <row r="84" spans="1:12" x14ac:dyDescent="0.25">
      <c r="B84" s="87" t="s">
        <v>136</v>
      </c>
      <c r="C84" s="87">
        <v>23</v>
      </c>
      <c r="D84" s="87">
        <v>4862.1544999999996</v>
      </c>
      <c r="E84" s="87">
        <v>1546.616</v>
      </c>
      <c r="F84" s="87">
        <v>0</v>
      </c>
      <c r="G84" s="87">
        <f t="shared" si="3"/>
        <v>1862.4900000000002</v>
      </c>
      <c r="H84" s="87">
        <v>160.14531384350818</v>
      </c>
      <c r="I84" s="87">
        <v>9657.5788755912781</v>
      </c>
      <c r="J84" s="87">
        <v>482.87894377956388</v>
      </c>
      <c r="K84" s="87"/>
      <c r="L84" s="87"/>
    </row>
    <row r="85" spans="1:12" x14ac:dyDescent="0.25">
      <c r="B85" s="87" t="s">
        <v>140</v>
      </c>
      <c r="C85" s="87">
        <v>7</v>
      </c>
      <c r="D85" s="87">
        <v>7776.5621999999994</v>
      </c>
      <c r="E85" s="87">
        <v>2522.8651399999999</v>
      </c>
      <c r="F85" s="87">
        <v>0</v>
      </c>
      <c r="G85" s="87">
        <f t="shared" ref="G85:G86" si="4">H85*11.63</f>
        <v>10821</v>
      </c>
      <c r="H85" s="87">
        <v>930.43852106620807</v>
      </c>
      <c r="I85" s="87">
        <v>2711.4796763885038</v>
      </c>
      <c r="J85" s="87">
        <v>135.57398381942519</v>
      </c>
      <c r="K85" s="87"/>
      <c r="L85" s="87"/>
    </row>
    <row r="86" spans="1:12" x14ac:dyDescent="0.25">
      <c r="B86" s="87" t="s">
        <v>1</v>
      </c>
      <c r="C86" s="87">
        <v>51</v>
      </c>
      <c r="D86" s="87">
        <v>75474.887640000001</v>
      </c>
      <c r="E86" s="87">
        <v>17594.50344</v>
      </c>
      <c r="F86" s="87">
        <v>0</v>
      </c>
      <c r="G86" s="87">
        <f t="shared" si="4"/>
        <v>120527.01899999999</v>
      </c>
      <c r="H86" s="87">
        <v>10363.458211521924</v>
      </c>
      <c r="I86" s="87">
        <v>1697.7444286347118</v>
      </c>
      <c r="J86" s="87">
        <v>84.887221431735583</v>
      </c>
      <c r="K86" s="87"/>
      <c r="L86" s="87"/>
    </row>
    <row r="87" spans="1:12" x14ac:dyDescent="0.25"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</row>
    <row r="88" spans="1:12" x14ac:dyDescent="0.25">
      <c r="A88">
        <v>2018</v>
      </c>
      <c r="B88" s="87" t="s">
        <v>129</v>
      </c>
      <c r="C88" s="87"/>
      <c r="D88" s="87"/>
      <c r="E88" s="87"/>
      <c r="F88" s="87"/>
      <c r="G88" s="87"/>
      <c r="H88" s="87"/>
      <c r="I88" s="87"/>
      <c r="J88" s="87"/>
      <c r="K88" s="87"/>
      <c r="L88" s="87"/>
    </row>
    <row r="89" spans="1:12" x14ac:dyDescent="0.25">
      <c r="B89" s="87" t="s">
        <v>114</v>
      </c>
      <c r="C89" s="87" t="s">
        <v>130</v>
      </c>
      <c r="D89" s="87" t="s">
        <v>131</v>
      </c>
      <c r="E89" s="87" t="s">
        <v>132</v>
      </c>
      <c r="F89" s="87" t="s">
        <v>133</v>
      </c>
      <c r="G89" s="87" t="s">
        <v>141</v>
      </c>
      <c r="H89" s="87" t="s">
        <v>115</v>
      </c>
      <c r="I89" s="87" t="s">
        <v>142</v>
      </c>
      <c r="J89" s="87" t="s">
        <v>139</v>
      </c>
      <c r="K89" s="87"/>
      <c r="L89" s="87"/>
    </row>
    <row r="90" spans="1:12" x14ac:dyDescent="0.25">
      <c r="B90" s="87" t="s">
        <v>134</v>
      </c>
      <c r="C90" s="87">
        <v>4</v>
      </c>
      <c r="D90" s="87">
        <v>44368.118000000002</v>
      </c>
      <c r="E90" s="87">
        <v>8638.9480000000003</v>
      </c>
      <c r="F90" s="87">
        <v>4585.6000000000004</v>
      </c>
      <c r="G90" s="87">
        <v>181815</v>
      </c>
      <c r="H90" s="87">
        <v>15633.276010318141</v>
      </c>
      <c r="I90" s="87">
        <v>2.3757522756648242</v>
      </c>
      <c r="J90" s="87">
        <v>27.629998965981912</v>
      </c>
      <c r="K90" s="87"/>
      <c r="L90" s="87"/>
    </row>
    <row r="91" spans="1:12" x14ac:dyDescent="0.25">
      <c r="B91" s="87" t="s">
        <v>135</v>
      </c>
      <c r="C91" s="87">
        <v>15</v>
      </c>
      <c r="D91" s="87">
        <v>7256.2152800000003</v>
      </c>
      <c r="E91" s="87">
        <v>1241.357</v>
      </c>
      <c r="F91" s="87">
        <v>218.577</v>
      </c>
      <c r="G91" s="87">
        <v>13377.029999999999</v>
      </c>
      <c r="H91" s="87">
        <v>1150.2175408426481</v>
      </c>
      <c r="I91" s="87">
        <v>4.6398826944396481</v>
      </c>
      <c r="J91" s="87">
        <v>53.9618357363331</v>
      </c>
      <c r="K91" s="87"/>
      <c r="L91" s="87"/>
    </row>
    <row r="92" spans="1:12" x14ac:dyDescent="0.25">
      <c r="B92" s="87" t="s">
        <v>136</v>
      </c>
      <c r="C92" s="87">
        <v>43</v>
      </c>
      <c r="D92" s="87">
        <v>18793.483210000002</v>
      </c>
      <c r="E92" s="87">
        <v>4828.4132</v>
      </c>
      <c r="F92" s="87">
        <v>577.72349999999994</v>
      </c>
      <c r="G92" s="87">
        <v>8742.1299999999992</v>
      </c>
      <c r="H92" s="87">
        <v>751.68787618228703</v>
      </c>
      <c r="I92" s="87">
        <v>27.615770984874398</v>
      </c>
      <c r="J92" s="87">
        <v>321.17141655408926</v>
      </c>
      <c r="K92" s="87"/>
      <c r="L92" s="87"/>
    </row>
    <row r="93" spans="1:12" x14ac:dyDescent="0.25">
      <c r="B93" s="87" t="s">
        <v>140</v>
      </c>
      <c r="C93" s="87">
        <v>15</v>
      </c>
      <c r="D93" s="87">
        <v>33538.269</v>
      </c>
      <c r="E93" s="87">
        <v>7793.6578</v>
      </c>
      <c r="F93" s="87">
        <v>234.80600000000001</v>
      </c>
      <c r="G93" s="87">
        <v>77362</v>
      </c>
      <c r="H93" s="87">
        <v>6651.9346517626818</v>
      </c>
      <c r="I93" s="87">
        <v>5.0371356738450404</v>
      </c>
      <c r="J93" s="87">
        <v>58.581887886817832</v>
      </c>
      <c r="K93" s="87"/>
      <c r="L93" s="87"/>
    </row>
    <row r="94" spans="1:12" x14ac:dyDescent="0.25">
      <c r="B94" s="87" t="s">
        <v>1</v>
      </c>
      <c r="C94" s="87">
        <v>77</v>
      </c>
      <c r="D94" s="87">
        <v>103956.08549000001</v>
      </c>
      <c r="E94" s="87">
        <v>22502.376</v>
      </c>
      <c r="F94" s="87">
        <v>5616.7065000000002</v>
      </c>
      <c r="G94" s="87">
        <v>281296.16000000003</v>
      </c>
      <c r="H94" s="87">
        <v>24187.116079105755</v>
      </c>
      <c r="I94" s="87">
        <v>3.9997659406370842</v>
      </c>
      <c r="J94" s="87">
        <v>46.517277889609311</v>
      </c>
      <c r="K94" s="87"/>
      <c r="L94" s="87"/>
    </row>
    <row r="95" spans="1:12" x14ac:dyDescent="0.25"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</row>
    <row r="96" spans="1:12" x14ac:dyDescent="0.25">
      <c r="A96">
        <v>2019</v>
      </c>
      <c r="B96" s="87" t="s">
        <v>129</v>
      </c>
      <c r="C96" s="87"/>
      <c r="D96" s="87"/>
      <c r="E96" s="87"/>
      <c r="F96" s="87"/>
      <c r="G96" s="87"/>
      <c r="H96" s="87"/>
      <c r="I96" s="87"/>
      <c r="J96" s="87"/>
      <c r="K96" s="87"/>
      <c r="L96" s="87"/>
    </row>
    <row r="97" spans="1:15" x14ac:dyDescent="0.25">
      <c r="B97" s="87" t="s">
        <v>114</v>
      </c>
      <c r="C97" s="87" t="s">
        <v>130</v>
      </c>
      <c r="D97" s="87" t="s">
        <v>131</v>
      </c>
      <c r="E97" s="87" t="s">
        <v>132</v>
      </c>
      <c r="F97" s="87" t="s">
        <v>133</v>
      </c>
      <c r="G97" s="87" t="s">
        <v>141</v>
      </c>
      <c r="H97" s="87" t="s">
        <v>115</v>
      </c>
      <c r="I97" s="87" t="s">
        <v>142</v>
      </c>
      <c r="J97" s="87" t="s">
        <v>139</v>
      </c>
      <c r="K97" s="87"/>
      <c r="L97" s="87"/>
    </row>
    <row r="98" spans="1:15" x14ac:dyDescent="0.25">
      <c r="B98" s="87" t="s">
        <v>134</v>
      </c>
      <c r="C98" s="87">
        <v>4</v>
      </c>
      <c r="D98" s="87">
        <v>78325.163</v>
      </c>
      <c r="E98" s="87">
        <v>20179.384999999998</v>
      </c>
      <c r="F98" s="87">
        <v>4000</v>
      </c>
      <c r="G98" s="87">
        <v>215893</v>
      </c>
      <c r="H98" s="87">
        <v>18563.456577815992</v>
      </c>
      <c r="I98" s="87">
        <v>4.6734690332711111</v>
      </c>
      <c r="J98" s="87">
        <v>54.352444856943023</v>
      </c>
      <c r="K98" s="87"/>
      <c r="L98" s="87"/>
    </row>
    <row r="99" spans="1:15" x14ac:dyDescent="0.25">
      <c r="B99" s="87" t="s">
        <v>135</v>
      </c>
      <c r="C99" s="87">
        <v>23</v>
      </c>
      <c r="D99" s="87">
        <v>21326.886829999999</v>
      </c>
      <c r="E99" s="87">
        <v>3874.4267999999997</v>
      </c>
      <c r="F99" s="87">
        <v>116</v>
      </c>
      <c r="G99" s="87">
        <v>21517.589</v>
      </c>
      <c r="H99" s="87">
        <v>1850.1796216680996</v>
      </c>
      <c r="I99" s="87">
        <v>9.0029296497855764</v>
      </c>
      <c r="J99" s="87">
        <v>104.70407182700629</v>
      </c>
      <c r="K99" s="87"/>
      <c r="L99" s="87"/>
    </row>
    <row r="100" spans="1:15" x14ac:dyDescent="0.25">
      <c r="B100" s="87" t="s">
        <v>136</v>
      </c>
      <c r="C100" s="87">
        <v>46</v>
      </c>
      <c r="D100" s="87">
        <v>12299.45191</v>
      </c>
      <c r="E100" s="87">
        <v>4005.3993500000001</v>
      </c>
      <c r="F100" s="87">
        <v>369.20379000000003</v>
      </c>
      <c r="G100" s="87">
        <v>6305.3100000000022</v>
      </c>
      <c r="H100" s="87">
        <v>542.15907136715407</v>
      </c>
      <c r="I100" s="87">
        <v>31.76211280650752</v>
      </c>
      <c r="J100" s="87">
        <v>369.39337193968242</v>
      </c>
      <c r="K100" s="87"/>
      <c r="L100" s="87"/>
    </row>
    <row r="101" spans="1:15" x14ac:dyDescent="0.25">
      <c r="B101" s="87" t="s">
        <v>140</v>
      </c>
      <c r="C101" s="87">
        <v>6</v>
      </c>
      <c r="D101" s="87">
        <v>6295.0324000000001</v>
      </c>
      <c r="E101" s="87">
        <v>1166.2339999999999</v>
      </c>
      <c r="F101" s="87">
        <v>779.88199999999995</v>
      </c>
      <c r="G101" s="87">
        <v>13348</v>
      </c>
      <c r="H101" s="87">
        <v>1147.7214101461736</v>
      </c>
      <c r="I101" s="87">
        <v>4.3685720707222053</v>
      </c>
      <c r="J101" s="87">
        <v>50.806493182499246</v>
      </c>
      <c r="K101" s="87"/>
      <c r="L101" s="87"/>
    </row>
    <row r="102" spans="1:15" x14ac:dyDescent="0.25">
      <c r="B102" s="87" t="s">
        <v>1</v>
      </c>
      <c r="C102" s="87">
        <v>79</v>
      </c>
      <c r="D102" s="87">
        <v>118246.53414</v>
      </c>
      <c r="E102" s="87">
        <v>29225.44515</v>
      </c>
      <c r="F102" s="87">
        <v>5265.0857899999992</v>
      </c>
      <c r="G102" s="87">
        <v>257063.899</v>
      </c>
      <c r="H102" s="87">
        <v>22103.516680997418</v>
      </c>
      <c r="I102" s="87">
        <v>5.684470916314857</v>
      </c>
      <c r="J102" s="87">
        <v>66.110396756741793</v>
      </c>
      <c r="K102" s="87"/>
      <c r="L102" s="87"/>
    </row>
    <row r="103" spans="1:15" x14ac:dyDescent="0.25"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</row>
    <row r="104" spans="1:15" x14ac:dyDescent="0.25">
      <c r="A104">
        <v>2020</v>
      </c>
      <c r="B104" s="87" t="s">
        <v>129</v>
      </c>
      <c r="C104" s="87"/>
      <c r="D104" s="87"/>
      <c r="E104" s="87"/>
      <c r="F104" s="87"/>
      <c r="G104" s="87"/>
      <c r="H104" s="87"/>
      <c r="I104" s="87"/>
      <c r="J104" s="87"/>
      <c r="K104" s="87"/>
      <c r="L104" s="87"/>
    </row>
    <row r="105" spans="1:15" x14ac:dyDescent="0.25">
      <c r="B105" s="87" t="s">
        <v>114</v>
      </c>
      <c r="C105" s="87" t="s">
        <v>130</v>
      </c>
      <c r="D105" s="87" t="s">
        <v>131</v>
      </c>
      <c r="E105" s="87" t="s">
        <v>132</v>
      </c>
      <c r="F105" s="87" t="s">
        <v>133</v>
      </c>
      <c r="G105" s="87" t="s">
        <v>141</v>
      </c>
      <c r="H105" s="87" t="s">
        <v>115</v>
      </c>
      <c r="I105" s="87" t="s">
        <v>142</v>
      </c>
      <c r="J105" s="87" t="s">
        <v>139</v>
      </c>
      <c r="K105" s="87"/>
      <c r="L105" s="87"/>
    </row>
    <row r="106" spans="1:15" x14ac:dyDescent="0.25">
      <c r="B106" s="87" t="s">
        <v>134</v>
      </c>
      <c r="C106" s="87">
        <v>5</v>
      </c>
      <c r="D106" s="87">
        <v>40537.985289999997</v>
      </c>
      <c r="E106" s="87">
        <v>8851.77</v>
      </c>
      <c r="F106" s="87">
        <v>5901.77</v>
      </c>
      <c r="G106" s="87">
        <v>232958</v>
      </c>
      <c r="H106" s="87">
        <v>20030.782459157352</v>
      </c>
      <c r="I106" s="87">
        <v>1.8998639239691275</v>
      </c>
      <c r="J106" s="87">
        <v>22.095417435760954</v>
      </c>
      <c r="K106" s="87"/>
      <c r="L106" s="87"/>
    </row>
    <row r="107" spans="1:15" x14ac:dyDescent="0.25">
      <c r="B107" s="87" t="s">
        <v>135</v>
      </c>
      <c r="C107" s="87">
        <v>10</v>
      </c>
      <c r="D107" s="87">
        <v>10134.797980000001</v>
      </c>
      <c r="E107" s="87">
        <v>3235.9586899999999</v>
      </c>
      <c r="F107" s="87">
        <v>1570.43804</v>
      </c>
      <c r="G107" s="87">
        <v>20293.3</v>
      </c>
      <c r="H107" s="87">
        <v>1744.9097162510745</v>
      </c>
      <c r="I107" s="87">
        <v>7.9729730748572196</v>
      </c>
      <c r="J107" s="87">
        <v>92.725676860589459</v>
      </c>
      <c r="K107" s="87"/>
      <c r="L107" s="87"/>
    </row>
    <row r="108" spans="1:15" x14ac:dyDescent="0.25">
      <c r="B108" s="87" t="s">
        <v>136</v>
      </c>
      <c r="C108" s="87">
        <v>54</v>
      </c>
      <c r="D108" s="87">
        <v>27220.801330000002</v>
      </c>
      <c r="E108" s="87">
        <v>10226.24014</v>
      </c>
      <c r="F108" s="87">
        <v>850.28118000000006</v>
      </c>
      <c r="G108" s="87">
        <v>19143.662</v>
      </c>
      <c r="H108" s="87">
        <v>1646.0586414445399</v>
      </c>
      <c r="I108" s="87">
        <v>26.709205741304874</v>
      </c>
      <c r="J108" s="87">
        <v>310.62806277137577</v>
      </c>
      <c r="K108" s="87"/>
      <c r="L108" s="87"/>
    </row>
    <row r="109" spans="1:15" x14ac:dyDescent="0.25">
      <c r="B109" s="87" t="s">
        <v>140</v>
      </c>
      <c r="C109" s="87">
        <v>4</v>
      </c>
      <c r="D109" s="87">
        <v>24464.61</v>
      </c>
      <c r="E109" s="87">
        <v>7931</v>
      </c>
      <c r="F109" s="87">
        <v>0</v>
      </c>
      <c r="G109" s="87">
        <v>29682</v>
      </c>
      <c r="H109" s="87">
        <v>2552.1926053310403</v>
      </c>
      <c r="I109" s="87">
        <v>13.359948790512769</v>
      </c>
      <c r="J109" s="87">
        <v>155.37620443366353</v>
      </c>
      <c r="K109" s="87"/>
      <c r="L109" s="87"/>
    </row>
    <row r="110" spans="1:15" x14ac:dyDescent="0.25">
      <c r="B110" s="87" t="s">
        <v>1</v>
      </c>
      <c r="C110" s="87">
        <v>73</v>
      </c>
      <c r="D110" s="87">
        <v>102358.1946</v>
      </c>
      <c r="E110" s="87">
        <v>30244.968829999998</v>
      </c>
      <c r="F110" s="87">
        <v>8322.4892200000013</v>
      </c>
      <c r="G110" s="87">
        <v>302076.962</v>
      </c>
      <c r="H110" s="87">
        <v>25973.943422184006</v>
      </c>
      <c r="I110" s="87">
        <v>5.0061693930171334</v>
      </c>
      <c r="J110" s="87">
        <v>58.221750040789274</v>
      </c>
      <c r="K110" s="87"/>
      <c r="L110" s="87"/>
    </row>
    <row r="111" spans="1:15" x14ac:dyDescent="0.25"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O111" s="8">
        <v>30730.6</v>
      </c>
    </row>
    <row r="112" spans="1:15" x14ac:dyDescent="0.25">
      <c r="A112">
        <v>2021</v>
      </c>
      <c r="B112" s="87" t="s">
        <v>129</v>
      </c>
      <c r="C112" s="87"/>
      <c r="D112" s="87"/>
      <c r="E112" s="87"/>
      <c r="F112" s="87"/>
      <c r="G112" s="87"/>
      <c r="H112" s="87"/>
      <c r="I112" s="87"/>
      <c r="J112" s="87"/>
      <c r="K112" s="87"/>
      <c r="L112" s="87"/>
    </row>
    <row r="113" spans="1:15" x14ac:dyDescent="0.25">
      <c r="B113" s="87" t="s">
        <v>114</v>
      </c>
      <c r="C113" s="87" t="s">
        <v>130</v>
      </c>
      <c r="D113" s="87" t="s">
        <v>131</v>
      </c>
      <c r="E113" s="87" t="s">
        <v>132</v>
      </c>
      <c r="F113" s="87" t="s">
        <v>133</v>
      </c>
      <c r="G113" s="87" t="s">
        <v>141</v>
      </c>
      <c r="H113" s="87" t="s">
        <v>115</v>
      </c>
      <c r="I113" s="87" t="s">
        <v>142</v>
      </c>
      <c r="J113" s="87" t="s">
        <v>139</v>
      </c>
      <c r="K113" s="87"/>
      <c r="L113" s="87"/>
    </row>
    <row r="114" spans="1:15" x14ac:dyDescent="0.25">
      <c r="B114" s="87" t="s">
        <v>134</v>
      </c>
      <c r="C114" s="87">
        <v>3</v>
      </c>
      <c r="D114" s="87">
        <v>53176.446109999997</v>
      </c>
      <c r="E114" s="87">
        <v>9055.9789999999994</v>
      </c>
      <c r="F114" s="87">
        <v>0</v>
      </c>
      <c r="G114" s="87">
        <v>255102</v>
      </c>
      <c r="H114" s="87">
        <v>21934.823731728287</v>
      </c>
      <c r="I114" s="87">
        <v>1.7749721679955468</v>
      </c>
      <c r="J114" s="87">
        <v>20.642926313788209</v>
      </c>
      <c r="K114" s="87"/>
      <c r="L114" s="87"/>
    </row>
    <row r="115" spans="1:15" x14ac:dyDescent="0.25">
      <c r="B115" s="87" t="s">
        <v>135</v>
      </c>
      <c r="C115" s="87">
        <v>18</v>
      </c>
      <c r="D115" s="87">
        <v>16817.588</v>
      </c>
      <c r="E115" s="87">
        <v>4168.25227</v>
      </c>
      <c r="F115" s="87">
        <v>0</v>
      </c>
      <c r="G115" s="87">
        <v>22522.400000000001</v>
      </c>
      <c r="H115" s="87">
        <v>1936.5778159931212</v>
      </c>
      <c r="I115" s="87">
        <v>9.2535703788228609</v>
      </c>
      <c r="J115" s="87">
        <v>107.61902350570986</v>
      </c>
      <c r="K115" s="87"/>
      <c r="L115" s="87"/>
    </row>
    <row r="116" spans="1:15" x14ac:dyDescent="0.25">
      <c r="B116" s="87" t="s">
        <v>136</v>
      </c>
      <c r="C116" s="87">
        <v>55</v>
      </c>
      <c r="D116" s="87">
        <v>12510.476690000001</v>
      </c>
      <c r="E116" s="87">
        <v>3511.2473999999997</v>
      </c>
      <c r="F116" s="87">
        <v>0</v>
      </c>
      <c r="G116" s="87">
        <v>4578.527</v>
      </c>
      <c r="H116" s="87">
        <v>393.68245915735167</v>
      </c>
      <c r="I116" s="87">
        <v>38.344727463658067</v>
      </c>
      <c r="J116" s="87">
        <v>445.94918040234336</v>
      </c>
      <c r="K116" s="87"/>
      <c r="L116" s="87"/>
    </row>
    <row r="117" spans="1:15" x14ac:dyDescent="0.25">
      <c r="B117" s="87" t="s">
        <v>140</v>
      </c>
      <c r="C117" s="87">
        <v>5</v>
      </c>
      <c r="D117" s="87">
        <v>42169.245450000002</v>
      </c>
      <c r="E117" s="87">
        <v>6162.5919999999996</v>
      </c>
      <c r="F117" s="87">
        <v>0</v>
      </c>
      <c r="G117" s="87">
        <v>26251</v>
      </c>
      <c r="H117" s="87">
        <v>2257.1797076526223</v>
      </c>
      <c r="I117" s="87">
        <v>11.737823321016341</v>
      </c>
      <c r="J117" s="87">
        <v>136.51088522342008</v>
      </c>
      <c r="K117" s="87"/>
      <c r="L117" s="87"/>
    </row>
    <row r="118" spans="1:15" x14ac:dyDescent="0.25">
      <c r="B118" s="87" t="s">
        <v>1</v>
      </c>
      <c r="C118" s="87">
        <v>81</v>
      </c>
      <c r="D118" s="87">
        <v>124673.75624999999</v>
      </c>
      <c r="E118" s="87">
        <v>22898.070670000001</v>
      </c>
      <c r="F118" s="87">
        <v>0</v>
      </c>
      <c r="G118" s="87">
        <v>308453.92700000003</v>
      </c>
      <c r="H118" s="87">
        <v>26522.263714531386</v>
      </c>
      <c r="I118" s="87">
        <v>3.7117489300111912</v>
      </c>
      <c r="J118" s="87">
        <v>43.167640056030152</v>
      </c>
      <c r="K118" s="87"/>
      <c r="L118" s="87"/>
      <c r="O118" s="8">
        <v>23831.3</v>
      </c>
    </row>
    <row r="119" spans="1:15" x14ac:dyDescent="0.25"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</row>
    <row r="120" spans="1:15" x14ac:dyDescent="0.25">
      <c r="A120">
        <v>2022</v>
      </c>
      <c r="B120" s="87" t="s">
        <v>143</v>
      </c>
      <c r="C120" s="87"/>
      <c r="D120" s="87"/>
      <c r="E120" s="87"/>
      <c r="F120" s="87"/>
      <c r="G120" s="87"/>
      <c r="H120" s="87"/>
      <c r="I120" s="87"/>
      <c r="J120" s="87"/>
      <c r="K120" s="87"/>
      <c r="L120" s="87"/>
    </row>
    <row r="121" spans="1:15" x14ac:dyDescent="0.25">
      <c r="B121" s="87" t="s">
        <v>114</v>
      </c>
      <c r="C121" s="87" t="s">
        <v>130</v>
      </c>
      <c r="D121" s="87" t="s">
        <v>144</v>
      </c>
      <c r="E121" s="87" t="s">
        <v>145</v>
      </c>
      <c r="G121" s="87" t="s">
        <v>146</v>
      </c>
      <c r="H121" s="87" t="s">
        <v>147</v>
      </c>
      <c r="I121" s="87"/>
      <c r="K121" s="87" t="s">
        <v>148</v>
      </c>
      <c r="L121" s="87" t="s">
        <v>149</v>
      </c>
    </row>
    <row r="122" spans="1:15" x14ac:dyDescent="0.25">
      <c r="B122" s="87" t="s">
        <v>134</v>
      </c>
      <c r="C122" s="87">
        <v>5</v>
      </c>
      <c r="D122" s="87">
        <v>57027.843149999993</v>
      </c>
      <c r="E122" s="87">
        <v>11212.6595</v>
      </c>
      <c r="G122" s="87">
        <v>195699</v>
      </c>
      <c r="H122" s="87">
        <v>39139.800000000003</v>
      </c>
      <c r="I122" s="87"/>
      <c r="K122" s="87">
        <v>2.8647717923954645</v>
      </c>
      <c r="L122" s="87">
        <v>0.1966172816760299</v>
      </c>
      <c r="M122" s="91"/>
    </row>
    <row r="123" spans="1:15" x14ac:dyDescent="0.25">
      <c r="B123" s="87" t="s">
        <v>135</v>
      </c>
      <c r="C123" s="87">
        <v>17</v>
      </c>
      <c r="D123" s="87">
        <v>11423.823060000001</v>
      </c>
      <c r="E123" s="87">
        <v>4073.2469999999998</v>
      </c>
      <c r="G123" s="87">
        <v>13059</v>
      </c>
      <c r="H123" s="87">
        <v>768.17647058823525</v>
      </c>
      <c r="I123" s="87"/>
      <c r="K123" s="87">
        <v>15.595554789800138</v>
      </c>
      <c r="L123" s="87">
        <v>0.35655725571085656</v>
      </c>
      <c r="M123" s="91"/>
    </row>
    <row r="124" spans="1:15" x14ac:dyDescent="0.25">
      <c r="B124" s="87" t="s">
        <v>136</v>
      </c>
      <c r="C124" s="87">
        <v>77</v>
      </c>
      <c r="D124" s="87">
        <v>29431.778909999997</v>
      </c>
      <c r="E124" s="87">
        <v>7865.7323000000006</v>
      </c>
      <c r="G124" s="87">
        <v>10707.459999999997</v>
      </c>
      <c r="H124" s="87">
        <v>139.05792207792203</v>
      </c>
      <c r="I124" s="87"/>
      <c r="K124" s="87">
        <v>36.730150287743321</v>
      </c>
      <c r="L124" s="87">
        <v>0.26725303706761239</v>
      </c>
      <c r="M124" s="91"/>
    </row>
    <row r="125" spans="1:15" x14ac:dyDescent="0.25">
      <c r="B125" s="87" t="s">
        <v>150</v>
      </c>
      <c r="C125" s="87">
        <v>3</v>
      </c>
      <c r="D125" s="87">
        <v>15002.198</v>
      </c>
      <c r="E125" s="87">
        <v>7314.9218000000001</v>
      </c>
      <c r="G125" s="87">
        <v>6150</v>
      </c>
      <c r="H125" s="87">
        <v>2050</v>
      </c>
      <c r="I125" s="87"/>
      <c r="K125" s="87">
        <v>59.470908943089434</v>
      </c>
      <c r="L125" s="87">
        <v>0.48759000514457945</v>
      </c>
      <c r="M125" s="91"/>
    </row>
    <row r="126" spans="1:15" x14ac:dyDescent="0.25">
      <c r="B126" s="87" t="s">
        <v>151</v>
      </c>
      <c r="C126" s="87">
        <v>102</v>
      </c>
      <c r="D126" s="87">
        <v>112885.64311999999</v>
      </c>
      <c r="E126" s="87">
        <v>30466.560600000001</v>
      </c>
      <c r="G126" s="87">
        <v>225615.46</v>
      </c>
      <c r="H126" s="87">
        <v>2211.9162745098038</v>
      </c>
      <c r="I126" s="87"/>
      <c r="K126" s="87">
        <v>6.7518778633343661</v>
      </c>
      <c r="L126" s="87">
        <v>0.26988871000728903</v>
      </c>
      <c r="M126" s="91"/>
    </row>
    <row r="127" spans="1:15" x14ac:dyDescent="0.25">
      <c r="B127" s="87" t="s">
        <v>152</v>
      </c>
      <c r="C127" s="87">
        <v>48</v>
      </c>
      <c r="D127" s="87">
        <v>0</v>
      </c>
      <c r="E127" s="87">
        <v>3749.3009999999999</v>
      </c>
      <c r="G127" s="87">
        <v>6173.7</v>
      </c>
      <c r="H127" s="87">
        <v>128.61875000000001</v>
      </c>
      <c r="I127" s="87"/>
      <c r="K127" s="87">
        <v>30.365105204334515</v>
      </c>
      <c r="L127" s="87"/>
      <c r="M127" s="91"/>
    </row>
    <row r="128" spans="1:15" x14ac:dyDescent="0.25">
      <c r="B128" s="87" t="s">
        <v>153</v>
      </c>
      <c r="C128" s="87">
        <v>2</v>
      </c>
      <c r="D128" s="87">
        <v>91.47</v>
      </c>
      <c r="E128" s="87">
        <v>49.747</v>
      </c>
      <c r="G128" s="87">
        <v>49</v>
      </c>
      <c r="H128" s="87">
        <v>24.5</v>
      </c>
      <c r="I128" s="87"/>
      <c r="K128" s="87">
        <v>50.762244897959178</v>
      </c>
      <c r="L128" s="87">
        <v>0.54386137531431067</v>
      </c>
      <c r="M128" s="91"/>
    </row>
    <row r="129" spans="2:15" x14ac:dyDescent="0.25">
      <c r="B129" s="87" t="s">
        <v>1</v>
      </c>
      <c r="C129" s="87">
        <v>152</v>
      </c>
      <c r="D129" s="87">
        <v>112977.11311999999</v>
      </c>
      <c r="E129" s="87">
        <v>34265.6086</v>
      </c>
      <c r="G129" s="87">
        <v>231838.16</v>
      </c>
      <c r="H129" s="87">
        <v>1525.2510526315789</v>
      </c>
      <c r="I129" s="87"/>
      <c r="K129" s="87">
        <v>7.3899845909750157</v>
      </c>
      <c r="L129" s="87">
        <v>0.30329690371539569</v>
      </c>
      <c r="M129" s="91"/>
      <c r="O129" s="8">
        <v>34169.6086</v>
      </c>
    </row>
    <row r="133" spans="2:15" x14ac:dyDescent="0.25">
      <c r="C133" s="87">
        <f>SUMIF($B$14:$B$129,"TOTAL",C14:C129)</f>
        <v>957</v>
      </c>
      <c r="D133" s="87">
        <f t="shared" ref="D133:J133" si="5">SUMIF($B$14:$B$129,"TOTAL",D14:D129)</f>
        <v>1203156.0894900002</v>
      </c>
      <c r="E133" s="87">
        <f t="shared" si="5"/>
        <v>280252.21519999998</v>
      </c>
      <c r="F133" s="87">
        <f t="shared" si="5"/>
        <v>26028.032890000002</v>
      </c>
      <c r="G133" s="87">
        <f t="shared" si="5"/>
        <v>3128209.324</v>
      </c>
      <c r="H133" s="87">
        <f t="shared" si="5"/>
        <v>250568.34340000903</v>
      </c>
      <c r="I133" s="87">
        <f t="shared" si="5"/>
        <v>4726.6500887947414</v>
      </c>
      <c r="J133" s="87">
        <f t="shared" si="5"/>
        <v>449.42946142390861</v>
      </c>
    </row>
    <row r="134" spans="2:15" x14ac:dyDescent="0.25">
      <c r="B134" t="s">
        <v>1</v>
      </c>
      <c r="C134">
        <f>957+24</f>
        <v>981</v>
      </c>
    </row>
    <row r="138" spans="2:15" x14ac:dyDescent="0.25">
      <c r="C138" s="87" t="s">
        <v>130</v>
      </c>
      <c r="D138" s="87" t="s">
        <v>144</v>
      </c>
      <c r="E138" s="87" t="s">
        <v>145</v>
      </c>
      <c r="G138" s="87" t="s">
        <v>146</v>
      </c>
    </row>
    <row r="139" spans="2:15" x14ac:dyDescent="0.25">
      <c r="B139" t="s">
        <v>134</v>
      </c>
      <c r="C139" s="87">
        <f t="shared" ref="C139:J139" si="6">SUMIF($B$14:$B$129,"Aquifère profond",C14:C129)</f>
        <v>52</v>
      </c>
      <c r="D139" s="87">
        <f t="shared" si="6"/>
        <v>683763.76738000009</v>
      </c>
      <c r="E139" s="87">
        <f t="shared" si="6"/>
        <v>138841.32108000002</v>
      </c>
      <c r="F139" s="87">
        <f t="shared" si="6"/>
        <v>20442.15338</v>
      </c>
      <c r="G139" s="87">
        <f t="shared" si="6"/>
        <v>2590062</v>
      </c>
      <c r="H139" s="87">
        <f t="shared" si="6"/>
        <v>245017.9599312123</v>
      </c>
      <c r="I139" s="87">
        <f t="shared" si="6"/>
        <v>4532.8502362048084</v>
      </c>
      <c r="J139" s="87">
        <f t="shared" si="6"/>
        <v>350.82709651266953</v>
      </c>
    </row>
    <row r="143" spans="2:15" ht="30" x14ac:dyDescent="0.25">
      <c r="B143" s="68"/>
      <c r="C143" s="67" t="s">
        <v>156</v>
      </c>
      <c r="D143" s="67" t="s">
        <v>157</v>
      </c>
      <c r="E143" s="67" t="s">
        <v>146</v>
      </c>
    </row>
    <row r="144" spans="2:15" x14ac:dyDescent="0.25">
      <c r="B144" s="68" t="s">
        <v>113</v>
      </c>
      <c r="C144" s="72">
        <f>C139</f>
        <v>52</v>
      </c>
      <c r="D144" s="72">
        <f>E139</f>
        <v>138841.32108000002</v>
      </c>
      <c r="E144" s="72">
        <f>G139</f>
        <v>2590062</v>
      </c>
    </row>
    <row r="145" spans="2:5" x14ac:dyDescent="0.25">
      <c r="B145" s="68" t="s">
        <v>155</v>
      </c>
      <c r="C145" s="72">
        <f>C146-C144</f>
        <v>929</v>
      </c>
      <c r="D145" s="72">
        <f t="shared" ref="D145:E145" si="7">D146-D144</f>
        <v>201838.01842138392</v>
      </c>
      <c r="E145" s="72">
        <f t="shared" si="7"/>
        <v>1139381.208849262</v>
      </c>
    </row>
    <row r="146" spans="2:5" x14ac:dyDescent="0.25">
      <c r="B146" s="68" t="s">
        <v>1</v>
      </c>
      <c r="C146" s="72">
        <v>981</v>
      </c>
      <c r="D146" s="72">
        <f>'FC Aide k€ FC'!R14</f>
        <v>340679.33950138395</v>
      </c>
      <c r="E146" s="72">
        <f>'FC Prod GWh FC'!R7*1000</f>
        <v>3729443.208849262</v>
      </c>
    </row>
    <row r="147" spans="2:5" x14ac:dyDescent="0.25">
      <c r="D147" s="91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DEC18-71AC-4FF7-87C9-AF1B8D17CAE1}">
  <sheetPr>
    <tabColor theme="7" tint="0.39997558519241921"/>
  </sheetPr>
  <dimension ref="B2:T155"/>
  <sheetViews>
    <sheetView topLeftCell="G1" zoomScale="85" zoomScaleNormal="85" workbookViewId="0">
      <selection activeCell="R19" sqref="R19"/>
    </sheetView>
  </sheetViews>
  <sheetFormatPr baseColWidth="10" defaultRowHeight="15" x14ac:dyDescent="0.25"/>
  <cols>
    <col min="1" max="1" width="4.28515625" style="2" customWidth="1"/>
    <col min="2" max="2" width="73.5703125" style="2" customWidth="1"/>
    <col min="3" max="3" width="15.5703125" style="2" customWidth="1"/>
    <col min="4" max="4" width="15.28515625" style="2" customWidth="1"/>
    <col min="5" max="5" width="15.140625" style="2" customWidth="1"/>
    <col min="6" max="6" width="17.28515625" style="2" customWidth="1"/>
    <col min="7" max="7" width="17.140625" style="2" customWidth="1"/>
    <col min="8" max="8" width="15.85546875" style="2" customWidth="1"/>
    <col min="9" max="9" width="16.5703125" style="2" customWidth="1"/>
    <col min="10" max="10" width="13.85546875" style="2" customWidth="1"/>
    <col min="11" max="11" width="14.85546875" style="2" customWidth="1"/>
    <col min="12" max="12" width="17.28515625" style="2" customWidth="1"/>
    <col min="13" max="13" width="15.7109375" style="2" customWidth="1"/>
    <col min="14" max="15" width="14.28515625" style="2" customWidth="1"/>
    <col min="16" max="16" width="15.85546875" style="2" bestFit="1" customWidth="1"/>
    <col min="17" max="17" width="17.140625" style="2" bestFit="1" customWidth="1"/>
    <col min="18" max="18" width="15" style="2" customWidth="1"/>
    <col min="19" max="19" width="16.7109375" style="2" bestFit="1" customWidth="1"/>
    <col min="20" max="20" width="14.28515625" style="2" bestFit="1" customWidth="1"/>
    <col min="21" max="16384" width="11.42578125" style="2"/>
  </cols>
  <sheetData>
    <row r="2" spans="2:18" x14ac:dyDescent="0.25">
      <c r="B2" s="1" t="s">
        <v>35</v>
      </c>
    </row>
    <row r="4" spans="2:18" x14ac:dyDescent="0.25">
      <c r="B4" s="3"/>
      <c r="C4" s="4">
        <v>2009</v>
      </c>
      <c r="D4" s="4">
        <v>2010</v>
      </c>
      <c r="E4" s="4">
        <v>2011</v>
      </c>
      <c r="F4" s="4">
        <v>2012</v>
      </c>
      <c r="G4" s="4">
        <v>2013</v>
      </c>
      <c r="H4" s="4">
        <v>2014</v>
      </c>
      <c r="I4" s="4">
        <v>2015</v>
      </c>
      <c r="J4" s="4">
        <v>2016</v>
      </c>
      <c r="K4" s="4">
        <v>2017</v>
      </c>
      <c r="L4" s="4">
        <v>2018</v>
      </c>
      <c r="M4" s="4">
        <v>2019</v>
      </c>
      <c r="N4" s="4">
        <v>2020</v>
      </c>
      <c r="O4" s="4">
        <v>2021</v>
      </c>
      <c r="P4" s="4">
        <v>2022</v>
      </c>
      <c r="Q4" s="4">
        <v>2023</v>
      </c>
      <c r="R4" s="5" t="s">
        <v>1</v>
      </c>
    </row>
    <row r="5" spans="2:18" x14ac:dyDescent="0.25">
      <c r="B5" s="6" t="s">
        <v>36</v>
      </c>
      <c r="C5" s="28">
        <f>'FC Aide k€ FC'!C5*1000/('FC Prod GWh FC'!C14*1000)/20</f>
        <v>3.5110603168352781</v>
      </c>
      <c r="D5" s="28">
        <f>'FC Aide k€ FC'!D5*1000/('FC Prod GWh FC'!D14*1000)/20</f>
        <v>3.3085143848123466</v>
      </c>
      <c r="E5" s="28">
        <f>'FC Aide k€ FC'!E5*1000/('FC Prod GWh FC'!E14*1000)/20</f>
        <v>3.4405329646132992</v>
      </c>
      <c r="F5" s="28">
        <f>'FC Aide k€ FC'!F5*1000/('FC Prod GWh FC'!F14*1000)/20</f>
        <v>3.19984077603507</v>
      </c>
      <c r="G5" s="28">
        <f>'FC Aide k€ FC'!G5*1000/('FC Prod GWh FC'!G14*1000)/20</f>
        <v>3.4559132060993547</v>
      </c>
      <c r="H5" s="28">
        <f>'FC Aide k€ FC'!H5*1000/('FC Prod GWh FC'!H14*1000)/20</f>
        <v>3.0247799134319493</v>
      </c>
      <c r="I5" s="28">
        <f>'FC Aide k€ FC'!I5*1000/('FC Prod GWh FC'!I14*1000)/20</f>
        <v>3.1958126885456606</v>
      </c>
      <c r="J5" s="28">
        <f>'FC Aide k€ FC'!J5*1000/('FC Prod GWh FC'!J14*1000)/20</f>
        <v>4.3805505887018814</v>
      </c>
      <c r="K5" s="28">
        <f>'FC Aide k€ FC'!K5*1000/('FC Prod GWh FC'!K14*1000)/20</f>
        <v>4.5023699281844829</v>
      </c>
      <c r="L5" s="28">
        <f>'FC Aide k€ FC'!L5*1000/('FC Prod GWh FC'!L14*1000)/20</f>
        <v>4.5581509200855574</v>
      </c>
      <c r="M5" s="28">
        <f>'FC Aide k€ FC'!M5*1000/('FC Prod GWh FC'!M14*1000)/20</f>
        <v>3.5713569755926473</v>
      </c>
      <c r="N5" s="28">
        <f>'FC Aide k€ FC'!N5*1000/('FC Prod GWh FC'!N14*1000)/20</f>
        <v>4.0125197531745593</v>
      </c>
      <c r="O5" s="28">
        <f>'FC Aide k€ FC'!O5*1000/('FC Prod GWh FC'!O14*1000)/20</f>
        <v>4.4935709084653386</v>
      </c>
      <c r="P5" s="28">
        <f>'FC Aide k€ FC'!P5*1000/('FC Prod GWh FC'!P14*1000)/20</f>
        <v>6.295330225094987</v>
      </c>
      <c r="Q5" s="28">
        <f>'[1]BILAN ENR FC'!$I$29</f>
        <v>9.4716637648538686</v>
      </c>
      <c r="R5" s="28">
        <f>'FC Aide k€ FC'!R5*1000/('FC Prod GWh FC'!R14*1000)/20</f>
        <v>4.280659633591684</v>
      </c>
    </row>
    <row r="6" spans="2:18" x14ac:dyDescent="0.25">
      <c r="B6" s="9" t="s">
        <v>91</v>
      </c>
      <c r="C6" s="29">
        <f>'FC Aide k€ FC'!C7/'FC Prod GWh FC'!C14/20</f>
        <v>3.7042782848537819</v>
      </c>
      <c r="D6" s="29">
        <f>'FC Aide k€ FC'!D7/'FC Prod GWh FC'!D14/20</f>
        <v>3.3909570541907081</v>
      </c>
      <c r="E6" s="29">
        <f>'FC Aide k€ FC'!E7/'FC Prod GWh FC'!E14/20</f>
        <v>3.669643847781991</v>
      </c>
      <c r="F6" s="29">
        <f>'FC Aide k€ FC'!F7/'FC Prod GWh FC'!F14/20</f>
        <v>3.3243281759936529</v>
      </c>
      <c r="G6" s="29">
        <f>'FC Aide k€ FC'!G7/'FC Prod GWh FC'!G14/20</f>
        <v>3.654243425308259</v>
      </c>
      <c r="H6" s="29">
        <f>'FC Aide k€ FC'!H7/'FC Prod GWh FC'!H14/20</f>
        <v>3.7036546743998251</v>
      </c>
      <c r="I6" s="29">
        <f>'FC Aide k€ FC'!I7/'FC Prod GWh FC'!I14/20</f>
        <v>3.6890555294540497</v>
      </c>
      <c r="J6" s="29">
        <f>'FC Aide k€ FC'!J7/'FC Prod GWh FC'!J14/20</f>
        <v>5.1127826811337327</v>
      </c>
      <c r="K6" s="29">
        <f>'FC Aide k€ FC'!K7/'FC Prod GWh FC'!K14/20</f>
        <v>4.9176501580561256</v>
      </c>
      <c r="L6" s="29">
        <f>'FC Aide k€ FC'!L7/'FC Prod GWh FC'!L14/20</f>
        <v>4.9473246290452035</v>
      </c>
      <c r="M6" s="29">
        <f>'FC Aide k€ FC'!M7/'FC Prod GWh FC'!M14/20</f>
        <v>3.7988714436031281</v>
      </c>
      <c r="N6" s="29">
        <f>'FC Aide k€ FC'!N7/'FC Prod GWh FC'!N14/20</f>
        <v>4.4262933804017122</v>
      </c>
      <c r="O6" s="29">
        <f>'FC Aide k€ FC'!O7/'FC Prod GWh FC'!O14/20</f>
        <v>5.2200628567196041</v>
      </c>
      <c r="P6" s="29">
        <f>'FC Aide k€ FC'!P7/'FC Prod GWh FC'!P14/20</f>
        <v>7.0890867296352225</v>
      </c>
      <c r="Q6" s="29">
        <f>'[1]BILAN ENR FC'!$I$34</f>
        <v>10.662617429904401</v>
      </c>
      <c r="R6" s="29">
        <f>'FC Aide k€ FC'!R7/'FC Prod GWh FC'!R14/20</f>
        <v>4.7206973102182488</v>
      </c>
    </row>
    <row r="8" spans="2:18" x14ac:dyDescent="0.25">
      <c r="B8" s="6" t="s">
        <v>168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>
        <f>'FC 2009-2022 Aide k€'!$O$24/'FC 2009-2022 Prod GWh'!$O$16/20</f>
        <v>2.7897061059910055</v>
      </c>
      <c r="P8" s="28">
        <f>'FC 2009-2022 Aide k€'!$P$24/'FC 2009-2022 Prod GWh'!$P$16/20</f>
        <v>3.4341451135181864</v>
      </c>
      <c r="Q8" s="28">
        <f>'FC Aide k€ FC'!$Q$23/'FC Prod GWh FC'!$Q$16/20</f>
        <v>4.2446030500743843</v>
      </c>
      <c r="R8" s="28">
        <f>'FC 2009-2022 Aide k€'!$Q$24/'FC 2009-2022 Prod GWh'!$Q$16/20</f>
        <v>3.1945200318664115</v>
      </c>
    </row>
    <row r="9" spans="2:18" x14ac:dyDescent="0.25">
      <c r="B9" s="9" t="s">
        <v>184</v>
      </c>
      <c r="C9" s="29">
        <f>C5</f>
        <v>3.5110603168352781</v>
      </c>
      <c r="D9" s="29">
        <f t="shared" ref="D9:N9" si="0">D5</f>
        <v>3.3085143848123466</v>
      </c>
      <c r="E9" s="29">
        <f t="shared" si="0"/>
        <v>3.4405329646132992</v>
      </c>
      <c r="F9" s="29">
        <f t="shared" si="0"/>
        <v>3.19984077603507</v>
      </c>
      <c r="G9" s="29">
        <f t="shared" si="0"/>
        <v>3.4559132060993547</v>
      </c>
      <c r="H9" s="29">
        <f t="shared" si="0"/>
        <v>3.0247799134319493</v>
      </c>
      <c r="I9" s="29">
        <f t="shared" si="0"/>
        <v>3.1958126885456606</v>
      </c>
      <c r="J9" s="29">
        <f t="shared" si="0"/>
        <v>4.3805505887018814</v>
      </c>
      <c r="K9" s="29">
        <f t="shared" si="0"/>
        <v>4.5023699281844829</v>
      </c>
      <c r="L9" s="29">
        <f t="shared" si="0"/>
        <v>4.5581509200855574</v>
      </c>
      <c r="M9" s="29">
        <f t="shared" si="0"/>
        <v>3.5713569755926473</v>
      </c>
      <c r="N9" s="29">
        <f t="shared" si="0"/>
        <v>4.0125197531745593</v>
      </c>
      <c r="O9" s="29">
        <f>'FC Aide k€ FC'!O24/'FC Prod GWh FC'!O17/20</f>
        <v>3.9523907044103836</v>
      </c>
      <c r="P9" s="29">
        <f>'FC Aide k€ FC'!P24/'FC Prod GWh FC'!P17/20</f>
        <v>5.1019979143111867</v>
      </c>
      <c r="Q9" s="29">
        <v>7.07</v>
      </c>
      <c r="R9" s="29">
        <f>'FC Aide k€ FC'!R24/'FC Prod GWh FC'!R17/20</f>
        <v>4.1914099938487608</v>
      </c>
    </row>
    <row r="10" spans="2:18" x14ac:dyDescent="0.25">
      <c r="B10" s="9" t="s">
        <v>169</v>
      </c>
      <c r="C10" s="29">
        <f>'FC Aide k€ FC'!C25/'FC Prod GWh FC'!C17/20</f>
        <v>3.7042782848537819</v>
      </c>
      <c r="D10" s="29">
        <f>'FC Aide k€ FC'!D25/'FC Prod GWh FC'!D17/20</f>
        <v>3.3909570541907081</v>
      </c>
      <c r="E10" s="29">
        <f>'FC Aide k€ FC'!E25/'FC Prod GWh FC'!E17/20</f>
        <v>3.669643847781991</v>
      </c>
      <c r="F10" s="29">
        <f>'FC Aide k€ FC'!F25/'FC Prod GWh FC'!F17/20</f>
        <v>3.3243281759936529</v>
      </c>
      <c r="G10" s="29">
        <f>'FC Aide k€ FC'!G25/'FC Prod GWh FC'!G17/20</f>
        <v>3.654243425308259</v>
      </c>
      <c r="H10" s="29">
        <f>'FC Aide k€ FC'!H25/'FC Prod GWh FC'!H17/20</f>
        <v>3.7036546743998251</v>
      </c>
      <c r="I10" s="29">
        <f>'FC Aide k€ FC'!I25/'FC Prod GWh FC'!I17/20</f>
        <v>3.6890555294540497</v>
      </c>
      <c r="J10" s="29">
        <f>'FC Aide k€ FC'!J25/'FC Prod GWh FC'!J17/20</f>
        <v>5.1127826811337327</v>
      </c>
      <c r="K10" s="29">
        <f>'FC Aide k€ FC'!K25/'FC Prod GWh FC'!K17/20</f>
        <v>4.9176501580561256</v>
      </c>
      <c r="L10" s="29">
        <f>'FC Aide k€ FC'!L25/'FC Prod GWh FC'!L17/20</f>
        <v>4.9473246290452035</v>
      </c>
      <c r="M10" s="29">
        <f>'FC Aide k€ FC'!M25/'FC Prod GWh FC'!M17/20</f>
        <v>3.7988714436031281</v>
      </c>
      <c r="N10" s="29">
        <f>'FC Aide k€ FC'!N25/'FC Prod GWh FC'!N17/20</f>
        <v>4.4262933804017122</v>
      </c>
      <c r="O10" s="29">
        <f>'FC Aide k€ FC'!O25/'FC Prod GWh FC'!O17/20</f>
        <v>4.4481348490656902</v>
      </c>
      <c r="P10" s="29">
        <f>'FC Aide k€ FC'!P25/'FC Prod GWh FC'!P17/20</f>
        <v>5.5646974453161944</v>
      </c>
      <c r="Q10" s="29">
        <v>7.71</v>
      </c>
      <c r="R10" s="29">
        <f>'FC Aide k€ FC'!R25/'FC Prod GWh FC'!R17/20</f>
        <v>4.5756741993260466</v>
      </c>
    </row>
    <row r="13" spans="2:18" x14ac:dyDescent="0.25">
      <c r="B13" s="1" t="s">
        <v>41</v>
      </c>
    </row>
    <row r="15" spans="2:18" x14ac:dyDescent="0.25">
      <c r="B15" s="3"/>
      <c r="C15" s="4">
        <v>2009</v>
      </c>
      <c r="D15" s="4">
        <v>2010</v>
      </c>
      <c r="E15" s="4">
        <v>2011</v>
      </c>
      <c r="F15" s="4">
        <v>2012</v>
      </c>
      <c r="G15" s="4">
        <v>2013</v>
      </c>
      <c r="H15" s="4">
        <v>2014</v>
      </c>
      <c r="I15" s="4">
        <v>2015</v>
      </c>
      <c r="J15" s="4">
        <v>2016</v>
      </c>
      <c r="K15" s="4">
        <v>2017</v>
      </c>
      <c r="L15" s="4">
        <v>2018</v>
      </c>
      <c r="M15" s="4">
        <v>2019</v>
      </c>
      <c r="N15" s="4">
        <v>2020</v>
      </c>
      <c r="O15" s="4">
        <v>2021</v>
      </c>
      <c r="P15" s="4">
        <v>2022</v>
      </c>
      <c r="Q15" s="4">
        <v>2023</v>
      </c>
    </row>
    <row r="16" spans="2:18" x14ac:dyDescent="0.25">
      <c r="B16" s="6" t="s">
        <v>42</v>
      </c>
      <c r="C16" s="30">
        <v>3.981083404987102</v>
      </c>
      <c r="D16" s="31">
        <v>3.7317282889079961</v>
      </c>
      <c r="E16" s="30">
        <v>2.2527944969905414</v>
      </c>
      <c r="F16" s="31">
        <v>2.0464316423043853</v>
      </c>
      <c r="G16" s="30">
        <v>2.287188306104901</v>
      </c>
      <c r="H16" s="31">
        <v>2.7411865864144453</v>
      </c>
      <c r="I16" s="30">
        <v>2.4110060189165949</v>
      </c>
      <c r="J16" s="31">
        <v>3.7644024075666378</v>
      </c>
      <c r="K16" s="30">
        <v>3.5511607910576091</v>
      </c>
      <c r="L16" s="31">
        <v>3.5795356835769563</v>
      </c>
      <c r="M16" s="30">
        <v>2.6208082545141873</v>
      </c>
      <c r="N16" s="31">
        <v>5.3138435081685289</v>
      </c>
      <c r="O16" s="30">
        <v>5.26</v>
      </c>
      <c r="P16" s="31">
        <v>8.4991654021338583</v>
      </c>
      <c r="Q16" s="31">
        <f>'[1]BILAN ENR FC F2030 détaillé'!$H$3</f>
        <v>10.968184136695681</v>
      </c>
      <c r="R16" s="2">
        <f>800/20/11.63</f>
        <v>3.4393809114359413</v>
      </c>
    </row>
    <row r="17" spans="2:18" x14ac:dyDescent="0.25">
      <c r="B17" s="6" t="s">
        <v>8</v>
      </c>
      <c r="C17" s="30">
        <v>1.8311340504280953</v>
      </c>
      <c r="D17" s="31">
        <v>1.7310294947836564</v>
      </c>
      <c r="E17" s="30">
        <v>1.5192273651849009</v>
      </c>
      <c r="F17" s="31">
        <v>1.6722206543208074</v>
      </c>
      <c r="G17" s="30">
        <v>1.5927656415955866</v>
      </c>
      <c r="H17" s="31">
        <v>1.5314676955940274</v>
      </c>
      <c r="I17" s="30">
        <v>2.6475899326311367</v>
      </c>
      <c r="J17" s="31">
        <v>2.5758525909392316</v>
      </c>
      <c r="K17" s="30">
        <v>3.2129661337784214</v>
      </c>
      <c r="L17" s="31">
        <v>3.1872971428139776</v>
      </c>
      <c r="M17" s="30">
        <v>2.0199379249358858</v>
      </c>
      <c r="N17" s="31">
        <v>2.2200570672976547</v>
      </c>
      <c r="O17" s="30">
        <v>2.5133708232299781</v>
      </c>
      <c r="P17" s="31">
        <v>3.8532021411514199</v>
      </c>
      <c r="Q17" s="31">
        <v>5.29</v>
      </c>
    </row>
    <row r="18" spans="2:18" x14ac:dyDescent="0.25">
      <c r="B18" s="6" t="s">
        <v>9</v>
      </c>
      <c r="C18" s="30">
        <v>5.3552423500832784</v>
      </c>
      <c r="D18" s="31">
        <v>6.9816122067988173</v>
      </c>
      <c r="E18" s="30">
        <v>3.6875332669804308</v>
      </c>
      <c r="F18" s="31">
        <v>4.5028839150196429</v>
      </c>
      <c r="G18" s="30">
        <v>1.9678009408767452</v>
      </c>
      <c r="H18" s="31">
        <v>2.9108480466507092</v>
      </c>
      <c r="I18" s="30">
        <v>2.3906700122609807</v>
      </c>
      <c r="J18" s="31">
        <v>7.5795356835769558</v>
      </c>
      <c r="K18" s="30">
        <v>7.3000859845227861</v>
      </c>
      <c r="L18" s="31">
        <v>4</v>
      </c>
      <c r="M18" s="30">
        <v>5.6835769561478928</v>
      </c>
      <c r="N18" s="31">
        <v>5.0060189165950124</v>
      </c>
      <c r="O18" s="30">
        <v>3.71</v>
      </c>
      <c r="P18" s="31">
        <v>7.371315378729018</v>
      </c>
      <c r="Q18" s="31">
        <f>('[1]BILAN ENR FC'!$F$9+'[1]BILAN ENR FC'!$F$11)/('[1]BILAN ENR FC'!$C$9+'[1]BILAN ENR FC'!$C$11+'[1]BILAN ENR FC'!$C$12+'[1]BILAN ENR FC'!$C$13+'[1]BILAN ENR FC'!$C$14+'[1]BILAN ENR FC'!$C$15+'[1]BILAN ENR FC'!$C$16)/20</f>
        <v>9.1030900235055476</v>
      </c>
    </row>
    <row r="19" spans="2:18" x14ac:dyDescent="0.25">
      <c r="B19" s="6" t="s">
        <v>10</v>
      </c>
      <c r="C19" s="30">
        <v>2.1840068787618225</v>
      </c>
      <c r="D19" s="31">
        <v>1.4445399828030954</v>
      </c>
      <c r="E19" s="30">
        <v>0.81685296646603611</v>
      </c>
      <c r="F19" s="31"/>
      <c r="G19" s="30">
        <v>0.83404987102321571</v>
      </c>
      <c r="H19" s="31">
        <v>0.87704213241616502</v>
      </c>
      <c r="I19" s="30">
        <v>3.1427343078245911</v>
      </c>
      <c r="J19" s="31">
        <v>2.6758383490971624</v>
      </c>
      <c r="K19" s="30">
        <v>3.2674118658641444</v>
      </c>
      <c r="L19" s="31">
        <v>1.7901977644024074</v>
      </c>
      <c r="M19" s="30">
        <v>2.4548581255374033</v>
      </c>
      <c r="N19" s="31">
        <v>2.3301805674978504</v>
      </c>
      <c r="O19" s="30">
        <v>1.54</v>
      </c>
      <c r="P19" s="31">
        <v>3.0344026243229165</v>
      </c>
      <c r="Q19" s="31">
        <f>Q29</f>
        <v>1.5434408598282789</v>
      </c>
    </row>
    <row r="20" spans="2:18" x14ac:dyDescent="0.25">
      <c r="B20" s="6" t="s">
        <v>11</v>
      </c>
      <c r="C20" s="30">
        <v>51.83614998776909</v>
      </c>
      <c r="D20" s="31">
        <v>50.44721895281004</v>
      </c>
      <c r="E20" s="30">
        <v>44.080570522431586</v>
      </c>
      <c r="F20" s="31">
        <v>45.200794998807424</v>
      </c>
      <c r="G20" s="30">
        <v>44.552659907139812</v>
      </c>
      <c r="H20" s="31">
        <v>45.888773918999661</v>
      </c>
      <c r="I20" s="30">
        <v>50.673875820507924</v>
      </c>
      <c r="J20" s="31">
        <v>47.29148753224419</v>
      </c>
      <c r="K20" s="30">
        <v>33.135593220338976</v>
      </c>
      <c r="L20" s="31">
        <v>23.823657411437026</v>
      </c>
      <c r="M20" s="30">
        <v>24.215002103813639</v>
      </c>
      <c r="N20" s="31">
        <v>29.148753224419604</v>
      </c>
      <c r="O20" s="30">
        <v>23</v>
      </c>
      <c r="P20" s="31">
        <v>26.254536637582248</v>
      </c>
      <c r="Q20" s="31">
        <f>Q30</f>
        <v>22.919786458876189</v>
      </c>
    </row>
    <row r="21" spans="2:18" x14ac:dyDescent="0.25">
      <c r="B21" s="6" t="s">
        <v>13</v>
      </c>
      <c r="C21" s="30"/>
      <c r="D21" s="31"/>
      <c r="E21" s="30"/>
      <c r="F21" s="31"/>
      <c r="G21" s="30"/>
      <c r="H21" s="31"/>
      <c r="I21" s="30">
        <v>1.4015477214101462</v>
      </c>
      <c r="J21" s="31">
        <v>0.51074806534823736</v>
      </c>
      <c r="K21" s="30">
        <v>0.65348237317282887</v>
      </c>
      <c r="L21" s="31">
        <v>0.69372312983662932</v>
      </c>
      <c r="M21" s="30">
        <v>1.1255374032674117</v>
      </c>
      <c r="N21" s="31">
        <v>1.1797076526225279</v>
      </c>
      <c r="O21" s="30">
        <v>2.4500000000000002</v>
      </c>
      <c r="P21" s="31">
        <v>4.0579169813060219</v>
      </c>
      <c r="Q21" s="31">
        <f>Q31</f>
        <v>3.9553070941802515</v>
      </c>
    </row>
    <row r="22" spans="2:18" x14ac:dyDescent="0.25">
      <c r="B22" s="6" t="s">
        <v>30</v>
      </c>
      <c r="C22" s="7">
        <v>604</v>
      </c>
      <c r="D22" s="8">
        <v>426</v>
      </c>
      <c r="E22" s="7">
        <v>357</v>
      </c>
      <c r="F22" s="8">
        <v>254</v>
      </c>
      <c r="G22" s="7">
        <v>276</v>
      </c>
      <c r="H22" s="8">
        <v>250</v>
      </c>
      <c r="I22" s="7">
        <v>278</v>
      </c>
      <c r="J22" s="8">
        <v>403.78</v>
      </c>
      <c r="K22" s="7">
        <v>379</v>
      </c>
      <c r="L22" s="8">
        <v>313.24</v>
      </c>
      <c r="M22" s="7">
        <v>326</v>
      </c>
      <c r="N22" s="8">
        <v>342</v>
      </c>
      <c r="O22" s="7">
        <v>522</v>
      </c>
      <c r="P22" s="8">
        <v>580.40793128214568</v>
      </c>
      <c r="Q22" s="8">
        <f>Q32</f>
        <v>586.38338148890375</v>
      </c>
    </row>
    <row r="24" spans="2:18" x14ac:dyDescent="0.25">
      <c r="B24" s="54"/>
      <c r="C24" s="98">
        <v>2009</v>
      </c>
      <c r="D24" s="98">
        <v>2010</v>
      </c>
      <c r="E24" s="98">
        <v>2011</v>
      </c>
      <c r="F24" s="98">
        <v>2012</v>
      </c>
      <c r="G24" s="98">
        <v>2013</v>
      </c>
      <c r="H24" s="98">
        <v>2014</v>
      </c>
      <c r="I24" s="98">
        <v>2015</v>
      </c>
      <c r="J24" s="98">
        <v>2016</v>
      </c>
      <c r="K24" s="98">
        <v>2017</v>
      </c>
      <c r="L24" s="98">
        <v>2018</v>
      </c>
      <c r="M24" s="98">
        <v>2019</v>
      </c>
      <c r="N24" s="98">
        <v>2020</v>
      </c>
      <c r="O24" s="98">
        <v>2021</v>
      </c>
      <c r="P24" s="98">
        <v>2022</v>
      </c>
      <c r="Q24" s="98">
        <v>2023</v>
      </c>
    </row>
    <row r="25" spans="2:18" x14ac:dyDescent="0.25">
      <c r="B25" s="54" t="s">
        <v>42</v>
      </c>
      <c r="C25" s="100">
        <v>3.981083404987102</v>
      </c>
      <c r="D25" s="100">
        <v>3.7317282889079961</v>
      </c>
      <c r="E25" s="100">
        <v>2.2527944969905414</v>
      </c>
      <c r="F25" s="100">
        <v>2.0464316423043853</v>
      </c>
      <c r="G25" s="100">
        <v>2.287188306104901</v>
      </c>
      <c r="H25" s="100">
        <v>2.7411865864144453</v>
      </c>
      <c r="I25" s="100">
        <v>2.4110060189165949</v>
      </c>
      <c r="J25" s="100">
        <v>3.7644024075666378</v>
      </c>
      <c r="K25" s="100">
        <v>3.5511607910576091</v>
      </c>
      <c r="L25" s="100">
        <v>3.5795356835769563</v>
      </c>
      <c r="M25" s="100">
        <v>2.6208082545141873</v>
      </c>
      <c r="N25" s="100">
        <v>5.3138435081685289</v>
      </c>
      <c r="O25" s="100">
        <v>5.26</v>
      </c>
      <c r="P25" s="100">
        <v>8.4991654021338583</v>
      </c>
      <c r="Q25" s="100">
        <f>'[1]BILAN ENR FC F2030 détaillé'!$H$3</f>
        <v>10.968184136695681</v>
      </c>
      <c r="R25" s="113">
        <f>AVERAGE(C25:Q25)</f>
        <v>4.2005679285559614</v>
      </c>
    </row>
    <row r="26" spans="2:18" x14ac:dyDescent="0.25">
      <c r="B26" s="54" t="s">
        <v>8</v>
      </c>
      <c r="C26" s="100">
        <v>1.8311340504280953</v>
      </c>
      <c r="D26" s="100">
        <v>1.7310294947836564</v>
      </c>
      <c r="E26" s="100">
        <v>1.5192273651849009</v>
      </c>
      <c r="F26" s="100">
        <v>1.6722206543208074</v>
      </c>
      <c r="G26" s="100">
        <v>1.5927656415955866</v>
      </c>
      <c r="H26" s="100">
        <v>1.5314676955940274</v>
      </c>
      <c r="I26" s="100">
        <v>2.6475899326311367</v>
      </c>
      <c r="J26" s="100">
        <v>2.5758525909392316</v>
      </c>
      <c r="K26" s="100">
        <v>3.2129661337784214</v>
      </c>
      <c r="L26" s="100">
        <v>3.1872971428139776</v>
      </c>
      <c r="M26" s="100">
        <v>2.0199379249358858</v>
      </c>
      <c r="N26" s="100">
        <v>2.2200570672976547</v>
      </c>
      <c r="O26" s="100">
        <v>2.5133708232299781</v>
      </c>
      <c r="P26" s="100">
        <v>3.8532021411514199</v>
      </c>
      <c r="Q26" s="100">
        <f>'[1]BILAN ENR FC F2030 détaillé'!$H$4</f>
        <v>5.2854286894560385</v>
      </c>
      <c r="R26" s="113">
        <f t="shared" ref="R26" si="1">AVERAGE(C26:Q26)</f>
        <v>2.4929031565427215</v>
      </c>
    </row>
    <row r="27" spans="2:18" x14ac:dyDescent="0.25">
      <c r="B27" s="110" t="s">
        <v>193</v>
      </c>
      <c r="C27" s="111">
        <f t="shared" ref="C27:P27" si="2">C115</f>
        <v>18.57469809736919</v>
      </c>
      <c r="D27" s="111">
        <f t="shared" si="2"/>
        <v>13.560961633457577</v>
      </c>
      <c r="E27" s="111">
        <f t="shared" si="2"/>
        <v>11.072579168801377</v>
      </c>
      <c r="F27" s="111">
        <f t="shared" si="2"/>
        <v>9.859940882056808</v>
      </c>
      <c r="G27" s="111">
        <f t="shared" si="2"/>
        <v>8.7886835236914056</v>
      </c>
      <c r="H27" s="111">
        <f t="shared" si="2"/>
        <v>19.949960303650421</v>
      </c>
      <c r="I27" s="111">
        <f t="shared" si="2"/>
        <v>21.895976419717684</v>
      </c>
      <c r="J27" s="111">
        <f t="shared" si="2"/>
        <v>10.825703743529328</v>
      </c>
      <c r="K27" s="111">
        <f t="shared" si="2"/>
        <v>14.875710926250141</v>
      </c>
      <c r="L27" s="111">
        <f t="shared" si="2"/>
        <v>6.967662166644887</v>
      </c>
      <c r="M27" s="111">
        <f t="shared" si="2"/>
        <v>10.985888125136626</v>
      </c>
      <c r="N27" s="111">
        <f t="shared" si="2"/>
        <v>15.475484309668833</v>
      </c>
      <c r="O27" s="111">
        <f t="shared" si="2"/>
        <v>12.281729131175469</v>
      </c>
      <c r="P27" s="111">
        <f t="shared" si="2"/>
        <v>31.894835219568886</v>
      </c>
      <c r="Q27" s="111">
        <f>'[1]BILAN ENR FC'!$J$11</f>
        <v>18.028260313456336</v>
      </c>
      <c r="R27" s="113">
        <f>AVERAGE(C27:Q27)</f>
        <v>15.002538264278332</v>
      </c>
    </row>
    <row r="28" spans="2:18" x14ac:dyDescent="0.25">
      <c r="B28" s="110" t="s">
        <v>113</v>
      </c>
      <c r="C28" s="111">
        <f t="shared" ref="C28:P28" si="3">C111</f>
        <v>3.9158379601526319</v>
      </c>
      <c r="D28" s="111">
        <f t="shared" si="3"/>
        <v>5.1219175610118572</v>
      </c>
      <c r="E28" s="111">
        <f t="shared" si="3"/>
        <v>2.3795849161373797</v>
      </c>
      <c r="F28" s="111">
        <f t="shared" si="3"/>
        <v>3.4217724840821795</v>
      </c>
      <c r="G28" s="111">
        <f t="shared" si="3"/>
        <v>1.2385630195310529</v>
      </c>
      <c r="H28" s="111">
        <f t="shared" si="3"/>
        <v>2.0137218606208176</v>
      </c>
      <c r="I28" s="111">
        <f t="shared" si="3"/>
        <v>1.7091009797767291</v>
      </c>
      <c r="J28" s="111">
        <f t="shared" si="3"/>
        <v>6.3702278860927342</v>
      </c>
      <c r="K28" s="111">
        <f t="shared" si="3"/>
        <v>4.6885942261286955</v>
      </c>
      <c r="L28" s="111">
        <f t="shared" si="3"/>
        <v>2.3757665759150788</v>
      </c>
      <c r="M28" s="111">
        <f t="shared" si="3"/>
        <v>4.6733798687312698</v>
      </c>
      <c r="N28" s="111">
        <f t="shared" si="3"/>
        <v>1.8999132890907373</v>
      </c>
      <c r="O28" s="111">
        <f t="shared" si="3"/>
        <v>1.7960984046140056</v>
      </c>
      <c r="P28" s="111">
        <f t="shared" si="3"/>
        <v>2.864771920142668</v>
      </c>
      <c r="Q28" s="111">
        <f>'[1]BILAN ENR FC'!$J$9</f>
        <v>3.9691427346972565</v>
      </c>
      <c r="R28" s="113">
        <f t="shared" ref="R28:R32" si="4">AVERAGE(C28:Q28)</f>
        <v>3.2292262457816729</v>
      </c>
    </row>
    <row r="29" spans="2:18" x14ac:dyDescent="0.25">
      <c r="B29" s="54" t="s">
        <v>10</v>
      </c>
      <c r="C29" s="100">
        <v>2.1840068787618225</v>
      </c>
      <c r="D29" s="100">
        <v>1.4445399828030954</v>
      </c>
      <c r="E29" s="100">
        <v>0.81685296646603611</v>
      </c>
      <c r="F29" s="100"/>
      <c r="G29" s="100">
        <v>0.83404987102321571</v>
      </c>
      <c r="H29" s="100">
        <v>0.87704213241616502</v>
      </c>
      <c r="I29" s="100">
        <v>3.1427343078245911</v>
      </c>
      <c r="J29" s="100">
        <v>2.6758383490971624</v>
      </c>
      <c r="K29" s="100">
        <v>3.2674118658641444</v>
      </c>
      <c r="L29" s="100">
        <v>1.7901977644024074</v>
      </c>
      <c r="M29" s="100">
        <v>2.4548581255374033</v>
      </c>
      <c r="N29" s="100">
        <v>2.3301805674978504</v>
      </c>
      <c r="O29" s="100">
        <v>1.54</v>
      </c>
      <c r="P29" s="100">
        <v>3.0344026243229165</v>
      </c>
      <c r="Q29" s="100">
        <f>'[1]BILAN ENR FC'!$J$27</f>
        <v>1.5434408598282789</v>
      </c>
      <c r="R29" s="113">
        <f t="shared" si="4"/>
        <v>1.9953968782746492</v>
      </c>
    </row>
    <row r="30" spans="2:18" x14ac:dyDescent="0.25">
      <c r="B30" s="54" t="s">
        <v>11</v>
      </c>
      <c r="C30" s="100">
        <v>51.83614998776909</v>
      </c>
      <c r="D30" s="100">
        <v>50.44721895281004</v>
      </c>
      <c r="E30" s="100">
        <v>44.080570522431586</v>
      </c>
      <c r="F30" s="100">
        <v>45.200794998807424</v>
      </c>
      <c r="G30" s="100">
        <v>44.552659907139812</v>
      </c>
      <c r="H30" s="100">
        <v>45.888773918999661</v>
      </c>
      <c r="I30" s="100">
        <v>50.673875820507924</v>
      </c>
      <c r="J30" s="100">
        <v>47.29148753224419</v>
      </c>
      <c r="K30" s="100">
        <v>33.135593220338976</v>
      </c>
      <c r="L30" s="100">
        <v>23.823657411437026</v>
      </c>
      <c r="M30" s="100">
        <v>24.215002103813639</v>
      </c>
      <c r="N30" s="100">
        <v>29.148753224419604</v>
      </c>
      <c r="O30" s="100">
        <v>23</v>
      </c>
      <c r="P30" s="100">
        <v>26.254536637582248</v>
      </c>
      <c r="Q30" s="100">
        <f>'[1]BILAN ENR FC'!$J$17</f>
        <v>22.919786458876189</v>
      </c>
      <c r="R30" s="113">
        <f t="shared" si="4"/>
        <v>37.497924046478495</v>
      </c>
    </row>
    <row r="31" spans="2:18" x14ac:dyDescent="0.25">
      <c r="B31" s="54" t="s">
        <v>13</v>
      </c>
      <c r="C31" s="100"/>
      <c r="D31" s="100"/>
      <c r="E31" s="100"/>
      <c r="F31" s="100"/>
      <c r="G31" s="100"/>
      <c r="H31" s="100"/>
      <c r="I31" s="100">
        <v>1.4015477214101462</v>
      </c>
      <c r="J31" s="100">
        <v>0.51074806534823736</v>
      </c>
      <c r="K31" s="100">
        <v>0.65348237317282887</v>
      </c>
      <c r="L31" s="100">
        <v>0.69372312983662932</v>
      </c>
      <c r="M31" s="100">
        <v>1.1255374032674117</v>
      </c>
      <c r="N31" s="100">
        <v>1.1797076526225279</v>
      </c>
      <c r="O31" s="100">
        <v>2.4500000000000002</v>
      </c>
      <c r="P31" s="100">
        <v>4.0579169813060219</v>
      </c>
      <c r="Q31" s="100">
        <f>'[1]BILAN ENR FC'!$J$21</f>
        <v>3.9553070941802515</v>
      </c>
      <c r="R31" s="113">
        <f t="shared" si="4"/>
        <v>1.7808856023493393</v>
      </c>
    </row>
    <row r="32" spans="2:18" x14ac:dyDescent="0.25">
      <c r="B32" s="54" t="s">
        <v>30</v>
      </c>
      <c r="C32" s="54">
        <v>604</v>
      </c>
      <c r="D32" s="54">
        <v>426</v>
      </c>
      <c r="E32" s="54">
        <v>357</v>
      </c>
      <c r="F32" s="54">
        <v>254</v>
      </c>
      <c r="G32" s="54">
        <v>276</v>
      </c>
      <c r="H32" s="54">
        <v>250</v>
      </c>
      <c r="I32" s="54">
        <v>278</v>
      </c>
      <c r="J32" s="54">
        <v>403.78</v>
      </c>
      <c r="K32" s="54">
        <v>379</v>
      </c>
      <c r="L32" s="54">
        <v>313.24</v>
      </c>
      <c r="M32" s="54">
        <v>326</v>
      </c>
      <c r="N32" s="54">
        <v>342</v>
      </c>
      <c r="O32" s="54">
        <v>522</v>
      </c>
      <c r="P32" s="54">
        <v>580.40793128214568</v>
      </c>
      <c r="Q32" s="54">
        <f>'[1]BILAN ENR FC F2030 détaillé'!$AD$32</f>
        <v>586.38338148890375</v>
      </c>
      <c r="R32" s="113">
        <f t="shared" si="4"/>
        <v>393.18742085140332</v>
      </c>
    </row>
    <row r="36" spans="2:18" x14ac:dyDescent="0.25">
      <c r="B36" s="64" t="s">
        <v>99</v>
      </c>
    </row>
    <row r="37" spans="2:18" x14ac:dyDescent="0.25">
      <c r="C37" s="4">
        <v>2009</v>
      </c>
      <c r="D37" s="4">
        <v>2010</v>
      </c>
      <c r="E37" s="4">
        <v>2011</v>
      </c>
      <c r="F37" s="4">
        <v>2012</v>
      </c>
      <c r="G37" s="4">
        <v>2013</v>
      </c>
      <c r="H37" s="4">
        <v>2014</v>
      </c>
      <c r="I37" s="4">
        <v>2015</v>
      </c>
      <c r="J37" s="4">
        <v>2016</v>
      </c>
      <c r="K37" s="4">
        <v>2017</v>
      </c>
      <c r="L37" s="4">
        <v>2018</v>
      </c>
      <c r="M37" s="4">
        <v>2019</v>
      </c>
      <c r="N37" s="4">
        <v>2020</v>
      </c>
      <c r="O37" s="4">
        <v>2021</v>
      </c>
      <c r="P37" s="4">
        <v>2022</v>
      </c>
      <c r="Q37" s="4">
        <v>2023</v>
      </c>
      <c r="R37" s="5" t="s">
        <v>1</v>
      </c>
    </row>
    <row r="38" spans="2:18" x14ac:dyDescent="0.25">
      <c r="B38" s="9" t="s">
        <v>37</v>
      </c>
      <c r="C38" s="58">
        <f>'FC Aide k€ FC'!C69/'FC Prod GWh FC'!C38/20</f>
        <v>3.7042782848537819</v>
      </c>
      <c r="D38" s="58">
        <f>'FC Aide k€ FC'!D69/'FC Prod GWh FC'!D38/20</f>
        <v>3.3909570541907081</v>
      </c>
      <c r="E38" s="58">
        <f>'FC Aide k€ FC'!E69/'FC Prod GWh FC'!E38/20</f>
        <v>3.669643847781991</v>
      </c>
      <c r="F38" s="58">
        <f>'FC Aide k€ FC'!F69/'FC Prod GWh FC'!F38/20</f>
        <v>3.3243281759936529</v>
      </c>
      <c r="G38" s="58">
        <f>'FC Aide k€ FC'!G69/'FC Prod GWh FC'!G38/20</f>
        <v>3.654243425308259</v>
      </c>
      <c r="H38" s="58">
        <f>'FC Aide k€ FC'!H69/'FC Prod GWh FC'!H38/20</f>
        <v>3.7036546743998251</v>
      </c>
      <c r="I38" s="58">
        <f>'FC Aide k€ FC'!I69/'FC Prod GWh FC'!I38/20</f>
        <v>3.6890555294540497</v>
      </c>
      <c r="J38" s="58">
        <f>'FC Aide k€ FC'!J69/'FC Prod GWh FC'!J38/20</f>
        <v>5.1127826811337327</v>
      </c>
      <c r="K38" s="58">
        <f>'FC Aide k€ FC'!K69/'FC Prod GWh FC'!K38/20</f>
        <v>4.9176501580561256</v>
      </c>
      <c r="L38" s="58">
        <f>'FC Aide k€ FC'!L69/'FC Prod GWh FC'!L38/20</f>
        <v>4.9473246290452035</v>
      </c>
      <c r="M38" s="58">
        <f>'FC Aide k€ FC'!M69/'FC Prod GWh FC'!M38/20</f>
        <v>3.7988714436031281</v>
      </c>
      <c r="N38" s="58">
        <f>'FC Aide k€ FC'!N69/'FC Prod GWh FC'!N38/20</f>
        <v>4.4262933804017122</v>
      </c>
      <c r="O38" s="58">
        <f>'FC Aide k€ FC'!O69/'FC Prod GWh FC'!O38/20</f>
        <v>5.2200628567196041</v>
      </c>
      <c r="P38" s="58">
        <f>'FC Aide k€ FC'!P69/'FC Prod GWh FC'!P38/20</f>
        <v>7.0890867296352225</v>
      </c>
      <c r="Q38" s="58">
        <f>'FC Aide k€ FC'!Q69/'FC Prod GWh FC'!Q38/20</f>
        <v>10.662617429904401</v>
      </c>
      <c r="R38" s="58">
        <f>'FC Aide k€ FC'!R69/'FC Prod GWh FC'!R38/20</f>
        <v>4.7206973102182497</v>
      </c>
    </row>
    <row r="39" spans="2:18" x14ac:dyDescent="0.25">
      <c r="B39" s="9" t="s">
        <v>62</v>
      </c>
      <c r="C39" s="58">
        <f>'FC Aide k€ FC'!C70/'FC Prod GWh FC'!C39/20</f>
        <v>3.723158477331546</v>
      </c>
      <c r="D39" s="58">
        <f>'FC Aide k€ FC'!D70/'FC Prod GWh FC'!D39/20</f>
        <v>3.4160313826605355</v>
      </c>
      <c r="E39" s="58">
        <f>'FC Aide k€ FC'!E70/'FC Prod GWh FC'!E39/20</f>
        <v>3.7549612735491045</v>
      </c>
      <c r="F39" s="58">
        <f>'FC Aide k€ FC'!F70/'FC Prod GWh FC'!F39/20</f>
        <v>3.4914579510560699</v>
      </c>
      <c r="G39" s="58">
        <f>'FC Aide k€ FC'!G70/'FC Prod GWh FC'!G39/20</f>
        <v>3.7823029394193375</v>
      </c>
      <c r="H39" s="58">
        <f>'FC Aide k€ FC'!H70/'FC Prod GWh FC'!H39/20</f>
        <v>4.0587854674206145</v>
      </c>
      <c r="I39" s="58">
        <f>'FC Aide k€ FC'!I70/'FC Prod GWh FC'!I39/20</f>
        <v>3.8331621267141913</v>
      </c>
      <c r="J39" s="58">
        <f>'FC Aide k€ FC'!J70/'FC Prod GWh FC'!J39/20</f>
        <v>5.6439092778600539</v>
      </c>
      <c r="K39" s="58">
        <f>'FC Aide k€ FC'!K70/'FC Prod GWh FC'!K39/20</f>
        <v>5.224099512766867</v>
      </c>
      <c r="L39" s="58">
        <f>'FC Aide k€ FC'!L70/'FC Prod GWh FC'!L39/20</f>
        <v>5.9453339379856027</v>
      </c>
      <c r="M39" s="58">
        <f>'FC Aide k€ FC'!M70/'FC Prod GWh FC'!M39/20</f>
        <v>4.3459618082748985</v>
      </c>
      <c r="N39" s="58">
        <f>'FC Aide k€ FC'!N70/'FC Prod GWh FC'!N39/20</f>
        <v>5.2611134461890057</v>
      </c>
      <c r="O39" s="58">
        <f>'FC Aide k€ FC'!O70/'FC Prod GWh FC'!O39/20</f>
        <v>7.7141172693507993</v>
      </c>
      <c r="P39" s="58">
        <f>'FC Aide k€ FC'!P70/'FC Prod GWh FC'!P39/20</f>
        <v>7.7424374995932554</v>
      </c>
      <c r="Q39" s="58">
        <f>'FC Aide k€ FC'!Q70/'FC Prod GWh FC'!Q39/20</f>
        <v>11.660917262071168</v>
      </c>
      <c r="R39" s="58">
        <f>'FC Aide k€ FC'!R70/'FC Prod GWh FC'!R39/20</f>
        <v>5.1855046450047739</v>
      </c>
    </row>
    <row r="40" spans="2:18" x14ac:dyDescent="0.25">
      <c r="B40" s="9" t="s">
        <v>79</v>
      </c>
      <c r="C40" s="58">
        <f>'FC Aide k€ FC'!C71/'FC Prod GWh FC'!C40/20</f>
        <v>3.7042782848537819</v>
      </c>
      <c r="D40" s="58">
        <f>'FC Aide k€ FC'!D71/'FC Prod GWh FC'!D40/20</f>
        <v>3.3909570541907081</v>
      </c>
      <c r="E40" s="58">
        <f>'FC Aide k€ FC'!E71/'FC Prod GWh FC'!E40/20</f>
        <v>3.669643847781991</v>
      </c>
      <c r="F40" s="58">
        <f>'FC Aide k€ FC'!F71/'FC Prod GWh FC'!F40/20</f>
        <v>3.3243281759936529</v>
      </c>
      <c r="G40" s="58">
        <f>'FC Aide k€ FC'!G71/'FC Prod GWh FC'!G40/20</f>
        <v>3.654243425308259</v>
      </c>
      <c r="H40" s="58">
        <f>'FC Aide k€ FC'!H71/'FC Prod GWh FC'!H40/20</f>
        <v>3.7036546743998251</v>
      </c>
      <c r="I40" s="58">
        <f>'FC Aide k€ FC'!I71/'FC Prod GWh FC'!I40/20</f>
        <v>3.6890555294540497</v>
      </c>
      <c r="J40" s="58">
        <f>'FC Aide k€ FC'!J71/'FC Prod GWh FC'!J40/20</f>
        <v>5.1127826811337327</v>
      </c>
      <c r="K40" s="58">
        <f>'FC Aide k€ FC'!K71/'FC Prod GWh FC'!K40/20</f>
        <v>4.8827751092636706</v>
      </c>
      <c r="L40" s="58">
        <f>'FC Aide k€ FC'!L71/'FC Prod GWh FC'!L40/20</f>
        <v>4.8666622909298694</v>
      </c>
      <c r="M40" s="58">
        <f>'FC Aide k€ FC'!M71/'FC Prod GWh FC'!M40/20</f>
        <v>3.7831621376608005</v>
      </c>
      <c r="N40" s="58">
        <f>'FC Aide k€ FC'!N71/'FC Prod GWh FC'!N40/20</f>
        <v>4.299196192461018</v>
      </c>
      <c r="O40" s="58">
        <f>'FC Aide k€ FC'!O71/'FC Prod GWh FC'!O40/20</f>
        <v>5.0687016479590516</v>
      </c>
      <c r="P40" s="58">
        <f>'FC Aide k€ FC'!P71/'FC Prod GWh FC'!P40/20</f>
        <v>6.8016441190347221</v>
      </c>
      <c r="Q40" s="58">
        <f>'FC Aide k€ FC'!Q71/'FC Prod GWh FC'!Q40/20</f>
        <v>9.5369171511654507</v>
      </c>
      <c r="R40" s="58">
        <f>'FC Aide k€ FC'!R71/'FC Prod GWh FC'!R40/20</f>
        <v>4.0258089747848338</v>
      </c>
    </row>
    <row r="41" spans="2:18" x14ac:dyDescent="0.25">
      <c r="B41" s="9" t="s">
        <v>81</v>
      </c>
      <c r="C41" s="58">
        <f>'FC Aide k€ FC'!C72/'FC Prod GWh FC'!C41/20</f>
        <v>9.4273755151474621</v>
      </c>
      <c r="D41" s="58">
        <f>'FC Aide k€ FC'!D72/'FC Prod GWh FC'!D41/20</f>
        <v>6.8662819336742569</v>
      </c>
      <c r="E41" s="58">
        <f>'FC Aide k€ FC'!E72/'FC Prod GWh FC'!E41/20</f>
        <v>4.9445300052840633</v>
      </c>
      <c r="F41" s="58">
        <f>'FC Aide k€ FC'!F72/'FC Prod GWh FC'!F41/20</f>
        <v>4.2061358420056347</v>
      </c>
      <c r="G41" s="58">
        <f>'FC Aide k€ FC'!G72/'FC Prod GWh FC'!G41/20</f>
        <v>4.5458720676980811</v>
      </c>
      <c r="H41" s="58">
        <f>'FC Aide k€ FC'!H72/'FC Prod GWh FC'!H41/20</f>
        <v>5.0243477104977945</v>
      </c>
      <c r="I41" s="58">
        <f>'FC Aide k€ FC'!I72/'FC Prod GWh FC'!I41/20</f>
        <v>4.1473991345463919</v>
      </c>
      <c r="J41" s="58">
        <f>'FC Aide k€ FC'!J72/'FC Prod GWh FC'!J41/20</f>
        <v>6.1523676930633959</v>
      </c>
      <c r="K41" s="58">
        <f>'FC Aide k€ FC'!K72/'FC Prod GWh FC'!K41/20</f>
        <v>5.023043564093836</v>
      </c>
      <c r="L41" s="58">
        <f>'FC Aide k€ FC'!L72/'FC Prod GWh FC'!L41/20</f>
        <v>5.2621078694959413</v>
      </c>
      <c r="M41" s="58">
        <f>'FC Aide k€ FC'!M72/'FC Prod GWh FC'!M41/20</f>
        <v>4.3063041503187494</v>
      </c>
      <c r="N41" s="58">
        <f>'FC Aide k€ FC'!N72/'FC Prod GWh FC'!N41/20</f>
        <v>5.3318933410653475</v>
      </c>
      <c r="O41" s="58">
        <f>'FC Aide k€ FC'!O72/'FC Prod GWh FC'!O41/20</f>
        <v>6.0895835015697672</v>
      </c>
      <c r="P41" s="58">
        <f>'FC Aide k€ FC'!P72/'FC Prod GWh FC'!P41/20</f>
        <v>8.6143274056035111</v>
      </c>
      <c r="Q41" s="58">
        <f>'FC Aide k€ FC'!Q72/'FC Prod GWh FC'!Q41/20</f>
        <v>11.436891751998099</v>
      </c>
      <c r="R41" s="58">
        <f>'FC Aide k€ FC'!R72/'FC Prod GWh FC'!R41/20</f>
        <v>5.031559488775474</v>
      </c>
    </row>
    <row r="42" spans="2:18" x14ac:dyDescent="0.25">
      <c r="B42" s="9" t="s">
        <v>77</v>
      </c>
      <c r="C42" s="58">
        <f>'FC Aide k€ FC'!C73/'FC Prod GWh FC'!C42/20</f>
        <v>3.723158477331546</v>
      </c>
      <c r="D42" s="58">
        <f>'FC Aide k€ FC'!D73/'FC Prod GWh FC'!D42/20</f>
        <v>3.4160313826605355</v>
      </c>
      <c r="E42" s="58">
        <f>'FC Aide k€ FC'!E73/'FC Prod GWh FC'!E42/20</f>
        <v>3.7549612735491045</v>
      </c>
      <c r="F42" s="58">
        <f>'FC Aide k€ FC'!F73/'FC Prod GWh FC'!F42/20</f>
        <v>3.4914579510560699</v>
      </c>
      <c r="G42" s="58">
        <f>'FC Aide k€ FC'!G73/'FC Prod GWh FC'!G42/20</f>
        <v>3.7823029394193375</v>
      </c>
      <c r="H42" s="58">
        <f>'FC Aide k€ FC'!H73/'FC Prod GWh FC'!H42/20</f>
        <v>4.0587854674206145</v>
      </c>
      <c r="I42" s="58">
        <f>'FC Aide k€ FC'!I73/'FC Prod GWh FC'!I42/20</f>
        <v>3.8331621267141913</v>
      </c>
      <c r="J42" s="58">
        <f>'FC Aide k€ FC'!J73/'FC Prod GWh FC'!J42/20</f>
        <v>5.6439092778600539</v>
      </c>
      <c r="K42" s="58">
        <f>'FC Aide k€ FC'!K73/'FC Prod GWh FC'!K42/20</f>
        <v>5.1851657031615668</v>
      </c>
      <c r="L42" s="58">
        <f>'FC Aide k€ FC'!L73/'FC Prod GWh FC'!L42/20</f>
        <v>5.852862077316237</v>
      </c>
      <c r="M42" s="58">
        <f>'FC Aide k€ FC'!M73/'FC Prod GWh FC'!M42/20</f>
        <v>4.3251937396472391</v>
      </c>
      <c r="N42" s="58">
        <f>'FC Aide k€ FC'!N73/'FC Prod GWh FC'!N42/20</f>
        <v>5.0936116631630304</v>
      </c>
      <c r="O42" s="58">
        <f>'FC Aide k€ FC'!O73/'FC Prod GWh FC'!O42/20</f>
        <v>7.5245565765538585</v>
      </c>
      <c r="P42" s="58">
        <f>'FC Aide k€ FC'!P73/'FC Prod GWh FC'!P42/20</f>
        <v>7.4261601296217092</v>
      </c>
      <c r="Q42" s="58">
        <f>'FC Aide k€ FC'!Q73/'FC Prod GWh FC'!Q42/20</f>
        <v>10.534367784393107</v>
      </c>
      <c r="R42" s="58">
        <f>'FC Aide k€ FC'!R73/'FC Prod GWh FC'!R42/20</f>
        <v>5.2583171807103426</v>
      </c>
    </row>
    <row r="43" spans="2:18" x14ac:dyDescent="0.25">
      <c r="B43" s="9" t="s">
        <v>84</v>
      </c>
      <c r="C43" s="58">
        <f>'FC Aide k€ FC'!C74/'FC Prod GWh FC'!C43/20</f>
        <v>9.6778484732258043</v>
      </c>
      <c r="D43" s="58">
        <f>'FC Aide k€ FC'!D74/'FC Prod GWh FC'!D43/20</f>
        <v>7.0491369067540699</v>
      </c>
      <c r="E43" s="58">
        <f>'FC Aide k€ FC'!E74/'FC Prod GWh FC'!E43/20</f>
        <v>5.1413489417455525</v>
      </c>
      <c r="F43" s="58">
        <f>'FC Aide k€ FC'!F74/'FC Prod GWh FC'!F43/20</f>
        <v>4.5394087982361704</v>
      </c>
      <c r="G43" s="58">
        <f>'FC Aide k€ FC'!G74/'FC Prod GWh FC'!G43/20</f>
        <v>4.7893103343555854</v>
      </c>
      <c r="H43" s="58">
        <f>'FC Aide k€ FC'!H74/'FC Prod GWh FC'!H43/20</f>
        <v>5.9200531791687272</v>
      </c>
      <c r="I43" s="58">
        <f>'FC Aide k€ FC'!I74/'FC Prod GWh FC'!I43/20</f>
        <v>4.4895379895867409</v>
      </c>
      <c r="J43" s="58">
        <f>'FC Aide k€ FC'!J74/'FC Prod GWh FC'!J43/20</f>
        <v>7.282108877636313</v>
      </c>
      <c r="K43" s="58">
        <f>'FC Aide k€ FC'!K74/'FC Prod GWh FC'!K43/20</f>
        <v>5.3310226799101326</v>
      </c>
      <c r="L43" s="58">
        <f>'FC Aide k€ FC'!L74/'FC Prod GWh FC'!L43/20</f>
        <v>6.5295924146863173</v>
      </c>
      <c r="M43" s="58">
        <f>'FC Aide k€ FC'!M74/'FC Prod GWh FC'!M43/20</f>
        <v>5.375903292848017</v>
      </c>
      <c r="N43" s="58">
        <f>'FC Aide k€ FC'!N74/'FC Prod GWh FC'!N43/20</f>
        <v>7.110148590405724</v>
      </c>
      <c r="O43" s="58">
        <f>'FC Aide k€ FC'!O74/'FC Prod GWh FC'!O43/20</f>
        <v>11.137262495583226</v>
      </c>
      <c r="P43" s="58">
        <f>'FC Aide k€ FC'!P74/'FC Prod GWh FC'!P43/20</f>
        <v>9.6411088254237747</v>
      </c>
      <c r="Q43" s="58">
        <f>'FC Aide k€ FC'!Q74/'FC Prod GWh FC'!Q43/20</f>
        <v>11.528057703080339</v>
      </c>
      <c r="R43" s="58">
        <f>'FC Aide k€ FC'!R74/'FC Prod GWh FC'!R43/20</f>
        <v>7.2243268397596836</v>
      </c>
    </row>
    <row r="44" spans="2:18" x14ac:dyDescent="0.25">
      <c r="B44" s="9" t="s">
        <v>112</v>
      </c>
      <c r="C44" s="58">
        <f>'FC Aide k€ FC'!C75/'FC Prod GWh FC'!C44/20</f>
        <v>9.6778484732258043</v>
      </c>
      <c r="D44" s="58">
        <f>'FC Aide k€ FC'!D75/'FC Prod GWh FC'!D44/20</f>
        <v>7.0491369067540717</v>
      </c>
      <c r="E44" s="58">
        <f>'FC Aide k€ FC'!E75/'FC Prod GWh FC'!E44/20</f>
        <v>5.1413489417455525</v>
      </c>
      <c r="F44" s="58">
        <f>'FC Aide k€ FC'!F75/'FC Prod GWh FC'!F44/20</f>
        <v>4.5394087982361686</v>
      </c>
      <c r="G44" s="58">
        <f>'FC Aide k€ FC'!G75/'FC Prod GWh FC'!G44/20</f>
        <v>4.7893103343555863</v>
      </c>
      <c r="H44" s="58">
        <f>'FC Aide k€ FC'!H75/'FC Prod GWh FC'!H44/20</f>
        <v>5.9200531791687272</v>
      </c>
      <c r="I44" s="58">
        <f>'FC Aide k€ FC'!I75/'FC Prod GWh FC'!I44/20</f>
        <v>4.4895379895867409</v>
      </c>
      <c r="J44" s="58">
        <f>'FC Aide k€ FC'!J75/'FC Prod GWh FC'!J44/20</f>
        <v>7.282108877636313</v>
      </c>
      <c r="K44" s="58">
        <f>'FC Aide k€ FC'!K75/'FC Prod GWh FC'!K44/20</f>
        <v>5.3717613528073986</v>
      </c>
      <c r="L44" s="58">
        <f>'FC Aide k€ FC'!L75/'FC Prod GWh FC'!L44/20</f>
        <v>6.6334020779165304</v>
      </c>
      <c r="M44" s="58">
        <f>'FC Aide k€ FC'!M75/'FC Prod GWh FC'!M44/20</f>
        <v>5.4023309998707054</v>
      </c>
      <c r="N44" s="58">
        <f>'FC Aide k€ FC'!N75/'FC Prod GWh FC'!N44/20</f>
        <v>7.3486810557287043</v>
      </c>
      <c r="O44" s="58">
        <f>'FC Aide k€ FC'!O75/'FC Prod GWh FC'!O44/20</f>
        <v>11.297447249441827</v>
      </c>
      <c r="P44" s="58">
        <f>'FC Aide k€ FC'!P75/'FC Prod GWh FC'!P44/20</f>
        <v>10.045985826606792</v>
      </c>
      <c r="Q44" s="58">
        <f>'FC Aide k€ FC'!Q75/'FC Prod GWh FC'!Q44/20</f>
        <v>12.695749698491003</v>
      </c>
      <c r="R44" s="58">
        <f>'FC Aide k€ FC'!R75/'FC Prod GWh FC'!R44/20</f>
        <v>5.1039669045072085</v>
      </c>
    </row>
    <row r="46" spans="2:18" x14ac:dyDescent="0.25">
      <c r="B46" s="51" t="s">
        <v>93</v>
      </c>
      <c r="C46" s="53">
        <f>'FC Aide k€ FC'!C82/'FC 2009-2022 Prod GWh'!C17/20</f>
        <v>3.8031396106942514</v>
      </c>
      <c r="D46" s="53">
        <f>'FC Aide k€ FC'!D82/'FC 2009-2022 Prod GWh'!D17/20</f>
        <v>3.4433784794936622</v>
      </c>
      <c r="E46" s="53">
        <f>'FC Aide k€ FC'!E82/'FC 2009-2022 Prod GWh'!E17/20</f>
        <v>3.7941542104117021</v>
      </c>
      <c r="F46" s="53">
        <f>'FC Aide k€ FC'!F82/'FC 2009-2022 Prod GWh'!F17/20</f>
        <v>3.3857208567528509</v>
      </c>
      <c r="G46" s="53">
        <f>'FC Aide k€ FC'!G82/'FC 2009-2022 Prod GWh'!G17/20</f>
        <v>3.7652074734307335</v>
      </c>
      <c r="H46" s="53">
        <f>'FC Aide k€ FC'!H82/'FC 2009-2022 Prod GWh'!H17/20</f>
        <v>4.0874651299066214</v>
      </c>
      <c r="I46" s="53">
        <f>'FC Aide k€ FC'!I82/'FC 2009-2022 Prod GWh'!I17/20</f>
        <v>4.1414755044007707</v>
      </c>
      <c r="J46" s="53">
        <f>'FC Aide k€ FC'!J82/'FC 2009-2022 Prod GWh'!J17/20</f>
        <v>5.6034000462708278</v>
      </c>
      <c r="K46" s="53">
        <f>'FC Aide k€ FC'!K82/'FC 2009-2022 Prod GWh'!K17/20</f>
        <v>5.8863891936777177</v>
      </c>
      <c r="L46" s="53">
        <f>'FC Aide k€ FC'!L82/'FC 2009-2022 Prod GWh'!L17/20</f>
        <v>6.4967645064994484</v>
      </c>
      <c r="M46" s="53">
        <f>'FC Aide k€ FC'!M82/'FC 2009-2022 Prod GWh'!M17/20</f>
        <v>4.7426868763871104</v>
      </c>
      <c r="N46" s="53">
        <f>'FC Aide k€ FC'!N82/'FC 2009-2022 Prod GWh'!N17/20</f>
        <v>5.5981212591527392</v>
      </c>
      <c r="O46" s="53">
        <f>'FC Aide k€ FC'!O82/'FC 2009-2022 Prod GWh'!O17/20</f>
        <v>4.8235948232467276</v>
      </c>
      <c r="P46" s="53">
        <f>'FC Aide k€ FC'!P82/'FC 2009-2022 Prod GWh'!P17/20</f>
        <v>5.8539747795453216</v>
      </c>
      <c r="Q46" s="53">
        <f>'FC Aide k€ FC'!Q82/'FC 2009-2022 Prod GWh'!Q17/20</f>
        <v>0</v>
      </c>
      <c r="R46" s="53">
        <f>'FC Aide k€ FC'!R82/'FC 2009-2022 Prod GWh'!Q17/20</f>
        <v>5.5383840364949029</v>
      </c>
    </row>
    <row r="47" spans="2:18" x14ac:dyDescent="0.25">
      <c r="B47" s="51" t="s">
        <v>87</v>
      </c>
      <c r="C47" s="53">
        <f>'FC Aide k€ FC'!C83/'FC 2009-2022 Prod GWh'!C14/20</f>
        <v>3.8031396106942514</v>
      </c>
      <c r="D47" s="53">
        <f>'FC Aide k€ FC'!D83/'FC 2009-2022 Prod GWh'!D14/20</f>
        <v>3.4433784794936622</v>
      </c>
      <c r="E47" s="53">
        <f>'FC Aide k€ FC'!E83/'FC 2009-2022 Prod GWh'!E14/20</f>
        <v>3.7941542104117021</v>
      </c>
      <c r="F47" s="53">
        <f>'FC Aide k€ FC'!F83/'FC 2009-2022 Prod GWh'!F14/20</f>
        <v>3.3857208567528509</v>
      </c>
      <c r="G47" s="53">
        <f>'FC Aide k€ FC'!G83/'FC 2009-2022 Prod GWh'!G14/20</f>
        <v>3.7652074734307335</v>
      </c>
      <c r="H47" s="53">
        <f>'FC Aide k€ FC'!H83/'FC 2009-2022 Prod GWh'!H14/20</f>
        <v>4.0874651299066214</v>
      </c>
      <c r="I47" s="53">
        <f>'FC Aide k€ FC'!I83/'FC 2009-2022 Prod GWh'!I14/20</f>
        <v>4.1414755044007707</v>
      </c>
      <c r="J47" s="53">
        <f>'FC Aide k€ FC'!J83/'FC 2009-2022 Prod GWh'!J14/20</f>
        <v>5.6034000462708278</v>
      </c>
      <c r="K47" s="53">
        <f>'FC Aide k€ FC'!K83/'FC 2009-2022 Prod GWh'!K14/20</f>
        <v>5.8863891936777177</v>
      </c>
      <c r="L47" s="53">
        <f>'FC Aide k€ FC'!L83/'FC 2009-2022 Prod GWh'!L14/20</f>
        <v>6.4967645064994484</v>
      </c>
      <c r="M47" s="53">
        <f>'FC Aide k€ FC'!M83/'FC 2009-2022 Prod GWh'!M14/20</f>
        <v>4.7426868763871104</v>
      </c>
      <c r="N47" s="53">
        <f>'FC Aide k€ FC'!N83/'FC 2009-2022 Prod GWh'!N14/20</f>
        <v>5.5981212591527392</v>
      </c>
      <c r="O47" s="53">
        <f>'FC Aide k€ FC'!O83/'FC 2009-2022 Prod GWh'!O14/20</f>
        <v>5.7702834716780229</v>
      </c>
      <c r="P47" s="53">
        <f>'FC Aide k€ FC'!P83/'FC 2009-2022 Prod GWh'!P14/20</f>
        <v>7.5853391575590035</v>
      </c>
      <c r="Q47" s="53">
        <f>'FC Aide k€ FC'!Q83/'FC 2009-2022 Prod GWh'!Q14/20</f>
        <v>0</v>
      </c>
      <c r="R47" s="53">
        <f>'FC Aide k€ FC'!R83/'FC 2009-2022 Prod GWh'!Q14/20</f>
        <v>5.5302143159754644</v>
      </c>
    </row>
    <row r="52" spans="14:17" x14ac:dyDescent="0.25">
      <c r="N52" s="54">
        <f>N17*11.63*20</f>
        <v>516.38527385343446</v>
      </c>
      <c r="O52" s="54">
        <f>O17*11.63*20</f>
        <v>584.61005348329297</v>
      </c>
      <c r="P52" s="54">
        <f>P17*11.63*20</f>
        <v>896.25481803182026</v>
      </c>
      <c r="Q52" s="54">
        <f>Q17*11.63*20</f>
        <v>1230.4540000000002</v>
      </c>
    </row>
    <row r="53" spans="14:17" x14ac:dyDescent="0.25">
      <c r="N53" s="54">
        <f>N16*11.63*20</f>
        <v>1236</v>
      </c>
      <c r="O53" s="54">
        <f>O16*11.63*20</f>
        <v>1223.4760000000001</v>
      </c>
      <c r="P53" s="54">
        <f>P16*11.63*20</f>
        <v>1976.9058725363357</v>
      </c>
      <c r="Q53" s="54">
        <f>Q16*11.63*20</f>
        <v>2551.1996301954155</v>
      </c>
    </row>
    <row r="54" spans="14:17" x14ac:dyDescent="0.25">
      <c r="N54" s="54">
        <f t="shared" ref="N54:Q54" si="5">N18*11.63*20</f>
        <v>1164.4000000000001</v>
      </c>
      <c r="O54" s="54">
        <f t="shared" si="5"/>
        <v>862.94600000000003</v>
      </c>
      <c r="P54" s="54">
        <f t="shared" si="5"/>
        <v>1714.5679570923696</v>
      </c>
      <c r="Q54" s="54">
        <f t="shared" si="5"/>
        <v>2117.3787394673905</v>
      </c>
    </row>
    <row r="55" spans="14:17" x14ac:dyDescent="0.25">
      <c r="N55" s="54">
        <f t="shared" ref="N55:Q55" si="6">N19*11.63*20</f>
        <v>542</v>
      </c>
      <c r="O55" s="54">
        <f t="shared" si="6"/>
        <v>358.20400000000006</v>
      </c>
      <c r="P55" s="54">
        <f t="shared" si="6"/>
        <v>705.80205041751037</v>
      </c>
      <c r="Q55" s="54">
        <f t="shared" si="6"/>
        <v>359.00434399605774</v>
      </c>
    </row>
    <row r="56" spans="14:17" x14ac:dyDescent="0.25">
      <c r="N56" s="54">
        <f t="shared" ref="N56:Q56" si="7">N20*11.63*20</f>
        <v>6780</v>
      </c>
      <c r="O56" s="54">
        <f t="shared" si="7"/>
        <v>5349.8</v>
      </c>
      <c r="P56" s="54">
        <f t="shared" si="7"/>
        <v>6106.8052219016317</v>
      </c>
      <c r="Q56" s="54">
        <f t="shared" si="7"/>
        <v>5331.1423303346019</v>
      </c>
    </row>
    <row r="57" spans="14:17" x14ac:dyDescent="0.25">
      <c r="N57" s="54">
        <f t="shared" ref="N57:Q57" si="8">N21*11.63*20</f>
        <v>274.40000000000003</v>
      </c>
      <c r="O57" s="54">
        <f t="shared" si="8"/>
        <v>569.87000000000012</v>
      </c>
      <c r="P57" s="54">
        <f t="shared" si="8"/>
        <v>943.87148985178078</v>
      </c>
      <c r="Q57" s="54">
        <f t="shared" si="8"/>
        <v>920.00443010632648</v>
      </c>
    </row>
    <row r="58" spans="14:17" x14ac:dyDescent="0.25">
      <c r="N58" s="54">
        <f t="shared" ref="N58:Q58" si="9">N22*11.63*20</f>
        <v>79549.200000000012</v>
      </c>
      <c r="O58" s="54">
        <f t="shared" si="9"/>
        <v>121417.20000000001</v>
      </c>
      <c r="P58" s="54">
        <f t="shared" si="9"/>
        <v>135002.88481622707</v>
      </c>
      <c r="Q58" s="54">
        <f t="shared" si="9"/>
        <v>136392.774534319</v>
      </c>
    </row>
    <row r="59" spans="14:17" x14ac:dyDescent="0.25">
      <c r="N59" s="101"/>
      <c r="O59" s="101"/>
      <c r="P59" s="101"/>
      <c r="Q59" s="101"/>
    </row>
    <row r="60" spans="14:17" x14ac:dyDescent="0.25">
      <c r="N60" s="101"/>
      <c r="O60" s="101"/>
      <c r="P60" s="101"/>
      <c r="Q60" s="101"/>
    </row>
    <row r="61" spans="14:17" x14ac:dyDescent="0.25">
      <c r="N61" s="101"/>
      <c r="O61" s="101"/>
      <c r="P61" s="101"/>
      <c r="Q61" s="101"/>
    </row>
    <row r="62" spans="14:17" x14ac:dyDescent="0.25">
      <c r="N62" s="101"/>
      <c r="O62" s="101"/>
      <c r="P62" s="101"/>
      <c r="Q62" s="101"/>
    </row>
    <row r="84" spans="2:18" hidden="1" x14ac:dyDescent="0.25"/>
    <row r="85" spans="2:18" hidden="1" x14ac:dyDescent="0.25"/>
    <row r="86" spans="2:18" hidden="1" x14ac:dyDescent="0.25"/>
    <row r="87" spans="2:18" hidden="1" x14ac:dyDescent="0.25"/>
    <row r="88" spans="2:18" hidden="1" x14ac:dyDescent="0.25">
      <c r="B88" s="3"/>
      <c r="C88" s="4">
        <v>2009</v>
      </c>
      <c r="D88" s="4">
        <v>2010</v>
      </c>
      <c r="E88" s="4">
        <v>2011</v>
      </c>
      <c r="F88" s="4">
        <v>2012</v>
      </c>
      <c r="G88" s="4">
        <v>2013</v>
      </c>
      <c r="H88" s="4">
        <v>2014</v>
      </c>
      <c r="I88" s="4">
        <v>2015</v>
      </c>
      <c r="J88" s="4">
        <v>2016</v>
      </c>
      <c r="K88" s="4">
        <v>2017</v>
      </c>
      <c r="L88" s="4">
        <v>2018</v>
      </c>
      <c r="M88" s="4">
        <v>2019</v>
      </c>
      <c r="N88" s="4">
        <v>2020</v>
      </c>
      <c r="O88" s="4">
        <v>2021</v>
      </c>
      <c r="P88" s="4">
        <v>2022</v>
      </c>
      <c r="Q88" s="4">
        <v>2023</v>
      </c>
      <c r="R88" s="5" t="s">
        <v>1</v>
      </c>
    </row>
    <row r="89" spans="2:18" hidden="1" x14ac:dyDescent="0.25">
      <c r="B89" s="6" t="s">
        <v>42</v>
      </c>
      <c r="C89" s="30">
        <f t="shared" ref="C89:R89" si="10">C16*11.63</f>
        <v>46.3</v>
      </c>
      <c r="D89" s="30">
        <f t="shared" si="10"/>
        <v>43.4</v>
      </c>
      <c r="E89" s="30">
        <f t="shared" si="10"/>
        <v>26.2</v>
      </c>
      <c r="F89" s="30">
        <f t="shared" si="10"/>
        <v>23.800000000000004</v>
      </c>
      <c r="G89" s="30">
        <f t="shared" si="10"/>
        <v>26.6</v>
      </c>
      <c r="H89" s="30">
        <f t="shared" si="10"/>
        <v>31.880000000000003</v>
      </c>
      <c r="I89" s="30">
        <f t="shared" si="10"/>
        <v>28.040000000000003</v>
      </c>
      <c r="J89" s="30">
        <f t="shared" si="10"/>
        <v>43.78</v>
      </c>
      <c r="K89" s="30">
        <f t="shared" si="10"/>
        <v>41.3</v>
      </c>
      <c r="L89" s="30">
        <f t="shared" si="10"/>
        <v>41.63</v>
      </c>
      <c r="M89" s="30">
        <f t="shared" si="10"/>
        <v>30.48</v>
      </c>
      <c r="N89" s="30">
        <f t="shared" si="10"/>
        <v>61.8</v>
      </c>
      <c r="O89" s="30">
        <f t="shared" si="10"/>
        <v>61.1738</v>
      </c>
      <c r="P89" s="30">
        <f t="shared" si="10"/>
        <v>98.845293626816783</v>
      </c>
      <c r="Q89" s="30">
        <f t="shared" si="10"/>
        <v>127.55998150977078</v>
      </c>
      <c r="R89" s="30">
        <f t="shared" si="10"/>
        <v>40</v>
      </c>
    </row>
    <row r="90" spans="2:18" hidden="1" x14ac:dyDescent="0.25">
      <c r="B90" s="6" t="s">
        <v>8</v>
      </c>
      <c r="C90" s="30">
        <f t="shared" ref="C90:R90" si="11">C17*11.63</f>
        <v>21.296089006478748</v>
      </c>
      <c r="D90" s="30">
        <f t="shared" si="11"/>
        <v>20.131873024333924</v>
      </c>
      <c r="E90" s="30">
        <f t="shared" si="11"/>
        <v>17.668614257100398</v>
      </c>
      <c r="F90" s="30">
        <f t="shared" si="11"/>
        <v>19.447926209750992</v>
      </c>
      <c r="G90" s="30">
        <f t="shared" si="11"/>
        <v>18.523864411756673</v>
      </c>
      <c r="H90" s="30">
        <f t="shared" si="11"/>
        <v>17.81096929975854</v>
      </c>
      <c r="I90" s="30">
        <f t="shared" si="11"/>
        <v>30.791470916500121</v>
      </c>
      <c r="J90" s="30">
        <f t="shared" si="11"/>
        <v>29.957165632623266</v>
      </c>
      <c r="K90" s="30">
        <f t="shared" si="11"/>
        <v>37.366796135843046</v>
      </c>
      <c r="L90" s="30">
        <f t="shared" si="11"/>
        <v>37.068265770926558</v>
      </c>
      <c r="M90" s="30">
        <f t="shared" si="11"/>
        <v>23.491878067004354</v>
      </c>
      <c r="N90" s="30">
        <f t="shared" si="11"/>
        <v>25.819263692671726</v>
      </c>
      <c r="O90" s="30">
        <f t="shared" si="11"/>
        <v>29.230502674164647</v>
      </c>
      <c r="P90" s="30">
        <f t="shared" si="11"/>
        <v>44.812740901591013</v>
      </c>
      <c r="Q90" s="30">
        <f t="shared" si="11"/>
        <v>61.522700000000007</v>
      </c>
      <c r="R90" s="30">
        <f t="shared" si="11"/>
        <v>0</v>
      </c>
    </row>
    <row r="91" spans="2:18" hidden="1" x14ac:dyDescent="0.25">
      <c r="B91" s="6" t="s">
        <v>9</v>
      </c>
      <c r="C91" s="30">
        <f t="shared" ref="C91:R91" si="12">C18*11.63</f>
        <v>62.281468531468533</v>
      </c>
      <c r="D91" s="30">
        <f t="shared" si="12"/>
        <v>81.196149965070248</v>
      </c>
      <c r="E91" s="30">
        <f t="shared" si="12"/>
        <v>42.88601189498241</v>
      </c>
      <c r="F91" s="30">
        <f t="shared" si="12"/>
        <v>52.368539931678448</v>
      </c>
      <c r="G91" s="30">
        <f t="shared" si="12"/>
        <v>22.885524942396547</v>
      </c>
      <c r="H91" s="30">
        <f t="shared" si="12"/>
        <v>33.853162782547749</v>
      </c>
      <c r="I91" s="30">
        <f t="shared" si="12"/>
        <v>27.803492242595208</v>
      </c>
      <c r="J91" s="30">
        <f t="shared" si="12"/>
        <v>88.15</v>
      </c>
      <c r="K91" s="30">
        <f t="shared" si="12"/>
        <v>84.9</v>
      </c>
      <c r="L91" s="30">
        <f t="shared" si="12"/>
        <v>46.52</v>
      </c>
      <c r="M91" s="30">
        <f t="shared" si="12"/>
        <v>66.099999999999994</v>
      </c>
      <c r="N91" s="30">
        <f t="shared" si="12"/>
        <v>58.22</v>
      </c>
      <c r="O91" s="30">
        <f t="shared" si="12"/>
        <v>43.147300000000001</v>
      </c>
      <c r="P91" s="30">
        <f t="shared" si="12"/>
        <v>85.728397854618478</v>
      </c>
      <c r="Q91" s="30">
        <f t="shared" si="12"/>
        <v>105.86893697336953</v>
      </c>
      <c r="R91" s="30">
        <f t="shared" si="12"/>
        <v>0</v>
      </c>
    </row>
    <row r="92" spans="2:18" hidden="1" x14ac:dyDescent="0.25">
      <c r="B92" s="6" t="s">
        <v>10</v>
      </c>
      <c r="C92" s="30">
        <f t="shared" ref="C92:R92" si="13">C19*11.63</f>
        <v>25.4</v>
      </c>
      <c r="D92" s="30">
        <f t="shared" si="13"/>
        <v>16.8</v>
      </c>
      <c r="E92" s="30">
        <f t="shared" si="13"/>
        <v>9.5</v>
      </c>
      <c r="F92" s="30">
        <f t="shared" si="13"/>
        <v>0</v>
      </c>
      <c r="G92" s="30">
        <f t="shared" si="13"/>
        <v>9.6999999999999993</v>
      </c>
      <c r="H92" s="30">
        <f t="shared" si="13"/>
        <v>10.199999999999999</v>
      </c>
      <c r="I92" s="30">
        <f t="shared" si="13"/>
        <v>36.549999999999997</v>
      </c>
      <c r="J92" s="30">
        <f t="shared" si="13"/>
        <v>31.12</v>
      </c>
      <c r="K92" s="30">
        <f t="shared" si="13"/>
        <v>38</v>
      </c>
      <c r="L92" s="30">
        <f t="shared" si="13"/>
        <v>20.82</v>
      </c>
      <c r="M92" s="30">
        <f t="shared" si="13"/>
        <v>28.550000000000004</v>
      </c>
      <c r="N92" s="30">
        <f t="shared" si="13"/>
        <v>27.1</v>
      </c>
      <c r="O92" s="30">
        <f t="shared" si="13"/>
        <v>17.910200000000003</v>
      </c>
      <c r="P92" s="30">
        <f t="shared" si="13"/>
        <v>35.290102520875521</v>
      </c>
      <c r="Q92" s="30">
        <f t="shared" si="13"/>
        <v>17.950217199802886</v>
      </c>
      <c r="R92" s="30">
        <f t="shared" si="13"/>
        <v>0</v>
      </c>
    </row>
    <row r="93" spans="2:18" hidden="1" x14ac:dyDescent="0.25">
      <c r="B93" s="6" t="s">
        <v>11</v>
      </c>
      <c r="C93" s="30">
        <f t="shared" ref="C93:R93" si="14">C20*11.63</f>
        <v>602.85442435775451</v>
      </c>
      <c r="D93" s="30">
        <f t="shared" si="14"/>
        <v>586.70115642118083</v>
      </c>
      <c r="E93" s="30">
        <f t="shared" si="14"/>
        <v>512.6570351758794</v>
      </c>
      <c r="F93" s="30">
        <f t="shared" si="14"/>
        <v>525.68524583613043</v>
      </c>
      <c r="G93" s="30">
        <f t="shared" si="14"/>
        <v>518.14743472003602</v>
      </c>
      <c r="H93" s="30">
        <f t="shared" si="14"/>
        <v>533.68644067796606</v>
      </c>
      <c r="I93" s="30">
        <f t="shared" si="14"/>
        <v>589.3371757925072</v>
      </c>
      <c r="J93" s="30">
        <f t="shared" si="14"/>
        <v>550</v>
      </c>
      <c r="K93" s="30">
        <f t="shared" si="14"/>
        <v>385.3669491525423</v>
      </c>
      <c r="L93" s="30">
        <f t="shared" si="14"/>
        <v>277.06913569501262</v>
      </c>
      <c r="M93" s="30">
        <f t="shared" si="14"/>
        <v>281.62047446735266</v>
      </c>
      <c r="N93" s="30">
        <f t="shared" si="14"/>
        <v>339</v>
      </c>
      <c r="O93" s="30">
        <f t="shared" si="14"/>
        <v>267.49</v>
      </c>
      <c r="P93" s="30">
        <f t="shared" si="14"/>
        <v>305.34026109508159</v>
      </c>
      <c r="Q93" s="30">
        <f t="shared" si="14"/>
        <v>266.5571165167301</v>
      </c>
      <c r="R93" s="30">
        <f t="shared" si="14"/>
        <v>0</v>
      </c>
    </row>
    <row r="94" spans="2:18" hidden="1" x14ac:dyDescent="0.25">
      <c r="B94" s="6" t="s">
        <v>31</v>
      </c>
      <c r="C94" s="30">
        <f t="shared" ref="C94:R94" si="15">C21*11.63</f>
        <v>0</v>
      </c>
      <c r="D94" s="30">
        <f t="shared" si="15"/>
        <v>0</v>
      </c>
      <c r="E94" s="30">
        <f t="shared" si="15"/>
        <v>0</v>
      </c>
      <c r="F94" s="30">
        <f t="shared" si="15"/>
        <v>0</v>
      </c>
      <c r="G94" s="30">
        <f t="shared" si="15"/>
        <v>0</v>
      </c>
      <c r="H94" s="30">
        <f t="shared" si="15"/>
        <v>0</v>
      </c>
      <c r="I94" s="30">
        <f t="shared" si="15"/>
        <v>16.3</v>
      </c>
      <c r="J94" s="30">
        <f t="shared" si="15"/>
        <v>5.9400000000000013</v>
      </c>
      <c r="K94" s="30">
        <f t="shared" si="15"/>
        <v>7.6000000000000005</v>
      </c>
      <c r="L94" s="30">
        <f t="shared" si="15"/>
        <v>8.0679999999999996</v>
      </c>
      <c r="M94" s="30">
        <f t="shared" si="15"/>
        <v>13.089999999999998</v>
      </c>
      <c r="N94" s="30">
        <f t="shared" si="15"/>
        <v>13.72</v>
      </c>
      <c r="O94" s="30">
        <f t="shared" si="15"/>
        <v>28.493500000000004</v>
      </c>
      <c r="P94" s="30">
        <f t="shared" si="15"/>
        <v>47.193574492589036</v>
      </c>
      <c r="Q94" s="30">
        <f t="shared" si="15"/>
        <v>46.000221505316325</v>
      </c>
      <c r="R94" s="30">
        <f t="shared" si="15"/>
        <v>0</v>
      </c>
    </row>
    <row r="95" spans="2:18" hidden="1" x14ac:dyDescent="0.25">
      <c r="B95" s="6" t="s">
        <v>30</v>
      </c>
      <c r="C95" s="30">
        <f t="shared" ref="C95:R95" si="16">C22*11.63</f>
        <v>7024.52</v>
      </c>
      <c r="D95" s="30">
        <f t="shared" si="16"/>
        <v>4954.38</v>
      </c>
      <c r="E95" s="30">
        <f t="shared" si="16"/>
        <v>4151.91</v>
      </c>
      <c r="F95" s="30">
        <f t="shared" si="16"/>
        <v>2954.02</v>
      </c>
      <c r="G95" s="30">
        <f t="shared" si="16"/>
        <v>3209.88</v>
      </c>
      <c r="H95" s="30">
        <f t="shared" si="16"/>
        <v>2907.5</v>
      </c>
      <c r="I95" s="30">
        <f t="shared" si="16"/>
        <v>3233.1400000000003</v>
      </c>
      <c r="J95" s="30">
        <f t="shared" si="16"/>
        <v>4695.9614000000001</v>
      </c>
      <c r="K95" s="30">
        <f t="shared" si="16"/>
        <v>4407.7700000000004</v>
      </c>
      <c r="L95" s="30">
        <f t="shared" si="16"/>
        <v>3642.9812000000002</v>
      </c>
      <c r="M95" s="30">
        <f t="shared" si="16"/>
        <v>3791.38</v>
      </c>
      <c r="N95" s="30">
        <f t="shared" si="16"/>
        <v>3977.4600000000005</v>
      </c>
      <c r="O95" s="30">
        <f t="shared" si="16"/>
        <v>6070.8600000000006</v>
      </c>
      <c r="P95" s="30">
        <f t="shared" si="16"/>
        <v>6750.1442408113544</v>
      </c>
      <c r="Q95" s="30">
        <f t="shared" si="16"/>
        <v>6819.6387267159507</v>
      </c>
      <c r="R95" s="30">
        <f t="shared" si="16"/>
        <v>0</v>
      </c>
    </row>
    <row r="96" spans="2:18" hidden="1" x14ac:dyDescent="0.25"/>
    <row r="97" spans="2:20" hidden="1" x14ac:dyDescent="0.25">
      <c r="O97" s="51"/>
      <c r="P97" s="51">
        <v>2022</v>
      </c>
      <c r="Q97" s="51"/>
      <c r="R97" s="51"/>
    </row>
    <row r="98" spans="2:20" hidden="1" x14ac:dyDescent="0.25">
      <c r="O98" s="51" t="s">
        <v>174</v>
      </c>
      <c r="P98" s="54">
        <v>242100</v>
      </c>
      <c r="Q98" s="94">
        <v>28954190</v>
      </c>
      <c r="R98" s="51"/>
    </row>
    <row r="99" spans="2:20" hidden="1" x14ac:dyDescent="0.25">
      <c r="O99" s="51" t="s">
        <v>175</v>
      </c>
      <c r="P99" s="54">
        <v>73194</v>
      </c>
      <c r="Q99" s="94">
        <v>23720911</v>
      </c>
      <c r="R99" s="51"/>
    </row>
    <row r="100" spans="2:20" hidden="1" x14ac:dyDescent="0.25">
      <c r="O100" s="51"/>
      <c r="P100" s="54">
        <v>6564</v>
      </c>
      <c r="Q100" s="94">
        <v>2035386</v>
      </c>
      <c r="R100" s="51"/>
      <c r="T100" s="32"/>
    </row>
    <row r="101" spans="2:20" hidden="1" x14ac:dyDescent="0.25">
      <c r="O101" s="51"/>
      <c r="P101" s="95">
        <f>SUM(P98:P100)</f>
        <v>321858</v>
      </c>
      <c r="Q101" s="95">
        <f>SUM(Q98:Q100)</f>
        <v>54710487</v>
      </c>
      <c r="R101" s="51">
        <f>Q101/P101/20</f>
        <v>8.4991653151389741</v>
      </c>
      <c r="T101" s="32"/>
    </row>
    <row r="102" spans="2:20" hidden="1" x14ac:dyDescent="0.25">
      <c r="T102" s="32"/>
    </row>
    <row r="103" spans="2:20" hidden="1" x14ac:dyDescent="0.25"/>
    <row r="104" spans="2:20" hidden="1" x14ac:dyDescent="0.25"/>
    <row r="105" spans="2:20" hidden="1" x14ac:dyDescent="0.25"/>
    <row r="106" spans="2:20" hidden="1" x14ac:dyDescent="0.25"/>
    <row r="107" spans="2:20" hidden="1" x14ac:dyDescent="0.25"/>
    <row r="108" spans="2:20" hidden="1" x14ac:dyDescent="0.25">
      <c r="B108" s="97" t="s">
        <v>113</v>
      </c>
      <c r="C108" s="98">
        <v>2009</v>
      </c>
      <c r="D108" s="98">
        <v>2010</v>
      </c>
      <c r="E108" s="98">
        <v>2011</v>
      </c>
      <c r="F108" s="98">
        <v>2012</v>
      </c>
      <c r="G108" s="98">
        <v>2013</v>
      </c>
      <c r="H108" s="98">
        <v>2014</v>
      </c>
      <c r="I108" s="98">
        <v>2015</v>
      </c>
      <c r="J108" s="98">
        <v>2016</v>
      </c>
      <c r="K108" s="98">
        <v>2017</v>
      </c>
      <c r="L108" s="98">
        <v>2018</v>
      </c>
      <c r="M108" s="98">
        <v>2019</v>
      </c>
      <c r="N108" s="98">
        <v>2020</v>
      </c>
      <c r="O108" s="98">
        <v>2021</v>
      </c>
      <c r="P108" s="98">
        <v>2022</v>
      </c>
      <c r="Q108" s="98">
        <v>2023</v>
      </c>
    </row>
    <row r="109" spans="2:20" hidden="1" x14ac:dyDescent="0.25">
      <c r="B109" s="68" t="s">
        <v>176</v>
      </c>
      <c r="C109" s="70">
        <v>2819000</v>
      </c>
      <c r="D109" s="70">
        <v>11966000</v>
      </c>
      <c r="E109" s="70">
        <v>14212000</v>
      </c>
      <c r="F109" s="70">
        <v>6918000</v>
      </c>
      <c r="G109" s="70">
        <f>5007000</f>
        <v>5007000</v>
      </c>
      <c r="H109" s="70">
        <f>7476*1000</f>
        <v>7476000</v>
      </c>
      <c r="I109" s="70">
        <v>13525000</v>
      </c>
      <c r="J109" s="70">
        <v>10575000</v>
      </c>
      <c r="K109" s="70">
        <v>8405000</v>
      </c>
      <c r="L109" s="70">
        <v>8639000</v>
      </c>
      <c r="M109" s="70">
        <v>20179000</v>
      </c>
      <c r="N109" s="70">
        <v>8852000</v>
      </c>
      <c r="O109" s="70">
        <v>9056000</v>
      </c>
      <c r="P109" s="70">
        <v>11212660</v>
      </c>
      <c r="Q109" s="70">
        <v>16300396</v>
      </c>
    </row>
    <row r="110" spans="2:20" hidden="1" x14ac:dyDescent="0.25">
      <c r="B110" s="68" t="s">
        <v>177</v>
      </c>
      <c r="C110" s="70">
        <f>3095*11.63</f>
        <v>35994.850000000006</v>
      </c>
      <c r="D110" s="70">
        <f>10044*11.63</f>
        <v>116811.72</v>
      </c>
      <c r="E110" s="70">
        <f>25677*11.63</f>
        <v>298623.51</v>
      </c>
      <c r="F110" s="70">
        <f>8692*11.63</f>
        <v>101087.96</v>
      </c>
      <c r="G110" s="70">
        <f>17380*11.63</f>
        <v>202129.40000000002</v>
      </c>
      <c r="H110" s="70">
        <f>15961*11.63</f>
        <v>185626.43000000002</v>
      </c>
      <c r="I110" s="70">
        <f>34022*11.63</f>
        <v>395675.86000000004</v>
      </c>
      <c r="J110" s="70">
        <f>11.63*7137</f>
        <v>83003.310000000012</v>
      </c>
      <c r="K110" s="70">
        <f>7707*11.63</f>
        <v>89632.41</v>
      </c>
      <c r="L110" s="70">
        <v>181815</v>
      </c>
      <c r="M110" s="70">
        <v>215893</v>
      </c>
      <c r="N110" s="70">
        <v>232958</v>
      </c>
      <c r="O110" s="70">
        <v>252102</v>
      </c>
      <c r="P110" s="70">
        <v>195699</v>
      </c>
      <c r="Q110" s="70">
        <v>205339</v>
      </c>
    </row>
    <row r="111" spans="2:20" hidden="1" x14ac:dyDescent="0.25">
      <c r="B111" s="68" t="s">
        <v>178</v>
      </c>
      <c r="C111" s="96">
        <f t="shared" ref="C111:O111" si="17">C109/C110/20</f>
        <v>3.9158379601526319</v>
      </c>
      <c r="D111" s="96">
        <f t="shared" si="17"/>
        <v>5.1219175610118572</v>
      </c>
      <c r="E111" s="96">
        <f t="shared" si="17"/>
        <v>2.3795849161373797</v>
      </c>
      <c r="F111" s="96">
        <f t="shared" si="17"/>
        <v>3.4217724840821795</v>
      </c>
      <c r="G111" s="96">
        <f t="shared" si="17"/>
        <v>1.2385630195310529</v>
      </c>
      <c r="H111" s="96">
        <f t="shared" si="17"/>
        <v>2.0137218606208176</v>
      </c>
      <c r="I111" s="96">
        <f t="shared" si="17"/>
        <v>1.7091009797767291</v>
      </c>
      <c r="J111" s="96">
        <f t="shared" si="17"/>
        <v>6.3702278860927342</v>
      </c>
      <c r="K111" s="96">
        <f t="shared" si="17"/>
        <v>4.6885942261286955</v>
      </c>
      <c r="L111" s="96">
        <f t="shared" si="17"/>
        <v>2.3757665759150788</v>
      </c>
      <c r="M111" s="96">
        <f t="shared" si="17"/>
        <v>4.6733798687312698</v>
      </c>
      <c r="N111" s="96">
        <f t="shared" si="17"/>
        <v>1.8999132890907373</v>
      </c>
      <c r="O111" s="96">
        <f t="shared" si="17"/>
        <v>1.7960984046140056</v>
      </c>
      <c r="P111" s="96">
        <f>P109/P110/20</f>
        <v>2.864771920142668</v>
      </c>
      <c r="Q111" s="96">
        <v>4</v>
      </c>
    </row>
    <row r="112" spans="2:20" hidden="1" x14ac:dyDescent="0.25">
      <c r="B112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</row>
    <row r="113" spans="2:19" hidden="1" x14ac:dyDescent="0.25">
      <c r="B113" s="68" t="s">
        <v>176</v>
      </c>
      <c r="C113" s="70">
        <f>4275000-C109</f>
        <v>1456000</v>
      </c>
      <c r="D113" s="70">
        <f>20921000-D109</f>
        <v>8955000</v>
      </c>
      <c r="E113" s="70">
        <f>26103000-E109</f>
        <v>11891000</v>
      </c>
      <c r="F113" s="70">
        <f>14484*1000-F109</f>
        <v>7566000</v>
      </c>
      <c r="G113" s="70">
        <f>9165*1000-G109</f>
        <v>4158000</v>
      </c>
      <c r="H113" s="70">
        <f>11592*1000-H109</f>
        <v>4116000</v>
      </c>
      <c r="I113" s="70">
        <f>19713000-I109</f>
        <v>6188000</v>
      </c>
      <c r="J113" s="70">
        <f>17268000-J109</f>
        <v>6693000</v>
      </c>
      <c r="K113" s="70">
        <f>17595000-K109</f>
        <v>9190000</v>
      </c>
      <c r="L113" s="99">
        <f>22502000-L109</f>
        <v>13863000</v>
      </c>
      <c r="M113" s="70">
        <f>29225000-M109</f>
        <v>9046000</v>
      </c>
      <c r="N113" s="70">
        <f>30245000-N109</f>
        <v>21393000</v>
      </c>
      <c r="O113" s="70">
        <f>(4168+3511+6163)*1000</f>
        <v>13842000</v>
      </c>
      <c r="P113" s="70">
        <v>23052949</v>
      </c>
      <c r="Q113" s="70">
        <v>42588285</v>
      </c>
    </row>
    <row r="114" spans="2:19" hidden="1" x14ac:dyDescent="0.25">
      <c r="B114" s="68" t="s">
        <v>177</v>
      </c>
      <c r="C114" s="70">
        <f>3432*11.63-C110</f>
        <v>3919.3099999999977</v>
      </c>
      <c r="D114" s="70">
        <f>12883*11.63-D110</f>
        <v>33017.570000000007</v>
      </c>
      <c r="E114" s="70">
        <f>30294*11.63-E110</f>
        <v>53695.710000000021</v>
      </c>
      <c r="F114" s="70">
        <f>11991*11.63-F110</f>
        <v>38367.37000000001</v>
      </c>
      <c r="G114" s="70">
        <f>19414*11.63-G110</f>
        <v>23655.419999999984</v>
      </c>
      <c r="H114" s="70">
        <f>16848*11.63-H110</f>
        <v>10315.809999999998</v>
      </c>
      <c r="I114" s="70">
        <f>35237*11.63-I110</f>
        <v>14130.450000000012</v>
      </c>
      <c r="J114" s="70">
        <f>9795*11.63-J110</f>
        <v>30912.539999999994</v>
      </c>
      <c r="K114" s="70">
        <f>10363*11.63-K110</f>
        <v>30889.279999999999</v>
      </c>
      <c r="L114" s="70">
        <f>281296-L110</f>
        <v>99481</v>
      </c>
      <c r="M114" s="70">
        <f>257064-M110</f>
        <v>41171</v>
      </c>
      <c r="N114" s="70">
        <f>302077-N110</f>
        <v>69119</v>
      </c>
      <c r="O114" s="70">
        <v>56352</v>
      </c>
      <c r="P114" s="70">
        <v>36139</v>
      </c>
      <c r="Q114" s="70">
        <v>118115</v>
      </c>
    </row>
    <row r="115" spans="2:19" hidden="1" x14ac:dyDescent="0.25">
      <c r="B115" s="68" t="s">
        <v>178</v>
      </c>
      <c r="C115" s="96">
        <f t="shared" ref="C115" si="18">C113/C114/20</f>
        <v>18.57469809736919</v>
      </c>
      <c r="D115" s="96">
        <f t="shared" ref="D115" si="19">D113/D114/20</f>
        <v>13.560961633457577</v>
      </c>
      <c r="E115" s="96">
        <f t="shared" ref="E115" si="20">E113/E114/20</f>
        <v>11.072579168801377</v>
      </c>
      <c r="F115" s="96">
        <f t="shared" ref="F115" si="21">F113/F114/20</f>
        <v>9.859940882056808</v>
      </c>
      <c r="G115" s="96">
        <f t="shared" ref="G115" si="22">G113/G114/20</f>
        <v>8.7886835236914056</v>
      </c>
      <c r="H115" s="96">
        <f t="shared" ref="H115" si="23">H113/H114/20</f>
        <v>19.949960303650421</v>
      </c>
      <c r="I115" s="96">
        <f t="shared" ref="I115" si="24">I113/I114/20</f>
        <v>21.895976419717684</v>
      </c>
      <c r="J115" s="96">
        <f t="shared" ref="J115" si="25">J113/J114/20</f>
        <v>10.825703743529328</v>
      </c>
      <c r="K115" s="96">
        <f t="shared" ref="K115" si="26">K113/K114/20</f>
        <v>14.875710926250141</v>
      </c>
      <c r="L115" s="96">
        <f t="shared" ref="L115" si="27">L113/L114/20</f>
        <v>6.967662166644887</v>
      </c>
      <c r="M115" s="96">
        <f t="shared" ref="M115" si="28">M113/M114/20</f>
        <v>10.985888125136626</v>
      </c>
      <c r="N115" s="96">
        <f>N113/N114/20</f>
        <v>15.475484309668833</v>
      </c>
      <c r="O115" s="96">
        <f>O113/O114/20</f>
        <v>12.281729131175469</v>
      </c>
      <c r="P115" s="96">
        <f>P113/P114/20</f>
        <v>31.894835219568886</v>
      </c>
      <c r="Q115" s="70">
        <v>18</v>
      </c>
    </row>
    <row r="116" spans="2:19" hidden="1" x14ac:dyDescent="0.25"/>
    <row r="117" spans="2:19" hidden="1" x14ac:dyDescent="0.25"/>
    <row r="118" spans="2:19" hidden="1" x14ac:dyDescent="0.25">
      <c r="C118" s="50">
        <f t="shared" ref="C118:J118" si="29">C109+C113</f>
        <v>4275000</v>
      </c>
      <c r="D118" s="50">
        <f t="shared" si="29"/>
        <v>20921000</v>
      </c>
      <c r="E118" s="50">
        <f t="shared" si="29"/>
        <v>26103000</v>
      </c>
      <c r="F118" s="50">
        <f t="shared" si="29"/>
        <v>14484000</v>
      </c>
      <c r="G118" s="50">
        <f t="shared" si="29"/>
        <v>9165000</v>
      </c>
      <c r="H118" s="50">
        <f t="shared" si="29"/>
        <v>11592000</v>
      </c>
      <c r="I118" s="50">
        <f t="shared" si="29"/>
        <v>19713000</v>
      </c>
      <c r="J118" s="50">
        <f t="shared" si="29"/>
        <v>17268000</v>
      </c>
      <c r="K118" s="50">
        <f>K109+K113</f>
        <v>17595000</v>
      </c>
      <c r="L118" s="50">
        <f t="shared" ref="L118:Q118" si="30">L109+L113</f>
        <v>22502000</v>
      </c>
      <c r="M118" s="50">
        <f t="shared" si="30"/>
        <v>29225000</v>
      </c>
      <c r="N118" s="50">
        <f t="shared" si="30"/>
        <v>30245000</v>
      </c>
      <c r="O118" s="50">
        <f t="shared" si="30"/>
        <v>22898000</v>
      </c>
      <c r="P118" s="50">
        <f t="shared" si="30"/>
        <v>34265609</v>
      </c>
      <c r="Q118" s="50">
        <f t="shared" si="30"/>
        <v>58888681</v>
      </c>
    </row>
    <row r="119" spans="2:19" hidden="1" x14ac:dyDescent="0.25">
      <c r="C119" s="50">
        <f t="shared" ref="C119:J119" si="31">C110+C114</f>
        <v>39914.160000000003</v>
      </c>
      <c r="D119" s="50">
        <f t="shared" si="31"/>
        <v>149829.29</v>
      </c>
      <c r="E119" s="50">
        <f t="shared" si="31"/>
        <v>352319.22000000003</v>
      </c>
      <c r="F119" s="50">
        <f t="shared" si="31"/>
        <v>139455.33000000002</v>
      </c>
      <c r="G119" s="50">
        <f t="shared" si="31"/>
        <v>225784.82</v>
      </c>
      <c r="H119" s="50">
        <f t="shared" si="31"/>
        <v>195942.24000000002</v>
      </c>
      <c r="I119" s="50">
        <f t="shared" si="31"/>
        <v>409806.31000000006</v>
      </c>
      <c r="J119" s="50">
        <f t="shared" si="31"/>
        <v>113915.85</v>
      </c>
      <c r="K119" s="50">
        <f>K110+K114</f>
        <v>120521.69</v>
      </c>
      <c r="L119" s="50">
        <f t="shared" ref="L119:Q119" si="32">L110+L114</f>
        <v>281296</v>
      </c>
      <c r="M119" s="50">
        <f t="shared" si="32"/>
        <v>257064</v>
      </c>
      <c r="N119" s="50">
        <f t="shared" si="32"/>
        <v>302077</v>
      </c>
      <c r="O119" s="50">
        <f t="shared" si="32"/>
        <v>308454</v>
      </c>
      <c r="P119" s="50">
        <f t="shared" si="32"/>
        <v>231838</v>
      </c>
      <c r="Q119" s="50">
        <f t="shared" si="32"/>
        <v>323454</v>
      </c>
    </row>
    <row r="120" spans="2:19" hidden="1" x14ac:dyDescent="0.25">
      <c r="C120" s="2">
        <f t="shared" ref="C120:P120" si="33">C118/C119/20</f>
        <v>5.3552423500832784</v>
      </c>
      <c r="D120" s="2">
        <f t="shared" si="33"/>
        <v>6.9816122067988173</v>
      </c>
      <c r="E120" s="2">
        <f t="shared" si="33"/>
        <v>3.704453024163711</v>
      </c>
      <c r="F120" s="2">
        <f t="shared" si="33"/>
        <v>5.1930607456882418</v>
      </c>
      <c r="G120" s="2">
        <f t="shared" si="33"/>
        <v>2.0295872858060164</v>
      </c>
      <c r="H120" s="2">
        <f t="shared" si="33"/>
        <v>2.9580145659251418</v>
      </c>
      <c r="I120" s="2">
        <f t="shared" si="33"/>
        <v>2.4051606233198308</v>
      </c>
      <c r="J120" s="2">
        <f t="shared" si="33"/>
        <v>7.5792789150939042</v>
      </c>
      <c r="K120" s="2">
        <f t="shared" si="33"/>
        <v>7.2995159626453958</v>
      </c>
      <c r="L120" s="2">
        <f t="shared" si="33"/>
        <v>3.9997013821739378</v>
      </c>
      <c r="M120" s="2">
        <f t="shared" si="33"/>
        <v>5.6843820993993717</v>
      </c>
      <c r="N120" s="2">
        <f t="shared" si="33"/>
        <v>5.0061739225429278</v>
      </c>
      <c r="O120" s="2">
        <f t="shared" si="33"/>
        <v>3.7117365960564621</v>
      </c>
      <c r="P120" s="2">
        <f t="shared" si="33"/>
        <v>7.3899897773445247</v>
      </c>
      <c r="Q120" s="2">
        <f>Q118/Q119/20</f>
        <v>9.1030998225404538</v>
      </c>
    </row>
    <row r="121" spans="2:19" hidden="1" x14ac:dyDescent="0.25">
      <c r="S121" s="32"/>
    </row>
    <row r="122" spans="2:19" hidden="1" x14ac:dyDescent="0.25">
      <c r="S122" s="32"/>
    </row>
    <row r="123" spans="2:19" hidden="1" x14ac:dyDescent="0.25">
      <c r="S123" s="32"/>
    </row>
    <row r="124" spans="2:19" hidden="1" x14ac:dyDescent="0.25"/>
    <row r="125" spans="2:19" hidden="1" x14ac:dyDescent="0.25"/>
    <row r="126" spans="2:19" hidden="1" x14ac:dyDescent="0.25"/>
    <row r="127" spans="2:19" hidden="1" x14ac:dyDescent="0.25"/>
    <row r="128" spans="2:19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52E3A-04C1-4A1D-8586-371438CF0A20}">
  <sheetPr>
    <tabColor theme="7" tint="0.39997558519241921"/>
  </sheetPr>
  <dimension ref="B2:E109"/>
  <sheetViews>
    <sheetView tabSelected="1" zoomScale="70" zoomScaleNormal="7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4" sqref="B4:E17"/>
    </sheetView>
  </sheetViews>
  <sheetFormatPr baseColWidth="10" defaultRowHeight="15" x14ac:dyDescent="0.25"/>
  <cols>
    <col min="1" max="1" width="4.28515625" style="2" customWidth="1"/>
    <col min="2" max="2" width="59.28515625" style="2" customWidth="1"/>
    <col min="3" max="3" width="14.7109375" style="2" customWidth="1"/>
    <col min="4" max="4" width="15.140625" style="2" customWidth="1"/>
    <col min="5" max="5" width="14.140625" style="2" customWidth="1"/>
    <col min="6" max="16384" width="11.42578125" style="2"/>
  </cols>
  <sheetData>
    <row r="2" spans="2:5" x14ac:dyDescent="0.25">
      <c r="B2" s="1" t="s">
        <v>27</v>
      </c>
    </row>
    <row r="4" spans="2:5" ht="38.25" x14ac:dyDescent="0.25">
      <c r="B4" s="14"/>
      <c r="C4" s="129" t="s">
        <v>195</v>
      </c>
      <c r="D4" s="15" t="s">
        <v>196</v>
      </c>
      <c r="E4" s="129" t="s">
        <v>197</v>
      </c>
    </row>
    <row r="5" spans="2:5" x14ac:dyDescent="0.25">
      <c r="B5" s="6" t="s">
        <v>20</v>
      </c>
      <c r="C5" s="8">
        <f>'FC Prod GWh FC'!Q5</f>
        <v>980.98024304952241</v>
      </c>
      <c r="D5" s="8">
        <f>'FC Aide k€ FC'!Q12</f>
        <v>183974.3801241254</v>
      </c>
      <c r="E5" s="130">
        <f>'FC Invest. k€'!Q13</f>
        <v>485962.50219223078</v>
      </c>
    </row>
    <row r="6" spans="2:5" x14ac:dyDescent="0.25">
      <c r="B6" s="6" t="s">
        <v>21</v>
      </c>
      <c r="C6" s="8">
        <f>'FC Prod GWh FC'!Q6</f>
        <v>354.63900000000001</v>
      </c>
      <c r="D6" s="8">
        <f>'FC Aide k€ FC'!Q13</f>
        <v>37488.382899999997</v>
      </c>
      <c r="E6" s="130">
        <f>'FC Invest. k€'!Q14</f>
        <v>102155.7043</v>
      </c>
    </row>
    <row r="7" spans="2:5" x14ac:dyDescent="0.25">
      <c r="B7" s="6" t="s">
        <v>9</v>
      </c>
      <c r="C7" s="8">
        <f>'FC Prod GWh FC'!Q7</f>
        <v>341.02234884926185</v>
      </c>
      <c r="D7" s="8">
        <f>'FC Aide k€ FC'!Q14</f>
        <v>58888.681121383961</v>
      </c>
      <c r="E7" s="130">
        <f>'FC Invest. k€'!Q15</f>
        <v>208084.23929941608</v>
      </c>
    </row>
    <row r="8" spans="2:5" x14ac:dyDescent="0.25">
      <c r="B8" s="6" t="s">
        <v>10</v>
      </c>
      <c r="C8" s="8">
        <f>'FC Prod GWh FC'!Q8</f>
        <v>278.00900000000001</v>
      </c>
      <c r="D8" s="8">
        <f>'FC Aide k€ FC'!Q15</f>
        <v>8581.8089999999993</v>
      </c>
      <c r="E8" s="130">
        <f>'FC Invest. k€'!Q16</f>
        <v>124626.83364</v>
      </c>
    </row>
    <row r="9" spans="2:5" x14ac:dyDescent="0.25">
      <c r="B9" s="6" t="s">
        <v>11</v>
      </c>
      <c r="C9" s="8">
        <f>'FC Prod GWh FC'!Q9</f>
        <v>47.615195878140142</v>
      </c>
      <c r="D9" s="8">
        <f>'FC Aide k€ FC'!Q16</f>
        <v>21826.602434490673</v>
      </c>
      <c r="E9" s="130">
        <f>'FC Invest. k€'!Q17</f>
        <v>40722.166772947778</v>
      </c>
    </row>
    <row r="10" spans="2:5" x14ac:dyDescent="0.25">
      <c r="B10" s="6" t="s">
        <v>22</v>
      </c>
      <c r="C10" s="8">
        <f>'FC Prod GWh FC'!Q10</f>
        <v>283.11200000000002</v>
      </c>
      <c r="D10" s="8">
        <f>'FC Aide k€ FC'!Q17</f>
        <v>197508.58246999999</v>
      </c>
      <c r="E10" s="130">
        <f>'FC Invest. k€'!Q18</f>
        <v>486689.56617999997</v>
      </c>
    </row>
    <row r="11" spans="2:5" x14ac:dyDescent="0.25">
      <c r="B11" s="6" t="s">
        <v>23</v>
      </c>
      <c r="C11" s="8">
        <f>'FC Prod GWh FC'!Q11</f>
        <v>512.86299985000005</v>
      </c>
      <c r="D11" s="8">
        <f>'FC Aide k€ FC'!Q18</f>
        <v>25467.352200000001</v>
      </c>
      <c r="E11" s="130">
        <f>'FC Invest. k€'!Q19</f>
        <v>93213.612039999993</v>
      </c>
    </row>
    <row r="12" spans="2:5" x14ac:dyDescent="0.25">
      <c r="B12" s="6" t="s">
        <v>14</v>
      </c>
      <c r="C12" s="8">
        <f>'FC Prod GWh FC'!Q12</f>
        <v>0</v>
      </c>
      <c r="D12" s="8">
        <f>'FC Aide k€ FC'!Q19</f>
        <v>0</v>
      </c>
      <c r="E12" s="130">
        <f>'FC Invest. k€'!Q20</f>
        <v>0</v>
      </c>
    </row>
    <row r="13" spans="2:5" x14ac:dyDescent="0.25">
      <c r="B13" s="6" t="s">
        <v>24</v>
      </c>
      <c r="C13" s="8">
        <f>'FC Prod GWh FC'!Q13</f>
        <v>19.298999999999999</v>
      </c>
      <c r="D13" s="8">
        <f>'FC Aide k€ FC'!Q20</f>
        <v>2364.4777200000003</v>
      </c>
      <c r="E13" s="130">
        <f>'FC Invest. k€'!Q21</f>
        <v>6459.7429900000006</v>
      </c>
    </row>
    <row r="14" spans="2:5" x14ac:dyDescent="0.25">
      <c r="B14" s="9" t="s">
        <v>16</v>
      </c>
      <c r="C14" s="12">
        <f>'FC Prod GWh FC'!Q14</f>
        <v>2817.5397876269244</v>
      </c>
      <c r="D14" s="12">
        <f>'FC Aide k€ FC'!Q21</f>
        <v>536100.26796999993</v>
      </c>
      <c r="E14" s="131">
        <f>'FC Invest. k€'!Q22</f>
        <v>1547914.3674145944</v>
      </c>
    </row>
    <row r="15" spans="2:5" x14ac:dyDescent="0.25">
      <c r="E15" s="132"/>
    </row>
    <row r="16" spans="2:5" x14ac:dyDescent="0.25">
      <c r="B16" s="6" t="s">
        <v>161</v>
      </c>
      <c r="C16" s="8">
        <f>'FC Prod GWh FC'!Q16</f>
        <v>2396.335</v>
      </c>
      <c r="D16" s="8">
        <f>'FC Aide k€ FC'!Q23</f>
        <v>203429.81700000001</v>
      </c>
      <c r="E16" s="130">
        <f>'FC Invest. k€'!Q24</f>
        <v>537708.89899999998</v>
      </c>
    </row>
    <row r="17" spans="2:5" x14ac:dyDescent="0.25">
      <c r="B17" s="9" t="s">
        <v>164</v>
      </c>
      <c r="C17" s="10">
        <f>'FC Prod GWh FC'!Q17</f>
        <v>5213.8747876269244</v>
      </c>
      <c r="D17" s="10">
        <f>'FC Aide k€ FC'!Q24</f>
        <v>739530.08496999997</v>
      </c>
      <c r="E17" s="133">
        <f>'FC Invest. k€'!Q25</f>
        <v>2085623.2664145944</v>
      </c>
    </row>
    <row r="18" spans="2:5" x14ac:dyDescent="0.25">
      <c r="C18" s="92"/>
    </row>
    <row r="19" spans="2:5" x14ac:dyDescent="0.25">
      <c r="C19" s="50"/>
    </row>
    <row r="20" spans="2:5" x14ac:dyDescent="0.25">
      <c r="B20" s="64" t="s">
        <v>185</v>
      </c>
      <c r="C20" s="92"/>
    </row>
    <row r="21" spans="2:5" x14ac:dyDescent="0.25">
      <c r="B21" s="54" t="s">
        <v>63</v>
      </c>
      <c r="C21" s="53"/>
      <c r="D21" s="117"/>
    </row>
    <row r="22" spans="2:5" x14ac:dyDescent="0.25">
      <c r="B22" s="54" t="s">
        <v>64</v>
      </c>
      <c r="C22" s="53"/>
      <c r="D22" s="117"/>
    </row>
    <row r="23" spans="2:5" x14ac:dyDescent="0.25">
      <c r="B23" s="54" t="s">
        <v>65</v>
      </c>
      <c r="C23" s="53"/>
      <c r="D23" s="117"/>
    </row>
    <row r="24" spans="2:5" x14ac:dyDescent="0.25">
      <c r="B24" s="54" t="s">
        <v>66</v>
      </c>
      <c r="C24" s="53">
        <v>290.70024304952244</v>
      </c>
      <c r="D24" s="117"/>
    </row>
    <row r="25" spans="2:5" x14ac:dyDescent="0.25">
      <c r="B25" s="54" t="s">
        <v>67</v>
      </c>
      <c r="C25" s="53">
        <v>4.263413878140133</v>
      </c>
      <c r="D25" s="117"/>
    </row>
    <row r="26" spans="2:5" x14ac:dyDescent="0.25">
      <c r="B26" s="54" t="s">
        <v>68</v>
      </c>
      <c r="C26" s="53">
        <v>16.628948849261853</v>
      </c>
      <c r="D26" s="117"/>
    </row>
    <row r="27" spans="2:5" x14ac:dyDescent="0.25">
      <c r="B27" s="54" t="s">
        <v>69</v>
      </c>
      <c r="C27" s="53"/>
      <c r="D27" s="117"/>
    </row>
    <row r="28" spans="2:5" x14ac:dyDescent="0.25">
      <c r="B28" s="54" t="s">
        <v>70</v>
      </c>
      <c r="C28" s="53"/>
      <c r="D28" s="117"/>
    </row>
    <row r="29" spans="2:5" x14ac:dyDescent="0.25">
      <c r="B29" s="54" t="s">
        <v>71</v>
      </c>
      <c r="C29" s="53"/>
      <c r="D29" s="118"/>
    </row>
    <row r="30" spans="2:5" x14ac:dyDescent="0.25">
      <c r="B30" s="54" t="s">
        <v>72</v>
      </c>
      <c r="C30" s="53"/>
      <c r="D30" s="118"/>
    </row>
    <row r="31" spans="2:5" x14ac:dyDescent="0.25">
      <c r="B31" s="54" t="s">
        <v>73</v>
      </c>
      <c r="C31" s="53"/>
      <c r="D31" s="118"/>
    </row>
    <row r="32" spans="2:5" x14ac:dyDescent="0.25">
      <c r="B32" s="54" t="s">
        <v>74</v>
      </c>
      <c r="C32" s="53"/>
      <c r="D32" s="118"/>
    </row>
    <row r="33" spans="2:4" x14ac:dyDescent="0.25">
      <c r="B33" s="54" t="s">
        <v>78</v>
      </c>
      <c r="C33" s="53"/>
      <c r="D33" s="118"/>
    </row>
    <row r="34" spans="2:4" x14ac:dyDescent="0.25">
      <c r="B34" s="54" t="s">
        <v>1</v>
      </c>
      <c r="C34" s="57">
        <f t="shared" ref="C34" si="0">SUM(C21:C33)</f>
        <v>311.59260577692442</v>
      </c>
      <c r="D34" s="118"/>
    </row>
    <row r="37" spans="2:4" x14ac:dyDescent="0.25">
      <c r="B37" s="64" t="s">
        <v>100</v>
      </c>
    </row>
    <row r="38" spans="2:4" x14ac:dyDescent="0.25">
      <c r="B38" s="9" t="s">
        <v>16</v>
      </c>
      <c r="C38" s="10">
        <f>C14</f>
        <v>2817.5397876269244</v>
      </c>
      <c r="D38" s="116"/>
    </row>
    <row r="39" spans="2:4" x14ac:dyDescent="0.25">
      <c r="B39" s="9" t="s">
        <v>75</v>
      </c>
      <c r="C39" s="10">
        <f t="shared" ref="C39" si="1">C14-C8</f>
        <v>2539.5307876269244</v>
      </c>
      <c r="D39" s="116"/>
    </row>
    <row r="40" spans="2:4" x14ac:dyDescent="0.25">
      <c r="B40" s="9" t="s">
        <v>80</v>
      </c>
      <c r="C40" s="10">
        <f>C38-C34</f>
        <v>2505.9471818500001</v>
      </c>
      <c r="D40" s="116"/>
    </row>
    <row r="41" spans="2:4" x14ac:dyDescent="0.25">
      <c r="B41" s="9" t="s">
        <v>82</v>
      </c>
      <c r="C41" s="10">
        <f>C38-C6</f>
        <v>2462.9007876269243</v>
      </c>
      <c r="D41" s="116"/>
    </row>
    <row r="42" spans="2:4" x14ac:dyDescent="0.25">
      <c r="B42" s="9" t="s">
        <v>76</v>
      </c>
      <c r="C42" s="10">
        <f t="shared" ref="C42" si="2">C14-C34-C8</f>
        <v>2227.9381818500001</v>
      </c>
      <c r="D42" s="116"/>
    </row>
    <row r="43" spans="2:4" x14ac:dyDescent="0.25">
      <c r="B43" s="9" t="s">
        <v>83</v>
      </c>
      <c r="C43" s="10">
        <f t="shared" ref="C43" si="3">C42-C6</f>
        <v>1873.29918185</v>
      </c>
      <c r="D43" s="116"/>
    </row>
    <row r="44" spans="2:4" x14ac:dyDescent="0.25">
      <c r="B44" s="9" t="s">
        <v>111</v>
      </c>
      <c r="C44" s="10">
        <f t="shared" ref="C44" si="4">C38-C6-C8</f>
        <v>2184.8917876269243</v>
      </c>
      <c r="D44" s="116"/>
    </row>
    <row r="45" spans="2:4" x14ac:dyDescent="0.25">
      <c r="C45" s="50"/>
    </row>
    <row r="46" spans="2:4" x14ac:dyDescent="0.25">
      <c r="B46" s="9" t="s">
        <v>85</v>
      </c>
      <c r="C46" s="59">
        <f>'FC Prod GWh FC (2)'!C6/C14</f>
        <v>0.12586832014134397</v>
      </c>
      <c r="D46" s="119"/>
    </row>
    <row r="48" spans="2:4" x14ac:dyDescent="0.25">
      <c r="C48" s="50"/>
    </row>
    <row r="49" spans="2:4" x14ac:dyDescent="0.25">
      <c r="C49" s="50"/>
    </row>
    <row r="50" spans="2:4" x14ac:dyDescent="0.25">
      <c r="C50" s="50"/>
    </row>
    <row r="51" spans="2:4" x14ac:dyDescent="0.25">
      <c r="C51" s="50"/>
    </row>
    <row r="52" spans="2:4" x14ac:dyDescent="0.25">
      <c r="C52" s="50"/>
    </row>
    <row r="53" spans="2:4" x14ac:dyDescent="0.25">
      <c r="C53" s="50"/>
    </row>
    <row r="54" spans="2:4" x14ac:dyDescent="0.25">
      <c r="C54" s="50"/>
    </row>
    <row r="58" spans="2:4" x14ac:dyDescent="0.25">
      <c r="B58" s="14"/>
      <c r="C58" s="15">
        <v>2023</v>
      </c>
      <c r="D58" s="114"/>
    </row>
    <row r="59" spans="2:4" x14ac:dyDescent="0.25">
      <c r="B59" s="6" t="s">
        <v>21</v>
      </c>
      <c r="C59" s="8">
        <f>C6</f>
        <v>354.63900000000001</v>
      </c>
      <c r="D59" s="115"/>
    </row>
    <row r="60" spans="2:4" x14ac:dyDescent="0.25">
      <c r="B60" s="6" t="s">
        <v>25</v>
      </c>
      <c r="C60" s="8">
        <f>C16</f>
        <v>2396.335</v>
      </c>
      <c r="D60" s="115"/>
    </row>
    <row r="96" spans="2:4" x14ac:dyDescent="0.25">
      <c r="B96" s="14"/>
      <c r="C96" s="15">
        <v>2023</v>
      </c>
      <c r="D96" s="114"/>
    </row>
    <row r="97" spans="2:4" x14ac:dyDescent="0.25">
      <c r="B97" s="6" t="s">
        <v>20</v>
      </c>
      <c r="C97" s="8" t="e">
        <f>#REF!+C5</f>
        <v>#REF!</v>
      </c>
      <c r="D97" s="115"/>
    </row>
    <row r="98" spans="2:4" x14ac:dyDescent="0.25">
      <c r="B98" s="6" t="s">
        <v>21</v>
      </c>
      <c r="C98" s="8" t="e">
        <f>#REF!+C6</f>
        <v>#REF!</v>
      </c>
      <c r="D98" s="115"/>
    </row>
    <row r="99" spans="2:4" x14ac:dyDescent="0.25">
      <c r="B99" s="6" t="s">
        <v>9</v>
      </c>
      <c r="C99" s="8" t="e">
        <f>#REF!+C7</f>
        <v>#REF!</v>
      </c>
      <c r="D99" s="115"/>
    </row>
    <row r="100" spans="2:4" x14ac:dyDescent="0.25">
      <c r="B100" s="6" t="s">
        <v>10</v>
      </c>
      <c r="C100" s="8" t="e">
        <f>#REF!+C8</f>
        <v>#REF!</v>
      </c>
      <c r="D100" s="115"/>
    </row>
    <row r="101" spans="2:4" x14ac:dyDescent="0.25">
      <c r="B101" s="6" t="s">
        <v>11</v>
      </c>
      <c r="C101" s="8" t="e">
        <f>#REF!+C9</f>
        <v>#REF!</v>
      </c>
      <c r="D101" s="115"/>
    </row>
    <row r="102" spans="2:4" x14ac:dyDescent="0.25">
      <c r="B102" s="6" t="s">
        <v>22</v>
      </c>
      <c r="C102" s="8" t="e">
        <f>#REF!+C10</f>
        <v>#REF!</v>
      </c>
      <c r="D102" s="115"/>
    </row>
    <row r="103" spans="2:4" x14ac:dyDescent="0.25">
      <c r="B103" s="6" t="s">
        <v>23</v>
      </c>
      <c r="C103" s="8" t="e">
        <f>#REF!+C11</f>
        <v>#REF!</v>
      </c>
      <c r="D103" s="115"/>
    </row>
    <row r="104" spans="2:4" x14ac:dyDescent="0.25">
      <c r="B104" s="6" t="s">
        <v>14</v>
      </c>
      <c r="C104" s="8" t="e">
        <f>#REF!+C12</f>
        <v>#REF!</v>
      </c>
      <c r="D104" s="115"/>
    </row>
    <row r="105" spans="2:4" x14ac:dyDescent="0.25">
      <c r="B105" s="6" t="s">
        <v>24</v>
      </c>
      <c r="C105" s="8" t="e">
        <f>#REF!+C13</f>
        <v>#REF!</v>
      </c>
      <c r="D105" s="115"/>
    </row>
    <row r="106" spans="2:4" x14ac:dyDescent="0.25">
      <c r="B106" s="9" t="s">
        <v>186</v>
      </c>
      <c r="C106" s="8" t="e">
        <f>#REF!+C14</f>
        <v>#REF!</v>
      </c>
      <c r="D106" s="116"/>
    </row>
    <row r="107" spans="2:4" x14ac:dyDescent="0.25">
      <c r="C107" s="8" t="e">
        <f>#REF!+C15</f>
        <v>#REF!</v>
      </c>
    </row>
    <row r="108" spans="2:4" x14ac:dyDescent="0.25">
      <c r="B108" s="6" t="s">
        <v>161</v>
      </c>
      <c r="C108" s="8" t="e">
        <f>#REF!+C16</f>
        <v>#REF!</v>
      </c>
      <c r="D108" s="115"/>
    </row>
    <row r="109" spans="2:4" x14ac:dyDescent="0.25">
      <c r="B109" s="9" t="s">
        <v>187</v>
      </c>
      <c r="C109" s="8" t="e">
        <f>#REF!+C17</f>
        <v>#REF!</v>
      </c>
      <c r="D109" s="116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E13D2-DBF5-42B7-A24D-5D5D52B105E6}">
  <sheetPr>
    <tabColor theme="7" tint="0.39997558519241921"/>
  </sheetPr>
  <dimension ref="B2:U109"/>
  <sheetViews>
    <sheetView zoomScale="70" zoomScaleNormal="7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1" sqref="C1:P1048576"/>
    </sheetView>
  </sheetViews>
  <sheetFormatPr baseColWidth="10" defaultRowHeight="15" x14ac:dyDescent="0.25"/>
  <cols>
    <col min="1" max="1" width="4.28515625" style="2" customWidth="1"/>
    <col min="2" max="2" width="59.28515625" style="2" customWidth="1"/>
    <col min="3" max="15" width="11.42578125" style="2"/>
    <col min="16" max="16" width="12.85546875" style="2" customWidth="1"/>
    <col min="17" max="17" width="14.7109375" style="2" customWidth="1"/>
    <col min="18" max="19" width="15" style="2" customWidth="1"/>
    <col min="20" max="20" width="41" style="2" customWidth="1"/>
    <col min="21" max="16384" width="11.42578125" style="2"/>
  </cols>
  <sheetData>
    <row r="2" spans="2:21" x14ac:dyDescent="0.25">
      <c r="B2" s="1" t="s">
        <v>27</v>
      </c>
    </row>
    <row r="4" spans="2:21" x14ac:dyDescent="0.25">
      <c r="B4" s="14"/>
      <c r="C4" s="15">
        <v>2009</v>
      </c>
      <c r="D4" s="15">
        <v>2010</v>
      </c>
      <c r="E4" s="15">
        <v>2011</v>
      </c>
      <c r="F4" s="15">
        <v>2012</v>
      </c>
      <c r="G4" s="15">
        <v>2013</v>
      </c>
      <c r="H4" s="15">
        <v>2014</v>
      </c>
      <c r="I4" s="15">
        <v>2015</v>
      </c>
      <c r="J4" s="15">
        <v>2016</v>
      </c>
      <c r="K4" s="15">
        <v>2017</v>
      </c>
      <c r="L4" s="15">
        <v>2018</v>
      </c>
      <c r="M4" s="15">
        <v>2019</v>
      </c>
      <c r="N4" s="15">
        <v>2020</v>
      </c>
      <c r="O4" s="15">
        <v>2021</v>
      </c>
      <c r="P4" s="15">
        <v>2022</v>
      </c>
      <c r="Q4" s="15">
        <v>2023</v>
      </c>
      <c r="R4" s="16" t="s">
        <v>1</v>
      </c>
      <c r="S4" s="120"/>
      <c r="T4" s="32" t="s">
        <v>194</v>
      </c>
      <c r="U4" s="126">
        <v>2023</v>
      </c>
    </row>
    <row r="5" spans="2:21" x14ac:dyDescent="0.25">
      <c r="B5" s="6" t="s">
        <v>20</v>
      </c>
      <c r="C5" s="7">
        <v>457.57072000000005</v>
      </c>
      <c r="D5" s="8">
        <v>730.52682000000004</v>
      </c>
      <c r="E5" s="7">
        <v>1363.71054</v>
      </c>
      <c r="F5" s="8">
        <v>1471.57879</v>
      </c>
      <c r="G5" s="7">
        <v>1228.17452</v>
      </c>
      <c r="H5" s="8">
        <v>811.3204300000001</v>
      </c>
      <c r="I5" s="7">
        <v>514.30186000000003</v>
      </c>
      <c r="J5" s="8">
        <v>371.78784000000002</v>
      </c>
      <c r="K5" s="7">
        <v>617.45996000000002</v>
      </c>
      <c r="L5" s="8">
        <v>582.42200000000003</v>
      </c>
      <c r="M5" s="7">
        <v>694.76400000000001</v>
      </c>
      <c r="N5" s="8">
        <v>621.90200000000004</v>
      </c>
      <c r="O5" s="7">
        <v>537.95500000000004</v>
      </c>
      <c r="P5" s="8">
        <v>666.06799999999998</v>
      </c>
      <c r="Q5" s="8">
        <v>980.98024304952241</v>
      </c>
      <c r="R5" s="7">
        <f>SUM(C5:Q5)</f>
        <v>11650.52272304952</v>
      </c>
      <c r="S5" s="115"/>
      <c r="T5" s="6" t="s">
        <v>20</v>
      </c>
      <c r="U5" s="124">
        <f>Q5/11.64</f>
        <v>84.276653182948664</v>
      </c>
    </row>
    <row r="6" spans="2:21" x14ac:dyDescent="0.25">
      <c r="B6" s="6" t="s">
        <v>21</v>
      </c>
      <c r="C6" s="7">
        <v>1714.3201500000002</v>
      </c>
      <c r="D6" s="8">
        <v>2629.1126899999999</v>
      </c>
      <c r="E6" s="7">
        <v>1259.9825700000001</v>
      </c>
      <c r="F6" s="8">
        <v>1211.0667900000001</v>
      </c>
      <c r="G6" s="7">
        <v>851.52534000000003</v>
      </c>
      <c r="H6" s="8">
        <v>842.88424999999995</v>
      </c>
      <c r="I6" s="7">
        <v>896.13801999999998</v>
      </c>
      <c r="J6" s="8">
        <v>605.4694300000001</v>
      </c>
      <c r="K6" s="7">
        <v>116.77683</v>
      </c>
      <c r="L6" s="8">
        <v>397.13899999999995</v>
      </c>
      <c r="M6" s="7">
        <v>860.57100000000003</v>
      </c>
      <c r="N6" s="8">
        <v>1149.52</v>
      </c>
      <c r="O6" s="7">
        <v>814.08600000000001</v>
      </c>
      <c r="P6" s="8">
        <v>1178.8050000000001</v>
      </c>
      <c r="Q6" s="8">
        <v>354.63900000000001</v>
      </c>
      <c r="R6" s="7">
        <f t="shared" ref="R6:R12" si="0">SUM(C6:Q6)</f>
        <v>14882.03607</v>
      </c>
      <c r="S6" s="115"/>
      <c r="T6" s="6" t="s">
        <v>21</v>
      </c>
      <c r="U6" s="124">
        <f t="shared" ref="U6:U13" si="1">Q6/11.64</f>
        <v>30.467268041237112</v>
      </c>
    </row>
    <row r="7" spans="2:21" x14ac:dyDescent="0.25">
      <c r="B7" s="6" t="s">
        <v>9</v>
      </c>
      <c r="C7" s="7">
        <v>39.914160000000003</v>
      </c>
      <c r="D7" s="8">
        <v>149.82929000000001</v>
      </c>
      <c r="E7" s="7">
        <v>353.93579000000005</v>
      </c>
      <c r="F7" s="8">
        <v>160.82686100000001</v>
      </c>
      <c r="G7" s="7">
        <v>232.87619899999993</v>
      </c>
      <c r="H7" s="8">
        <v>199.11723000000001</v>
      </c>
      <c r="I7" s="7">
        <v>412.2835</v>
      </c>
      <c r="J7" s="8">
        <v>179.52068000000003</v>
      </c>
      <c r="K7" s="7">
        <v>142.73499000000001</v>
      </c>
      <c r="L7" s="8">
        <v>343.41500000000002</v>
      </c>
      <c r="M7" s="7">
        <v>257.87599999999998</v>
      </c>
      <c r="N7" s="8">
        <v>352.12200000000001</v>
      </c>
      <c r="O7" s="7">
        <v>332.03</v>
      </c>
      <c r="P7" s="8">
        <v>231.93916000000002</v>
      </c>
      <c r="Q7" s="8">
        <v>341.02234884926185</v>
      </c>
      <c r="R7" s="7">
        <f t="shared" si="0"/>
        <v>3729.4432088492622</v>
      </c>
      <c r="S7" s="115"/>
      <c r="T7" s="6" t="s">
        <v>9</v>
      </c>
      <c r="U7" s="124">
        <f t="shared" si="1"/>
        <v>29.297452650280224</v>
      </c>
    </row>
    <row r="8" spans="2:21" x14ac:dyDescent="0.25">
      <c r="B8" s="6" t="s">
        <v>10</v>
      </c>
      <c r="C8" s="7">
        <v>16.386670000000002</v>
      </c>
      <c r="D8" s="8">
        <v>36.390270000000001</v>
      </c>
      <c r="E8" s="7">
        <v>93.388900000000007</v>
      </c>
      <c r="F8" s="8">
        <v>166.58400999999998</v>
      </c>
      <c r="G8" s="7">
        <v>117.28499999999998</v>
      </c>
      <c r="H8" s="8">
        <v>241.81096000000002</v>
      </c>
      <c r="I8" s="7">
        <v>417.59841000000006</v>
      </c>
      <c r="J8" s="8">
        <v>343.60835000000003</v>
      </c>
      <c r="K8" s="7">
        <v>298.32112999999998</v>
      </c>
      <c r="L8" s="8">
        <v>628.61500000000001</v>
      </c>
      <c r="M8" s="7">
        <v>1122.0540000000001</v>
      </c>
      <c r="N8" s="8">
        <v>1125.9190000000001</v>
      </c>
      <c r="O8" s="7">
        <v>1352.59</v>
      </c>
      <c r="P8" s="8">
        <v>510.64600000000002</v>
      </c>
      <c r="Q8" s="8">
        <v>278.00900000000001</v>
      </c>
      <c r="R8" s="7">
        <f t="shared" si="0"/>
        <v>6749.2066999999997</v>
      </c>
      <c r="S8" s="115"/>
      <c r="T8" s="6" t="s">
        <v>10</v>
      </c>
      <c r="U8" s="124">
        <f t="shared" si="1"/>
        <v>23.88393470790378</v>
      </c>
    </row>
    <row r="9" spans="2:21" x14ac:dyDescent="0.25">
      <c r="B9" s="6" t="s">
        <v>11</v>
      </c>
      <c r="C9" s="7">
        <v>12.223130000000001</v>
      </c>
      <c r="D9" s="8">
        <v>19.108090000000001</v>
      </c>
      <c r="E9" s="7">
        <v>18.514960000000002</v>
      </c>
      <c r="F9" s="8">
        <v>11.211086000000002</v>
      </c>
      <c r="G9" s="7">
        <v>6.8817440000000003</v>
      </c>
      <c r="H9" s="8">
        <v>5.4893600000000005</v>
      </c>
      <c r="I9" s="7">
        <v>4.0356100000000001</v>
      </c>
      <c r="J9" s="8">
        <v>2.8958700000000004</v>
      </c>
      <c r="K9" s="7">
        <v>6.8617000000000008</v>
      </c>
      <c r="L9" s="8">
        <v>11.489000000000001</v>
      </c>
      <c r="M9" s="7">
        <v>26.143000000000001</v>
      </c>
      <c r="N9" s="8">
        <v>7.8109999999999999</v>
      </c>
      <c r="O9" s="7">
        <v>8.1319999999999997</v>
      </c>
      <c r="P9" s="8">
        <v>19.031496000000001</v>
      </c>
      <c r="Q9" s="8">
        <v>47.615195878140142</v>
      </c>
      <c r="R9" s="7">
        <f t="shared" si="0"/>
        <v>207.44324187814016</v>
      </c>
      <c r="S9" s="115"/>
      <c r="T9" s="6" t="s">
        <v>11</v>
      </c>
      <c r="U9" s="124">
        <f t="shared" si="1"/>
        <v>4.0906525668505278</v>
      </c>
    </row>
    <row r="10" spans="2:21" x14ac:dyDescent="0.25">
      <c r="B10" s="6" t="s">
        <v>22</v>
      </c>
      <c r="C10" s="7">
        <v>34.994670000000006</v>
      </c>
      <c r="D10" s="8">
        <v>240.36884000000003</v>
      </c>
      <c r="E10" s="7">
        <v>189.74345000000002</v>
      </c>
      <c r="F10" s="8">
        <v>312.61200000000002</v>
      </c>
      <c r="G10" s="7">
        <v>229.39149999999998</v>
      </c>
      <c r="H10" s="8">
        <v>98.889889999999994</v>
      </c>
      <c r="I10" s="7">
        <v>425.87897000000004</v>
      </c>
      <c r="J10" s="8">
        <v>253.91779</v>
      </c>
      <c r="K10" s="7">
        <v>721.68802000000005</v>
      </c>
      <c r="L10" s="8">
        <v>505.91199999999998</v>
      </c>
      <c r="M10" s="7">
        <v>395.97699999999998</v>
      </c>
      <c r="N10" s="8">
        <v>508.26999999999992</v>
      </c>
      <c r="O10" s="7">
        <v>225.78299999999999</v>
      </c>
      <c r="P10" s="8">
        <v>309.47500000000002</v>
      </c>
      <c r="Q10" s="8">
        <v>283.11200000000002</v>
      </c>
      <c r="R10" s="7">
        <f t="shared" si="0"/>
        <v>4736.0141300000005</v>
      </c>
      <c r="S10" s="115"/>
      <c r="T10" s="6" t="s">
        <v>22</v>
      </c>
      <c r="U10" s="124">
        <f t="shared" si="1"/>
        <v>24.322336769759453</v>
      </c>
    </row>
    <row r="11" spans="2:21" x14ac:dyDescent="0.25">
      <c r="B11" s="6" t="s">
        <v>23</v>
      </c>
      <c r="C11" s="7">
        <v>0</v>
      </c>
      <c r="D11" s="8">
        <v>52.009360000000001</v>
      </c>
      <c r="E11" s="7">
        <v>33.23854</v>
      </c>
      <c r="F11" s="8">
        <v>146.17699999999999</v>
      </c>
      <c r="G11" s="7">
        <v>32.812529999999995</v>
      </c>
      <c r="H11" s="8">
        <v>25.772080000000003</v>
      </c>
      <c r="I11" s="7">
        <v>246.31177000000002</v>
      </c>
      <c r="J11" s="8">
        <v>319.09231</v>
      </c>
      <c r="K11" s="7">
        <v>90.388360000000006</v>
      </c>
      <c r="L11" s="8">
        <v>97.65000000000002</v>
      </c>
      <c r="M11" s="7">
        <v>283.363</v>
      </c>
      <c r="N11" s="8">
        <v>183.92099999999999</v>
      </c>
      <c r="O11" s="7">
        <v>56.704000000000001</v>
      </c>
      <c r="P11" s="8">
        <v>565.81899999999996</v>
      </c>
      <c r="Q11" s="8">
        <v>512.86299985000005</v>
      </c>
      <c r="R11" s="7">
        <f t="shared" si="0"/>
        <v>2646.1219498500004</v>
      </c>
      <c r="S11" s="115"/>
      <c r="T11" s="6" t="s">
        <v>23</v>
      </c>
      <c r="U11" s="124">
        <f t="shared" si="1"/>
        <v>44.060395176116842</v>
      </c>
    </row>
    <row r="12" spans="2:21" x14ac:dyDescent="0.25">
      <c r="B12" s="6" t="s">
        <v>14</v>
      </c>
      <c r="C12" s="7">
        <v>0</v>
      </c>
      <c r="D12" s="8">
        <v>0</v>
      </c>
      <c r="E12" s="7">
        <v>0</v>
      </c>
      <c r="F12" s="8">
        <v>0</v>
      </c>
      <c r="G12" s="7">
        <v>0</v>
      </c>
      <c r="H12" s="8">
        <v>0</v>
      </c>
      <c r="I12" s="7">
        <v>0</v>
      </c>
      <c r="J12" s="8">
        <v>0</v>
      </c>
      <c r="K12" s="7">
        <v>0</v>
      </c>
      <c r="L12" s="8">
        <v>4.9340000000000002</v>
      </c>
      <c r="M12" s="7">
        <v>203.53299999999996</v>
      </c>
      <c r="N12" s="8">
        <v>0.53300000000000003</v>
      </c>
      <c r="O12" s="7">
        <v>8.4090000000000007</v>
      </c>
      <c r="P12" s="8">
        <v>0</v>
      </c>
      <c r="Q12" s="8"/>
      <c r="R12" s="7">
        <f t="shared" si="0"/>
        <v>217.40899999999993</v>
      </c>
      <c r="S12" s="115"/>
      <c r="T12" s="6" t="s">
        <v>14</v>
      </c>
      <c r="U12" s="124"/>
    </row>
    <row r="13" spans="2:21" x14ac:dyDescent="0.25">
      <c r="B13" s="6" t="s">
        <v>24</v>
      </c>
      <c r="C13" s="7">
        <v>0</v>
      </c>
      <c r="D13" s="8">
        <v>27.516580000000001</v>
      </c>
      <c r="E13" s="7">
        <v>72.745650000000012</v>
      </c>
      <c r="F13" s="8">
        <v>0</v>
      </c>
      <c r="G13" s="7">
        <v>121.336</v>
      </c>
      <c r="H13" s="8">
        <v>3.9193100000000003</v>
      </c>
      <c r="I13" s="7">
        <v>15.828430000000001</v>
      </c>
      <c r="J13" s="8">
        <v>6.7221400000000004</v>
      </c>
      <c r="K13" s="7">
        <v>11.350880000000002</v>
      </c>
      <c r="L13" s="8">
        <v>46.061</v>
      </c>
      <c r="M13" s="7">
        <v>33.238999999999997</v>
      </c>
      <c r="N13" s="8">
        <v>0</v>
      </c>
      <c r="O13" s="7">
        <v>12.529</v>
      </c>
      <c r="P13" s="8">
        <v>197.923</v>
      </c>
      <c r="Q13" s="8">
        <v>19.298999999999999</v>
      </c>
      <c r="R13" s="7">
        <f>SUM(C13:Q13)</f>
        <v>568.46998999999994</v>
      </c>
      <c r="S13" s="115"/>
      <c r="T13" s="6" t="s">
        <v>24</v>
      </c>
      <c r="U13" s="124">
        <f t="shared" si="1"/>
        <v>1.6579896907216494</v>
      </c>
    </row>
    <row r="14" spans="2:21" x14ac:dyDescent="0.25">
      <c r="B14" s="9" t="s">
        <v>16</v>
      </c>
      <c r="C14" s="10">
        <f t="shared" ref="C14:U14" si="2">SUM(C5:C13)</f>
        <v>2275.4094999999998</v>
      </c>
      <c r="D14" s="10">
        <f t="shared" si="2"/>
        <v>3884.8619400000002</v>
      </c>
      <c r="E14" s="10">
        <f t="shared" si="2"/>
        <v>3385.2603999999997</v>
      </c>
      <c r="F14" s="10">
        <f t="shared" si="2"/>
        <v>3480.0565370000004</v>
      </c>
      <c r="G14" s="10">
        <f t="shared" si="2"/>
        <v>2820.2828329999998</v>
      </c>
      <c r="H14" s="10">
        <f t="shared" si="2"/>
        <v>2229.2035100000007</v>
      </c>
      <c r="I14" s="10">
        <f t="shared" si="2"/>
        <v>2932.3765699999999</v>
      </c>
      <c r="J14" s="10">
        <f t="shared" si="2"/>
        <v>2083.0144099999998</v>
      </c>
      <c r="K14" s="10">
        <f t="shared" si="2"/>
        <v>2005.58187</v>
      </c>
      <c r="L14" s="10">
        <f t="shared" si="2"/>
        <v>2617.6370000000002</v>
      </c>
      <c r="M14" s="10">
        <f t="shared" si="2"/>
        <v>3877.52</v>
      </c>
      <c r="N14" s="10">
        <f t="shared" si="2"/>
        <v>3949.9979999999996</v>
      </c>
      <c r="O14" s="10">
        <f t="shared" si="2"/>
        <v>3348.2180000000003</v>
      </c>
      <c r="P14" s="10">
        <f t="shared" si="2"/>
        <v>3679.7066560000003</v>
      </c>
      <c r="Q14" s="10">
        <v>2817.5397876269244</v>
      </c>
      <c r="R14" s="123">
        <f t="shared" si="2"/>
        <v>45386.667013626924</v>
      </c>
      <c r="S14" s="121"/>
      <c r="T14" s="9" t="s">
        <v>16</v>
      </c>
      <c r="U14" s="10">
        <f t="shared" si="2"/>
        <v>242.05668278581828</v>
      </c>
    </row>
    <row r="15" spans="2:21" x14ac:dyDescent="0.25">
      <c r="U15" s="68"/>
    </row>
    <row r="16" spans="2:21" x14ac:dyDescent="0.25">
      <c r="B16" s="6" t="s">
        <v>161</v>
      </c>
      <c r="C16" s="7"/>
      <c r="D16" s="8"/>
      <c r="E16" s="7"/>
      <c r="F16" s="8"/>
      <c r="G16" s="7"/>
      <c r="H16" s="8"/>
      <c r="I16" s="7"/>
      <c r="J16" s="8"/>
      <c r="K16" s="7"/>
      <c r="L16" s="8"/>
      <c r="M16" s="7"/>
      <c r="N16" s="8"/>
      <c r="O16" s="7">
        <v>1558.453</v>
      </c>
      <c r="P16" s="8">
        <v>2632.7939999999999</v>
      </c>
      <c r="Q16" s="8">
        <v>2396.335</v>
      </c>
      <c r="R16" s="7">
        <f>SUM(C16:Q16)</f>
        <v>6587.5819999999994</v>
      </c>
      <c r="S16" s="115"/>
      <c r="U16" s="72">
        <f>Q16/11.64</f>
        <v>205.87070446735393</v>
      </c>
    </row>
    <row r="17" spans="2:21" x14ac:dyDescent="0.25">
      <c r="B17" s="9" t="s">
        <v>164</v>
      </c>
      <c r="C17" s="10">
        <f>C14</f>
        <v>2275.4094999999998</v>
      </c>
      <c r="D17" s="10">
        <f t="shared" ref="D17:N17" si="3">D14</f>
        <v>3884.8619400000002</v>
      </c>
      <c r="E17" s="10">
        <f t="shared" si="3"/>
        <v>3385.2603999999997</v>
      </c>
      <c r="F17" s="10">
        <f t="shared" si="3"/>
        <v>3480.0565370000004</v>
      </c>
      <c r="G17" s="10">
        <f t="shared" si="3"/>
        <v>2820.2828329999998</v>
      </c>
      <c r="H17" s="10">
        <f t="shared" si="3"/>
        <v>2229.2035100000007</v>
      </c>
      <c r="I17" s="10">
        <f t="shared" si="3"/>
        <v>2932.3765699999999</v>
      </c>
      <c r="J17" s="10">
        <f t="shared" si="3"/>
        <v>2083.0144099999998</v>
      </c>
      <c r="K17" s="10">
        <f t="shared" si="3"/>
        <v>2005.58187</v>
      </c>
      <c r="L17" s="10">
        <f t="shared" si="3"/>
        <v>2617.6370000000002</v>
      </c>
      <c r="M17" s="10">
        <f t="shared" si="3"/>
        <v>3877.52</v>
      </c>
      <c r="N17" s="10">
        <f t="shared" si="3"/>
        <v>3949.9979999999996</v>
      </c>
      <c r="O17" s="10">
        <f>O14+O16</f>
        <v>4906.6710000000003</v>
      </c>
      <c r="P17" s="10">
        <f>P14+P16</f>
        <v>6312.5006560000002</v>
      </c>
      <c r="Q17" s="10">
        <f>Q16+Q14</f>
        <v>5213.8747876269244</v>
      </c>
      <c r="R17" s="10">
        <f>R16+R14</f>
        <v>51974.249013626926</v>
      </c>
      <c r="S17" s="122"/>
      <c r="U17" s="125">
        <f>U14+U16</f>
        <v>447.92738725317224</v>
      </c>
    </row>
    <row r="18" spans="2:21" x14ac:dyDescent="0.25">
      <c r="O18" s="92"/>
      <c r="P18" s="92"/>
      <c r="Q18" s="92">
        <f>(Q17-P17)/P17</f>
        <v>-0.17403972343810173</v>
      </c>
    </row>
    <row r="19" spans="2:21" x14ac:dyDescent="0.25">
      <c r="O19" s="50"/>
      <c r="P19" s="50"/>
      <c r="Q19" s="50"/>
    </row>
    <row r="20" spans="2:21" x14ac:dyDescent="0.25">
      <c r="B20" s="64" t="s">
        <v>185</v>
      </c>
      <c r="O20" s="92"/>
      <c r="P20" s="92"/>
      <c r="Q20" s="92"/>
    </row>
    <row r="21" spans="2:21" x14ac:dyDescent="0.25">
      <c r="B21" s="54" t="s">
        <v>63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3">
        <v>0</v>
      </c>
      <c r="N21" s="53">
        <v>0</v>
      </c>
      <c r="O21" s="53">
        <v>0</v>
      </c>
      <c r="P21" s="53">
        <v>6.5640000000000001</v>
      </c>
      <c r="Q21" s="53"/>
      <c r="R21" s="54"/>
      <c r="S21" s="117"/>
    </row>
    <row r="22" spans="2:21" x14ac:dyDescent="0.25">
      <c r="B22" s="54" t="s">
        <v>64</v>
      </c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3">
        <v>0</v>
      </c>
      <c r="N22" s="53">
        <v>0</v>
      </c>
      <c r="O22" s="53">
        <v>0</v>
      </c>
      <c r="P22" s="53">
        <v>0.55400000000000005</v>
      </c>
      <c r="Q22" s="53"/>
      <c r="R22" s="54"/>
      <c r="S22" s="117"/>
    </row>
    <row r="23" spans="2:21" x14ac:dyDescent="0.25">
      <c r="B23" s="54" t="s">
        <v>65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3">
        <v>0</v>
      </c>
      <c r="N23" s="53">
        <v>0</v>
      </c>
      <c r="O23" s="53">
        <v>0</v>
      </c>
      <c r="P23" s="53">
        <v>4.9000000000000002E-2</v>
      </c>
      <c r="Q23" s="53"/>
      <c r="R23" s="54"/>
      <c r="S23" s="117"/>
    </row>
    <row r="24" spans="2:21" x14ac:dyDescent="0.25">
      <c r="B24" s="54" t="s">
        <v>66</v>
      </c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3">
        <v>0</v>
      </c>
      <c r="N24" s="53">
        <v>0</v>
      </c>
      <c r="O24" s="53">
        <v>0</v>
      </c>
      <c r="P24" s="53">
        <v>73.194000000000003</v>
      </c>
      <c r="Q24" s="53">
        <v>290.70024304952244</v>
      </c>
      <c r="R24" s="54"/>
      <c r="S24" s="117"/>
    </row>
    <row r="25" spans="2:21" x14ac:dyDescent="0.25">
      <c r="B25" s="54" t="s">
        <v>67</v>
      </c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3">
        <v>0</v>
      </c>
      <c r="N25" s="53">
        <v>0</v>
      </c>
      <c r="O25" s="53">
        <v>0</v>
      </c>
      <c r="P25" s="53">
        <v>0.58070600000000006</v>
      </c>
      <c r="Q25" s="53">
        <v>4.263413878140133</v>
      </c>
      <c r="R25" s="54"/>
      <c r="S25" s="117"/>
    </row>
    <row r="26" spans="2:21" x14ac:dyDescent="0.25">
      <c r="B26" s="54" t="s">
        <v>68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3">
        <v>0</v>
      </c>
      <c r="N26" s="53">
        <v>0</v>
      </c>
      <c r="O26" s="53">
        <v>0</v>
      </c>
      <c r="P26" s="53">
        <v>6.1737000000000002</v>
      </c>
      <c r="Q26" s="53">
        <v>16.628948849261853</v>
      </c>
      <c r="R26" s="54"/>
      <c r="S26" s="117"/>
    </row>
    <row r="27" spans="2:21" x14ac:dyDescent="0.25">
      <c r="B27" s="54" t="s">
        <v>69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3">
        <v>0</v>
      </c>
      <c r="N27" s="53">
        <v>0</v>
      </c>
      <c r="O27" s="53">
        <v>0</v>
      </c>
      <c r="P27" s="53">
        <v>8.9999999999999993E-3</v>
      </c>
      <c r="Q27" s="53"/>
      <c r="R27" s="54"/>
      <c r="S27" s="117"/>
    </row>
    <row r="28" spans="2:21" x14ac:dyDescent="0.25">
      <c r="B28" s="54" t="s">
        <v>70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3">
        <v>0</v>
      </c>
      <c r="N28" s="53">
        <v>0</v>
      </c>
      <c r="O28" s="53">
        <v>0</v>
      </c>
      <c r="P28" s="53">
        <v>1.5880000000000001</v>
      </c>
      <c r="Q28" s="53"/>
      <c r="R28" s="54"/>
      <c r="S28" s="117"/>
    </row>
    <row r="29" spans="2:21" x14ac:dyDescent="0.25">
      <c r="B29" s="54" t="s">
        <v>71</v>
      </c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3">
        <v>0</v>
      </c>
      <c r="N29" s="53">
        <v>0</v>
      </c>
      <c r="O29" s="53">
        <v>52.323</v>
      </c>
      <c r="P29" s="55">
        <v>0</v>
      </c>
      <c r="Q29" s="53"/>
      <c r="R29" s="52"/>
      <c r="S29" s="118"/>
    </row>
    <row r="30" spans="2:21" x14ac:dyDescent="0.25">
      <c r="B30" s="54" t="s">
        <v>72</v>
      </c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3">
        <v>0</v>
      </c>
      <c r="N30" s="53">
        <v>36.499000000000002</v>
      </c>
      <c r="O30" s="53">
        <v>0</v>
      </c>
      <c r="P30" s="53">
        <v>0</v>
      </c>
      <c r="Q30" s="53"/>
      <c r="R30" s="52"/>
      <c r="S30" s="118"/>
    </row>
    <row r="31" spans="2:21" x14ac:dyDescent="0.25">
      <c r="B31" s="54" t="s">
        <v>73</v>
      </c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3">
        <v>6.8029999999999999</v>
      </c>
      <c r="N31" s="53">
        <v>0</v>
      </c>
      <c r="O31" s="53">
        <v>0</v>
      </c>
      <c r="P31" s="53">
        <v>0</v>
      </c>
      <c r="Q31" s="53"/>
      <c r="R31" s="52"/>
      <c r="S31" s="118"/>
    </row>
    <row r="32" spans="2:21" x14ac:dyDescent="0.25">
      <c r="B32" s="54" t="s">
        <v>74</v>
      </c>
      <c r="C32" s="54"/>
      <c r="D32" s="54"/>
      <c r="E32" s="54"/>
      <c r="F32" s="54"/>
      <c r="G32" s="54"/>
      <c r="H32" s="54"/>
      <c r="I32" s="54"/>
      <c r="J32" s="54"/>
      <c r="K32" s="54"/>
      <c r="L32" s="53">
        <v>27.597000000000001</v>
      </c>
      <c r="M32" s="53">
        <v>0</v>
      </c>
      <c r="N32" s="53">
        <v>0</v>
      </c>
      <c r="O32" s="53">
        <v>0</v>
      </c>
      <c r="P32" s="53">
        <v>0</v>
      </c>
      <c r="Q32" s="53"/>
      <c r="R32" s="52"/>
      <c r="S32" s="118"/>
    </row>
    <row r="33" spans="2:19" x14ac:dyDescent="0.25">
      <c r="B33" s="54" t="s">
        <v>78</v>
      </c>
      <c r="C33" s="54"/>
      <c r="D33" s="54"/>
      <c r="E33" s="54"/>
      <c r="F33" s="54"/>
      <c r="G33" s="54"/>
      <c r="H33" s="54"/>
      <c r="I33" s="54"/>
      <c r="J33" s="54"/>
      <c r="K33" s="54">
        <f>988*11.63/1000</f>
        <v>11.490440000000001</v>
      </c>
      <c r="L33" s="53"/>
      <c r="M33" s="53"/>
      <c r="N33" s="53"/>
      <c r="O33" s="53"/>
      <c r="P33" s="53"/>
      <c r="Q33" s="53"/>
      <c r="R33" s="52"/>
      <c r="S33" s="118"/>
    </row>
    <row r="34" spans="2:19" x14ac:dyDescent="0.25">
      <c r="B34" s="54" t="s">
        <v>1</v>
      </c>
      <c r="C34" s="54"/>
      <c r="D34" s="54"/>
      <c r="E34" s="54"/>
      <c r="F34" s="54"/>
      <c r="G34" s="54"/>
      <c r="H34" s="54"/>
      <c r="I34" s="54"/>
      <c r="J34" s="54"/>
      <c r="K34" s="57">
        <f>SUM(K21:K33)</f>
        <v>11.490440000000001</v>
      </c>
      <c r="L34" s="57">
        <f>SUM(L21:L33)</f>
        <v>27.597000000000001</v>
      </c>
      <c r="M34" s="57">
        <f t="shared" ref="M34:Q34" si="4">SUM(M21:M33)</f>
        <v>6.8029999999999999</v>
      </c>
      <c r="N34" s="57">
        <f t="shared" si="4"/>
        <v>36.499000000000002</v>
      </c>
      <c r="O34" s="57">
        <f t="shared" si="4"/>
        <v>52.323</v>
      </c>
      <c r="P34" s="57">
        <f t="shared" si="4"/>
        <v>88.712406000000001</v>
      </c>
      <c r="Q34" s="57">
        <f t="shared" si="4"/>
        <v>311.59260577692442</v>
      </c>
      <c r="R34" s="52"/>
      <c r="S34" s="118"/>
    </row>
    <row r="37" spans="2:19" x14ac:dyDescent="0.25">
      <c r="B37" s="64" t="s">
        <v>100</v>
      </c>
    </row>
    <row r="38" spans="2:19" x14ac:dyDescent="0.25">
      <c r="B38" s="9" t="s">
        <v>16</v>
      </c>
      <c r="C38" s="10">
        <f>'FC 2009-2022 Prod GWh'!C14</f>
        <v>2275.4094999999998</v>
      </c>
      <c r="D38" s="10">
        <f>'FC 2009-2022 Prod GWh'!D14</f>
        <v>3884.8619400000002</v>
      </c>
      <c r="E38" s="10">
        <f>'FC 2009-2022 Prod GWh'!E14</f>
        <v>3385.2603999999997</v>
      </c>
      <c r="F38" s="10">
        <f>'FC 2009-2022 Prod GWh'!F14</f>
        <v>3480.0565370000004</v>
      </c>
      <c r="G38" s="10">
        <f>'FC 2009-2022 Prod GWh'!G14</f>
        <v>2820.2828329999998</v>
      </c>
      <c r="H38" s="10">
        <f>'FC 2009-2022 Prod GWh'!H14</f>
        <v>2229.2035100000007</v>
      </c>
      <c r="I38" s="10">
        <f>'FC 2009-2022 Prod GWh'!I14</f>
        <v>2932.3765699999999</v>
      </c>
      <c r="J38" s="10">
        <f>'FC 2009-2022 Prod GWh'!J14</f>
        <v>2083.0144099999998</v>
      </c>
      <c r="K38" s="10">
        <f>'FC 2009-2022 Prod GWh'!K14</f>
        <v>2005.58187</v>
      </c>
      <c r="L38" s="10">
        <f>'FC 2009-2022 Prod GWh'!L14</f>
        <v>2617.6370000000002</v>
      </c>
      <c r="M38" s="10">
        <f>'FC 2009-2022 Prod GWh'!M14</f>
        <v>3877.52</v>
      </c>
      <c r="N38" s="10">
        <f>'FC 2009-2022 Prod GWh'!N14</f>
        <v>3949.9979999999996</v>
      </c>
      <c r="O38" s="10">
        <f>'FC 2009-2022 Prod GWh'!O14</f>
        <v>3348.2180000000003</v>
      </c>
      <c r="P38" s="10">
        <f>'FC 2009-2022 Prod GWh'!P14</f>
        <v>3679.7066560000003</v>
      </c>
      <c r="Q38" s="10">
        <f>Q14</f>
        <v>2817.5397876269244</v>
      </c>
      <c r="R38" s="10">
        <f>SUM(C38:Q38)</f>
        <v>45386.667013626931</v>
      </c>
      <c r="S38" s="116"/>
    </row>
    <row r="39" spans="2:19" x14ac:dyDescent="0.25">
      <c r="B39" s="9" t="s">
        <v>75</v>
      </c>
      <c r="C39" s="10">
        <f>C14-C8</f>
        <v>2259.0228299999999</v>
      </c>
      <c r="D39" s="10">
        <f t="shared" ref="D39:P39" si="5">D14-D8</f>
        <v>3848.4716700000004</v>
      </c>
      <c r="E39" s="10">
        <f t="shared" si="5"/>
        <v>3291.8714999999997</v>
      </c>
      <c r="F39" s="10">
        <f t="shared" si="5"/>
        <v>3313.4725270000004</v>
      </c>
      <c r="G39" s="10">
        <f t="shared" si="5"/>
        <v>2702.9978329999999</v>
      </c>
      <c r="H39" s="10">
        <f t="shared" si="5"/>
        <v>1987.3925500000007</v>
      </c>
      <c r="I39" s="10">
        <f t="shared" si="5"/>
        <v>2514.7781599999998</v>
      </c>
      <c r="J39" s="10">
        <f t="shared" si="5"/>
        <v>1739.4060599999998</v>
      </c>
      <c r="K39" s="10">
        <f t="shared" si="5"/>
        <v>1707.2607399999999</v>
      </c>
      <c r="L39" s="10">
        <f t="shared" si="5"/>
        <v>1989.0220000000002</v>
      </c>
      <c r="M39" s="10">
        <f t="shared" si="5"/>
        <v>2755.4659999999999</v>
      </c>
      <c r="N39" s="10">
        <f t="shared" si="5"/>
        <v>2824.0789999999997</v>
      </c>
      <c r="O39" s="10">
        <f t="shared" si="5"/>
        <v>1995.6280000000004</v>
      </c>
      <c r="P39" s="10">
        <f t="shared" si="5"/>
        <v>3169.0606560000001</v>
      </c>
      <c r="Q39" s="10">
        <f t="shared" ref="Q39" si="6">Q14-Q8</f>
        <v>2539.5307876269244</v>
      </c>
      <c r="R39" s="10">
        <f t="shared" ref="R39:R44" si="7">SUM(C39:Q39)</f>
        <v>38637.460313626922</v>
      </c>
      <c r="S39" s="116"/>
    </row>
    <row r="40" spans="2:19" x14ac:dyDescent="0.25">
      <c r="B40" s="9" t="s">
        <v>80</v>
      </c>
      <c r="C40" s="10">
        <f>'FC 2009-2022 Prod GWh'!C14-'FC Prod GWh FC'!C34</f>
        <v>2275.4094999999998</v>
      </c>
      <c r="D40" s="10">
        <f>'FC 2009-2022 Prod GWh'!D14-'FC Prod GWh FC'!D34</f>
        <v>3884.8619400000002</v>
      </c>
      <c r="E40" s="10">
        <f>'FC 2009-2022 Prod GWh'!E14-'FC Prod GWh FC'!E34</f>
        <v>3385.2603999999997</v>
      </c>
      <c r="F40" s="10">
        <f>'FC 2009-2022 Prod GWh'!F14-'FC Prod GWh FC'!F34</f>
        <v>3480.0565370000004</v>
      </c>
      <c r="G40" s="10">
        <f>'FC 2009-2022 Prod GWh'!G14-'FC Prod GWh FC'!G34</f>
        <v>2820.2828329999998</v>
      </c>
      <c r="H40" s="10">
        <f>'FC 2009-2022 Prod GWh'!H14-'FC Prod GWh FC'!H34</f>
        <v>2229.2035100000007</v>
      </c>
      <c r="I40" s="10">
        <f>'FC 2009-2022 Prod GWh'!I14-'FC Prod GWh FC'!I34</f>
        <v>2932.3765699999999</v>
      </c>
      <c r="J40" s="10">
        <f>'FC 2009-2022 Prod GWh'!J14-'FC Prod GWh FC'!J34</f>
        <v>2083.0144099999998</v>
      </c>
      <c r="K40" s="10">
        <f>'FC 2009-2022 Prod GWh'!K14-'FC Prod GWh FC'!K34</f>
        <v>1994.0914299999999</v>
      </c>
      <c r="L40" s="10">
        <f>'FC 2009-2022 Prod GWh'!L14-'FC Prod GWh FC'!L34</f>
        <v>2590.04</v>
      </c>
      <c r="M40" s="10">
        <f>'FC 2009-2022 Prod GWh'!M14-'FC Prod GWh FC'!M34</f>
        <v>3870.7170000000001</v>
      </c>
      <c r="N40" s="10">
        <f>'FC 2009-2022 Prod GWh'!N14-'FC Prod GWh FC'!N34</f>
        <v>3913.4989999999998</v>
      </c>
      <c r="O40" s="10">
        <f>'FC 2009-2022 Prod GWh'!O14-'FC Prod GWh FC'!O34</f>
        <v>3295.8950000000004</v>
      </c>
      <c r="P40" s="10">
        <f>'FC 2009-2022 Prod GWh'!P14-'FC Prod GWh FC'!P34</f>
        <v>3590.9942500000002</v>
      </c>
      <c r="Q40" s="10">
        <f>Q38-Q34</f>
        <v>2505.9471818500001</v>
      </c>
      <c r="R40" s="10">
        <f t="shared" si="7"/>
        <v>44851.649561850005</v>
      </c>
      <c r="S40" s="116"/>
    </row>
    <row r="41" spans="2:19" x14ac:dyDescent="0.25">
      <c r="B41" s="9" t="s">
        <v>82</v>
      </c>
      <c r="C41" s="10">
        <f>C38-C6</f>
        <v>561.08934999999951</v>
      </c>
      <c r="D41" s="10">
        <f t="shared" ref="D41:P41" si="8">D38-D6</f>
        <v>1255.7492500000003</v>
      </c>
      <c r="E41" s="10">
        <f t="shared" si="8"/>
        <v>2125.2778299999995</v>
      </c>
      <c r="F41" s="10">
        <f t="shared" si="8"/>
        <v>2268.9897470000005</v>
      </c>
      <c r="G41" s="10">
        <f t="shared" si="8"/>
        <v>1968.7574929999996</v>
      </c>
      <c r="H41" s="10">
        <f t="shared" si="8"/>
        <v>1386.3192600000007</v>
      </c>
      <c r="I41" s="10">
        <f t="shared" si="8"/>
        <v>2036.23855</v>
      </c>
      <c r="J41" s="10">
        <f t="shared" si="8"/>
        <v>1477.5449799999997</v>
      </c>
      <c r="K41" s="10">
        <f t="shared" si="8"/>
        <v>1888.80504</v>
      </c>
      <c r="L41" s="10">
        <f t="shared" si="8"/>
        <v>2220.498</v>
      </c>
      <c r="M41" s="10">
        <f t="shared" si="8"/>
        <v>3016.9490000000001</v>
      </c>
      <c r="N41" s="10">
        <f t="shared" si="8"/>
        <v>2800.4779999999996</v>
      </c>
      <c r="O41" s="10">
        <f t="shared" si="8"/>
        <v>2534.1320000000005</v>
      </c>
      <c r="P41" s="10">
        <f t="shared" si="8"/>
        <v>2500.901656</v>
      </c>
      <c r="Q41" s="10">
        <f>Q38-Q6</f>
        <v>2462.9007876269243</v>
      </c>
      <c r="R41" s="10">
        <f t="shared" si="7"/>
        <v>30504.630943626922</v>
      </c>
      <c r="S41" s="116"/>
    </row>
    <row r="42" spans="2:19" x14ac:dyDescent="0.25">
      <c r="B42" s="9" t="s">
        <v>76</v>
      </c>
      <c r="C42" s="10">
        <f>C14-C34-C8</f>
        <v>2259.0228299999999</v>
      </c>
      <c r="D42" s="10">
        <f t="shared" ref="D42:Q42" si="9">D14-D34-D8</f>
        <v>3848.4716700000004</v>
      </c>
      <c r="E42" s="10">
        <f t="shared" si="9"/>
        <v>3291.8714999999997</v>
      </c>
      <c r="F42" s="10">
        <f t="shared" si="9"/>
        <v>3313.4725270000004</v>
      </c>
      <c r="G42" s="10">
        <f t="shared" si="9"/>
        <v>2702.9978329999999</v>
      </c>
      <c r="H42" s="10">
        <f t="shared" si="9"/>
        <v>1987.3925500000007</v>
      </c>
      <c r="I42" s="10">
        <f t="shared" si="9"/>
        <v>2514.7781599999998</v>
      </c>
      <c r="J42" s="10">
        <f t="shared" si="9"/>
        <v>1739.4060599999998</v>
      </c>
      <c r="K42" s="10">
        <f t="shared" si="9"/>
        <v>1695.7702999999999</v>
      </c>
      <c r="L42" s="10">
        <f t="shared" si="9"/>
        <v>1961.425</v>
      </c>
      <c r="M42" s="10">
        <f t="shared" si="9"/>
        <v>2748.663</v>
      </c>
      <c r="N42" s="10">
        <f t="shared" si="9"/>
        <v>2787.58</v>
      </c>
      <c r="O42" s="10">
        <f t="shared" si="9"/>
        <v>1943.3050000000005</v>
      </c>
      <c r="P42" s="10">
        <f t="shared" si="9"/>
        <v>3080.34825</v>
      </c>
      <c r="Q42" s="10">
        <f t="shared" si="9"/>
        <v>2227.9381818500001</v>
      </c>
      <c r="R42" s="10">
        <f t="shared" si="7"/>
        <v>38102.442861850002</v>
      </c>
      <c r="S42" s="116"/>
    </row>
    <row r="43" spans="2:19" x14ac:dyDescent="0.25">
      <c r="B43" s="9" t="s">
        <v>83</v>
      </c>
      <c r="C43" s="10">
        <f>C42-C6</f>
        <v>544.70267999999965</v>
      </c>
      <c r="D43" s="10">
        <f t="shared" ref="D43:Q43" si="10">D42-D6</f>
        <v>1219.3589800000004</v>
      </c>
      <c r="E43" s="10">
        <f t="shared" si="10"/>
        <v>2031.8889299999996</v>
      </c>
      <c r="F43" s="10">
        <f t="shared" si="10"/>
        <v>2102.405737</v>
      </c>
      <c r="G43" s="10">
        <f t="shared" si="10"/>
        <v>1851.4724929999998</v>
      </c>
      <c r="H43" s="10">
        <f t="shared" si="10"/>
        <v>1144.5083000000009</v>
      </c>
      <c r="I43" s="10">
        <f t="shared" si="10"/>
        <v>1618.64014</v>
      </c>
      <c r="J43" s="10">
        <f t="shared" si="10"/>
        <v>1133.9366299999997</v>
      </c>
      <c r="K43" s="10">
        <f t="shared" si="10"/>
        <v>1578.9934699999999</v>
      </c>
      <c r="L43" s="10">
        <f t="shared" si="10"/>
        <v>1564.2860000000001</v>
      </c>
      <c r="M43" s="10">
        <f t="shared" si="10"/>
        <v>1888.0920000000001</v>
      </c>
      <c r="N43" s="10">
        <f t="shared" si="10"/>
        <v>1638.06</v>
      </c>
      <c r="O43" s="10">
        <f t="shared" si="10"/>
        <v>1129.2190000000005</v>
      </c>
      <c r="P43" s="10">
        <f t="shared" si="10"/>
        <v>1901.5432499999999</v>
      </c>
      <c r="Q43" s="10">
        <f t="shared" si="10"/>
        <v>1873.29918185</v>
      </c>
      <c r="R43" s="10">
        <f t="shared" si="7"/>
        <v>23220.40679185</v>
      </c>
      <c r="S43" s="116"/>
    </row>
    <row r="44" spans="2:19" x14ac:dyDescent="0.25">
      <c r="B44" s="9" t="s">
        <v>111</v>
      </c>
      <c r="C44" s="10">
        <f>C38-C6-C8</f>
        <v>544.70267999999953</v>
      </c>
      <c r="D44" s="10">
        <f t="shared" ref="D44:Q44" si="11">D38-D6-D8</f>
        <v>1219.3589800000002</v>
      </c>
      <c r="E44" s="10">
        <f t="shared" si="11"/>
        <v>2031.8889299999996</v>
      </c>
      <c r="F44" s="10">
        <f t="shared" si="11"/>
        <v>2102.4057370000005</v>
      </c>
      <c r="G44" s="10">
        <f t="shared" si="11"/>
        <v>1851.4724929999995</v>
      </c>
      <c r="H44" s="10">
        <f t="shared" si="11"/>
        <v>1144.5083000000006</v>
      </c>
      <c r="I44" s="10">
        <f t="shared" si="11"/>
        <v>1618.64014</v>
      </c>
      <c r="J44" s="10">
        <f t="shared" si="11"/>
        <v>1133.9366299999997</v>
      </c>
      <c r="K44" s="10">
        <f t="shared" si="11"/>
        <v>1590.4839099999999</v>
      </c>
      <c r="L44" s="10">
        <f t="shared" si="11"/>
        <v>1591.883</v>
      </c>
      <c r="M44" s="10">
        <f t="shared" si="11"/>
        <v>1894.895</v>
      </c>
      <c r="N44" s="10">
        <f t="shared" si="11"/>
        <v>1674.5589999999995</v>
      </c>
      <c r="O44" s="10">
        <f t="shared" si="11"/>
        <v>1181.5420000000006</v>
      </c>
      <c r="P44" s="10">
        <f t="shared" si="11"/>
        <v>1990.255656</v>
      </c>
      <c r="Q44" s="10">
        <f t="shared" si="11"/>
        <v>2184.8917876269243</v>
      </c>
      <c r="R44" s="10">
        <f t="shared" si="7"/>
        <v>23755.424243626927</v>
      </c>
      <c r="S44" s="116"/>
    </row>
    <row r="45" spans="2:19" x14ac:dyDescent="0.25">
      <c r="M45" s="50"/>
      <c r="N45" s="50"/>
      <c r="O45" s="50"/>
      <c r="P45" s="50"/>
      <c r="Q45" s="50"/>
    </row>
    <row r="46" spans="2:19" x14ac:dyDescent="0.25">
      <c r="B46" s="9" t="s">
        <v>85</v>
      </c>
      <c r="C46" s="59">
        <f>'FC Prod GWh FC'!C6/'FC 2009-2022 Prod GWh'!C14</f>
        <v>0.75341170457449547</v>
      </c>
      <c r="D46" s="59">
        <f>'FC Prod GWh FC'!D6/'FC 2009-2022 Prod GWh'!D14</f>
        <v>0.67675833288428255</v>
      </c>
      <c r="E46" s="59">
        <f>'FC Prod GWh FC'!E6/'FC 2009-2022 Prod GWh'!E14</f>
        <v>0.37219664696990523</v>
      </c>
      <c r="F46" s="59">
        <f>'FC Prod GWh FC'!F6/'FC 2009-2022 Prod GWh'!F14</f>
        <v>0.34800204454264588</v>
      </c>
      <c r="G46" s="59">
        <f>'FC Prod GWh FC'!G6/'FC 2009-2022 Prod GWh'!G14</f>
        <v>0.30192905833285272</v>
      </c>
      <c r="H46" s="59">
        <f>'FC Prod GWh FC'!H6/'FC 2009-2022 Prod GWh'!H14</f>
        <v>0.37811004971905848</v>
      </c>
      <c r="I46" s="59">
        <f>'FC Prod GWh FC'!I6/'FC 2009-2022 Prod GWh'!I14</f>
        <v>0.30560127548693378</v>
      </c>
      <c r="J46" s="59">
        <f>'FC Prod GWh FC'!J6/'FC 2009-2022 Prod GWh'!J14</f>
        <v>0.29066982306665856</v>
      </c>
      <c r="K46" s="59">
        <f>'FC Prod GWh FC'!K6/'FC 2009-2022 Prod GWh'!K14</f>
        <v>5.8225910269123049E-2</v>
      </c>
      <c r="L46" s="59">
        <f>'FC Prod GWh FC'!L6/'FC 2009-2022 Prod GWh'!L14</f>
        <v>0.15171660547279853</v>
      </c>
      <c r="M46" s="59">
        <f>'FC Prod GWh FC'!M6/'FC 2009-2022 Prod GWh'!M14</f>
        <v>0.22193850708700408</v>
      </c>
      <c r="N46" s="59">
        <f>'FC Prod GWh FC'!N6/'FC 2009-2022 Prod GWh'!N14</f>
        <v>0.29101786886980707</v>
      </c>
      <c r="O46" s="59">
        <f>'FC Prod GWh FC'!O6/'FC 2009-2022 Prod GWh'!O14</f>
        <v>0.24314008227660205</v>
      </c>
      <c r="P46" s="59">
        <f>'FC Prod GWh FC'!P6/'FC 2009-2022 Prod GWh'!P14</f>
        <v>0.32035298196335354</v>
      </c>
      <c r="Q46" s="59">
        <f>'FC Prod GWh FC'!Q6/Q14</f>
        <v>0.12586832014134397</v>
      </c>
      <c r="R46" s="59">
        <f>'FC Prod GWh FC'!R6/R14</f>
        <v>0.32789444674427859</v>
      </c>
      <c r="S46" s="119"/>
    </row>
    <row r="48" spans="2:19" x14ac:dyDescent="0.25">
      <c r="M48" s="50"/>
      <c r="N48" s="50"/>
      <c r="O48" s="50"/>
      <c r="P48" s="50"/>
      <c r="Q48" s="50"/>
    </row>
    <row r="49" spans="2:19" x14ac:dyDescent="0.25">
      <c r="M49" s="50"/>
      <c r="N49" s="50"/>
      <c r="O49" s="50"/>
      <c r="P49" s="50"/>
      <c r="Q49" s="50"/>
    </row>
    <row r="50" spans="2:19" x14ac:dyDescent="0.25">
      <c r="M50" s="50"/>
      <c r="N50" s="50"/>
      <c r="O50" s="50"/>
      <c r="P50" s="50"/>
      <c r="Q50" s="50"/>
    </row>
    <row r="51" spans="2:19" x14ac:dyDescent="0.25">
      <c r="M51" s="50"/>
      <c r="N51" s="50"/>
      <c r="O51" s="50"/>
      <c r="P51" s="50"/>
      <c r="Q51" s="50"/>
    </row>
    <row r="52" spans="2:19" x14ac:dyDescent="0.25">
      <c r="M52" s="50"/>
      <c r="N52" s="50"/>
      <c r="O52" s="50"/>
      <c r="P52" s="50"/>
      <c r="Q52" s="50"/>
    </row>
    <row r="53" spans="2:19" x14ac:dyDescent="0.25">
      <c r="M53" s="50"/>
      <c r="N53" s="50"/>
      <c r="O53" s="50"/>
      <c r="P53" s="50"/>
      <c r="Q53" s="50"/>
    </row>
    <row r="54" spans="2:19" x14ac:dyDescent="0.25">
      <c r="M54" s="50"/>
      <c r="N54" s="50"/>
      <c r="O54" s="50"/>
      <c r="P54" s="50"/>
      <c r="Q54" s="50"/>
    </row>
    <row r="58" spans="2:19" x14ac:dyDescent="0.25">
      <c r="B58" s="14"/>
      <c r="C58" s="15">
        <v>2009</v>
      </c>
      <c r="D58" s="15">
        <v>2010</v>
      </c>
      <c r="E58" s="15">
        <v>2011</v>
      </c>
      <c r="F58" s="15">
        <v>2012</v>
      </c>
      <c r="G58" s="15">
        <v>2013</v>
      </c>
      <c r="H58" s="15">
        <v>2014</v>
      </c>
      <c r="I58" s="15">
        <v>2015</v>
      </c>
      <c r="J58" s="15">
        <v>2016</v>
      </c>
      <c r="K58" s="15">
        <v>2017</v>
      </c>
      <c r="L58" s="15">
        <v>2018</v>
      </c>
      <c r="M58" s="15">
        <v>2019</v>
      </c>
      <c r="N58" s="15">
        <v>2020</v>
      </c>
      <c r="O58" s="15">
        <v>2021</v>
      </c>
      <c r="P58" s="15">
        <v>2022</v>
      </c>
      <c r="Q58" s="15">
        <v>2023</v>
      </c>
      <c r="R58" s="16" t="s">
        <v>1</v>
      </c>
      <c r="S58" s="114"/>
    </row>
    <row r="59" spans="2:19" x14ac:dyDescent="0.25">
      <c r="B59" s="6" t="s">
        <v>21</v>
      </c>
      <c r="C59" s="7">
        <v>1714.3201500000002</v>
      </c>
      <c r="D59" s="8">
        <v>2629.1126899999999</v>
      </c>
      <c r="E59" s="7">
        <v>1259.9825700000001</v>
      </c>
      <c r="F59" s="8">
        <v>1211.0667900000001</v>
      </c>
      <c r="G59" s="7">
        <v>851.52534000000003</v>
      </c>
      <c r="H59" s="8">
        <v>842.88424999999995</v>
      </c>
      <c r="I59" s="7">
        <v>896.13801999999998</v>
      </c>
      <c r="J59" s="8">
        <v>605.4694300000001</v>
      </c>
      <c r="K59" s="7">
        <v>116.77683</v>
      </c>
      <c r="L59" s="8">
        <v>397.13899999999995</v>
      </c>
      <c r="M59" s="7">
        <v>860.57100000000003</v>
      </c>
      <c r="N59" s="8">
        <v>1149.52</v>
      </c>
      <c r="O59" s="7">
        <v>814.08600000000001</v>
      </c>
      <c r="P59" s="8">
        <v>1178.8050000000001</v>
      </c>
      <c r="Q59" s="8">
        <f>Q6</f>
        <v>354.63900000000001</v>
      </c>
      <c r="R59" s="7">
        <f t="shared" ref="R59:R60" si="12">SUM(C59:P59)</f>
        <v>14527.397070000001</v>
      </c>
      <c r="S59" s="115"/>
    </row>
    <row r="60" spans="2:19" x14ac:dyDescent="0.25">
      <c r="B60" s="6" t="s">
        <v>25</v>
      </c>
      <c r="C60" s="7"/>
      <c r="D60" s="8"/>
      <c r="E60" s="7"/>
      <c r="F60" s="8"/>
      <c r="G60" s="7"/>
      <c r="H60" s="8"/>
      <c r="I60" s="7"/>
      <c r="J60" s="8"/>
      <c r="K60" s="7"/>
      <c r="L60" s="8"/>
      <c r="M60" s="7"/>
      <c r="N60" s="8"/>
      <c r="O60" s="7">
        <v>1558.453</v>
      </c>
      <c r="P60" s="8">
        <v>2632.7939999999999</v>
      </c>
      <c r="Q60" s="8">
        <f>Q16</f>
        <v>2396.335</v>
      </c>
      <c r="R60" s="7">
        <f t="shared" si="12"/>
        <v>4191.2469999999994</v>
      </c>
      <c r="S60" s="115"/>
    </row>
    <row r="96" spans="2:19" x14ac:dyDescent="0.25">
      <c r="B96" s="14"/>
      <c r="C96" s="15">
        <v>2009</v>
      </c>
      <c r="D96" s="15">
        <v>2010</v>
      </c>
      <c r="E96" s="15">
        <v>2011</v>
      </c>
      <c r="F96" s="15">
        <v>2012</v>
      </c>
      <c r="G96" s="15">
        <v>2013</v>
      </c>
      <c r="H96" s="15">
        <v>2014</v>
      </c>
      <c r="I96" s="15">
        <v>2015</v>
      </c>
      <c r="J96" s="15">
        <v>2016</v>
      </c>
      <c r="K96" s="15">
        <v>2017</v>
      </c>
      <c r="L96" s="15">
        <v>2018</v>
      </c>
      <c r="M96" s="15">
        <v>2019</v>
      </c>
      <c r="N96" s="15">
        <v>2020</v>
      </c>
      <c r="O96" s="15">
        <v>2021</v>
      </c>
      <c r="P96" s="15">
        <v>2022</v>
      </c>
      <c r="Q96" s="15">
        <v>2023</v>
      </c>
      <c r="R96" s="16" t="s">
        <v>1</v>
      </c>
      <c r="S96" s="114"/>
    </row>
    <row r="97" spans="2:19" x14ac:dyDescent="0.25">
      <c r="B97" s="6" t="s">
        <v>20</v>
      </c>
      <c r="C97" s="7">
        <v>457.57072000000005</v>
      </c>
      <c r="D97" s="8">
        <f>C97+D5</f>
        <v>1188.0975400000002</v>
      </c>
      <c r="E97" s="8">
        <f t="shared" ref="E97:Q97" si="13">D97+E5</f>
        <v>2551.8080800000002</v>
      </c>
      <c r="F97" s="8">
        <f t="shared" si="13"/>
        <v>4023.3868700000003</v>
      </c>
      <c r="G97" s="8">
        <f t="shared" si="13"/>
        <v>5251.5613900000008</v>
      </c>
      <c r="H97" s="8">
        <f t="shared" si="13"/>
        <v>6062.8818200000005</v>
      </c>
      <c r="I97" s="8">
        <f t="shared" si="13"/>
        <v>6577.1836800000001</v>
      </c>
      <c r="J97" s="8">
        <f t="shared" si="13"/>
        <v>6948.9715200000001</v>
      </c>
      <c r="K97" s="8">
        <f t="shared" si="13"/>
        <v>7566.4314800000002</v>
      </c>
      <c r="L97" s="8">
        <f t="shared" si="13"/>
        <v>8148.8534799999998</v>
      </c>
      <c r="M97" s="8">
        <f t="shared" si="13"/>
        <v>8843.617479999999</v>
      </c>
      <c r="N97" s="8">
        <f t="shared" si="13"/>
        <v>9465.519479999999</v>
      </c>
      <c r="O97" s="8">
        <f t="shared" si="13"/>
        <v>10003.474479999999</v>
      </c>
      <c r="P97" s="8">
        <f t="shared" si="13"/>
        <v>10669.542479999998</v>
      </c>
      <c r="Q97" s="8">
        <f t="shared" si="13"/>
        <v>11650.52272304952</v>
      </c>
      <c r="R97" s="7">
        <f>SUM(C97:Q97)</f>
        <v>99409.423223049525</v>
      </c>
      <c r="S97" s="115"/>
    </row>
    <row r="98" spans="2:19" x14ac:dyDescent="0.25">
      <c r="B98" s="6" t="s">
        <v>21</v>
      </c>
      <c r="C98" s="7">
        <v>1714.3201500000002</v>
      </c>
      <c r="D98" s="8">
        <f>C98+D6</f>
        <v>4343.4328400000004</v>
      </c>
      <c r="E98" s="8">
        <f t="shared" ref="E98:Q98" si="14">D98+E6</f>
        <v>5603.4154100000005</v>
      </c>
      <c r="F98" s="8">
        <f t="shared" si="14"/>
        <v>6814.4822000000004</v>
      </c>
      <c r="G98" s="8">
        <f t="shared" si="14"/>
        <v>7666.0075400000005</v>
      </c>
      <c r="H98" s="8">
        <f t="shared" si="14"/>
        <v>8508.8917899999997</v>
      </c>
      <c r="I98" s="8">
        <f t="shared" si="14"/>
        <v>9405.02981</v>
      </c>
      <c r="J98" s="8">
        <f t="shared" si="14"/>
        <v>10010.499240000001</v>
      </c>
      <c r="K98" s="8">
        <f t="shared" si="14"/>
        <v>10127.276070000002</v>
      </c>
      <c r="L98" s="8">
        <f t="shared" si="14"/>
        <v>10524.415070000001</v>
      </c>
      <c r="M98" s="8">
        <f t="shared" si="14"/>
        <v>11384.986070000001</v>
      </c>
      <c r="N98" s="8">
        <f t="shared" si="14"/>
        <v>12534.506070000001</v>
      </c>
      <c r="O98" s="8">
        <f t="shared" si="14"/>
        <v>13348.592070000001</v>
      </c>
      <c r="P98" s="8">
        <f t="shared" si="14"/>
        <v>14527.397070000001</v>
      </c>
      <c r="Q98" s="8">
        <f t="shared" si="14"/>
        <v>14882.03607</v>
      </c>
      <c r="R98" s="7">
        <f t="shared" ref="R98:R104" si="15">SUM(C98:Q98)</f>
        <v>141395.28747000001</v>
      </c>
      <c r="S98" s="115"/>
    </row>
    <row r="99" spans="2:19" x14ac:dyDescent="0.25">
      <c r="B99" s="6" t="s">
        <v>9</v>
      </c>
      <c r="C99" s="7">
        <v>39.914160000000003</v>
      </c>
      <c r="D99" s="8">
        <f t="shared" ref="D99:Q99" si="16">C99+D7</f>
        <v>189.74345000000002</v>
      </c>
      <c r="E99" s="8">
        <f t="shared" si="16"/>
        <v>543.67924000000005</v>
      </c>
      <c r="F99" s="8">
        <f t="shared" si="16"/>
        <v>704.50610100000006</v>
      </c>
      <c r="G99" s="8">
        <f t="shared" si="16"/>
        <v>937.38229999999999</v>
      </c>
      <c r="H99" s="8">
        <f t="shared" si="16"/>
        <v>1136.49953</v>
      </c>
      <c r="I99" s="8">
        <f t="shared" si="16"/>
        <v>1548.7830300000001</v>
      </c>
      <c r="J99" s="8">
        <f t="shared" si="16"/>
        <v>1728.3037100000001</v>
      </c>
      <c r="K99" s="8">
        <f t="shared" si="16"/>
        <v>1871.0387000000001</v>
      </c>
      <c r="L99" s="8">
        <f t="shared" si="16"/>
        <v>2214.4537</v>
      </c>
      <c r="M99" s="8">
        <f t="shared" si="16"/>
        <v>2472.3297000000002</v>
      </c>
      <c r="N99" s="8">
        <f t="shared" si="16"/>
        <v>2824.4517000000001</v>
      </c>
      <c r="O99" s="8">
        <f t="shared" si="16"/>
        <v>3156.4817000000003</v>
      </c>
      <c r="P99" s="8">
        <f t="shared" si="16"/>
        <v>3388.4208600000002</v>
      </c>
      <c r="Q99" s="8">
        <f t="shared" si="16"/>
        <v>3729.4432088492622</v>
      </c>
      <c r="R99" s="7">
        <f t="shared" si="15"/>
        <v>26485.431089849262</v>
      </c>
      <c r="S99" s="115"/>
    </row>
    <row r="100" spans="2:19" x14ac:dyDescent="0.25">
      <c r="B100" s="6" t="s">
        <v>10</v>
      </c>
      <c r="C100" s="7">
        <v>16.386670000000002</v>
      </c>
      <c r="D100" s="8">
        <f t="shared" ref="D100:Q100" si="17">C100+D8</f>
        <v>52.776940000000003</v>
      </c>
      <c r="E100" s="8">
        <f t="shared" si="17"/>
        <v>146.16584</v>
      </c>
      <c r="F100" s="8">
        <f t="shared" si="17"/>
        <v>312.74984999999998</v>
      </c>
      <c r="G100" s="8">
        <f t="shared" si="17"/>
        <v>430.03484999999995</v>
      </c>
      <c r="H100" s="8">
        <f t="shared" si="17"/>
        <v>671.84581000000003</v>
      </c>
      <c r="I100" s="8">
        <f t="shared" si="17"/>
        <v>1089.4442200000001</v>
      </c>
      <c r="J100" s="8">
        <f t="shared" si="17"/>
        <v>1433.0525700000001</v>
      </c>
      <c r="K100" s="8">
        <f t="shared" si="17"/>
        <v>1731.3737000000001</v>
      </c>
      <c r="L100" s="8">
        <f t="shared" si="17"/>
        <v>2359.9886999999999</v>
      </c>
      <c r="M100" s="8">
        <f t="shared" si="17"/>
        <v>3482.0427</v>
      </c>
      <c r="N100" s="8">
        <f t="shared" si="17"/>
        <v>4607.9616999999998</v>
      </c>
      <c r="O100" s="8">
        <f t="shared" si="17"/>
        <v>5960.5517</v>
      </c>
      <c r="P100" s="8">
        <f t="shared" si="17"/>
        <v>6471.1976999999997</v>
      </c>
      <c r="Q100" s="8">
        <f t="shared" si="17"/>
        <v>6749.2066999999997</v>
      </c>
      <c r="R100" s="7">
        <f t="shared" si="15"/>
        <v>35514.779649999997</v>
      </c>
      <c r="S100" s="115"/>
    </row>
    <row r="101" spans="2:19" x14ac:dyDescent="0.25">
      <c r="B101" s="6" t="s">
        <v>11</v>
      </c>
      <c r="C101" s="7">
        <v>12.223130000000001</v>
      </c>
      <c r="D101" s="8">
        <f t="shared" ref="D101:Q101" si="18">C101+D9</f>
        <v>31.331220000000002</v>
      </c>
      <c r="E101" s="8">
        <f t="shared" si="18"/>
        <v>49.846180000000004</v>
      </c>
      <c r="F101" s="8">
        <f t="shared" si="18"/>
        <v>61.057266000000006</v>
      </c>
      <c r="G101" s="8">
        <f t="shared" si="18"/>
        <v>67.93901000000001</v>
      </c>
      <c r="H101" s="8">
        <f t="shared" si="18"/>
        <v>73.428370000000015</v>
      </c>
      <c r="I101" s="8">
        <f t="shared" si="18"/>
        <v>77.463980000000021</v>
      </c>
      <c r="J101" s="8">
        <f t="shared" si="18"/>
        <v>80.359850000000023</v>
      </c>
      <c r="K101" s="8">
        <f t="shared" si="18"/>
        <v>87.221550000000022</v>
      </c>
      <c r="L101" s="8">
        <f t="shared" si="18"/>
        <v>98.710550000000026</v>
      </c>
      <c r="M101" s="8">
        <f t="shared" si="18"/>
        <v>124.85355000000003</v>
      </c>
      <c r="N101" s="8">
        <f t="shared" si="18"/>
        <v>132.66455000000002</v>
      </c>
      <c r="O101" s="8">
        <f t="shared" si="18"/>
        <v>140.79655000000002</v>
      </c>
      <c r="P101" s="8">
        <f t="shared" si="18"/>
        <v>159.82804600000003</v>
      </c>
      <c r="Q101" s="8">
        <f t="shared" si="18"/>
        <v>207.44324187814016</v>
      </c>
      <c r="R101" s="7">
        <f t="shared" si="15"/>
        <v>1405.1670438781402</v>
      </c>
      <c r="S101" s="115"/>
    </row>
    <row r="102" spans="2:19" x14ac:dyDescent="0.25">
      <c r="B102" s="6" t="s">
        <v>22</v>
      </c>
      <c r="C102" s="7">
        <v>34.994670000000006</v>
      </c>
      <c r="D102" s="8">
        <f t="shared" ref="D102:Q102" si="19">C102+D10</f>
        <v>275.36351000000002</v>
      </c>
      <c r="E102" s="8">
        <f t="shared" si="19"/>
        <v>465.10696000000007</v>
      </c>
      <c r="F102" s="8">
        <f t="shared" si="19"/>
        <v>777.71896000000015</v>
      </c>
      <c r="G102" s="8">
        <f t="shared" si="19"/>
        <v>1007.1104600000001</v>
      </c>
      <c r="H102" s="8">
        <f t="shared" si="19"/>
        <v>1106.00035</v>
      </c>
      <c r="I102" s="8">
        <f t="shared" si="19"/>
        <v>1531.87932</v>
      </c>
      <c r="J102" s="8">
        <f t="shared" si="19"/>
        <v>1785.79711</v>
      </c>
      <c r="K102" s="8">
        <f t="shared" si="19"/>
        <v>2507.48513</v>
      </c>
      <c r="L102" s="8">
        <f t="shared" si="19"/>
        <v>3013.3971299999998</v>
      </c>
      <c r="M102" s="8">
        <f t="shared" si="19"/>
        <v>3409.3741299999997</v>
      </c>
      <c r="N102" s="8">
        <f t="shared" si="19"/>
        <v>3917.6441299999997</v>
      </c>
      <c r="O102" s="8">
        <f t="shared" si="19"/>
        <v>4143.42713</v>
      </c>
      <c r="P102" s="8">
        <f t="shared" si="19"/>
        <v>4452.9021300000004</v>
      </c>
      <c r="Q102" s="8">
        <f t="shared" si="19"/>
        <v>4736.0141300000005</v>
      </c>
      <c r="R102" s="7">
        <f t="shared" si="15"/>
        <v>33164.215250000001</v>
      </c>
      <c r="S102" s="115"/>
    </row>
    <row r="103" spans="2:19" x14ac:dyDescent="0.25">
      <c r="B103" s="6" t="s">
        <v>23</v>
      </c>
      <c r="C103" s="7">
        <v>0</v>
      </c>
      <c r="D103" s="8">
        <f t="shared" ref="D103:Q103" si="20">C103+D11</f>
        <v>52.009360000000001</v>
      </c>
      <c r="E103" s="8">
        <f t="shared" si="20"/>
        <v>85.247900000000001</v>
      </c>
      <c r="F103" s="8">
        <f t="shared" si="20"/>
        <v>231.42489999999998</v>
      </c>
      <c r="G103" s="8">
        <f t="shared" si="20"/>
        <v>264.23742999999996</v>
      </c>
      <c r="H103" s="8">
        <f t="shared" si="20"/>
        <v>290.00950999999998</v>
      </c>
      <c r="I103" s="8">
        <f t="shared" si="20"/>
        <v>536.32128</v>
      </c>
      <c r="J103" s="8">
        <f t="shared" si="20"/>
        <v>855.41359</v>
      </c>
      <c r="K103" s="8">
        <f t="shared" si="20"/>
        <v>945.80195000000003</v>
      </c>
      <c r="L103" s="8">
        <f t="shared" si="20"/>
        <v>1043.4519500000001</v>
      </c>
      <c r="M103" s="8">
        <f t="shared" si="20"/>
        <v>1326.8149500000002</v>
      </c>
      <c r="N103" s="8">
        <f t="shared" si="20"/>
        <v>1510.7359500000002</v>
      </c>
      <c r="O103" s="8">
        <f t="shared" si="20"/>
        <v>1567.4399500000002</v>
      </c>
      <c r="P103" s="8">
        <f t="shared" si="20"/>
        <v>2133.2589500000004</v>
      </c>
      <c r="Q103" s="8">
        <f t="shared" si="20"/>
        <v>2646.1219498500004</v>
      </c>
      <c r="R103" s="7">
        <f t="shared" si="15"/>
        <v>13488.289619850002</v>
      </c>
      <c r="S103" s="115"/>
    </row>
    <row r="104" spans="2:19" x14ac:dyDescent="0.25">
      <c r="B104" s="6" t="s">
        <v>14</v>
      </c>
      <c r="C104" s="7">
        <v>0</v>
      </c>
      <c r="D104" s="8">
        <f t="shared" ref="D104:Q104" si="21">C104+D12</f>
        <v>0</v>
      </c>
      <c r="E104" s="8">
        <f t="shared" si="21"/>
        <v>0</v>
      </c>
      <c r="F104" s="8">
        <f t="shared" si="21"/>
        <v>0</v>
      </c>
      <c r="G104" s="8">
        <f t="shared" si="21"/>
        <v>0</v>
      </c>
      <c r="H104" s="8">
        <f t="shared" si="21"/>
        <v>0</v>
      </c>
      <c r="I104" s="8">
        <f t="shared" si="21"/>
        <v>0</v>
      </c>
      <c r="J104" s="8">
        <f t="shared" si="21"/>
        <v>0</v>
      </c>
      <c r="K104" s="8">
        <f t="shared" si="21"/>
        <v>0</v>
      </c>
      <c r="L104" s="8">
        <f t="shared" si="21"/>
        <v>4.9340000000000002</v>
      </c>
      <c r="M104" s="8">
        <f t="shared" si="21"/>
        <v>208.46699999999996</v>
      </c>
      <c r="N104" s="8">
        <f t="shared" si="21"/>
        <v>208.99999999999994</v>
      </c>
      <c r="O104" s="8">
        <f t="shared" si="21"/>
        <v>217.40899999999993</v>
      </c>
      <c r="P104" s="8">
        <f t="shared" si="21"/>
        <v>217.40899999999993</v>
      </c>
      <c r="Q104" s="8">
        <f t="shared" si="21"/>
        <v>217.40899999999993</v>
      </c>
      <c r="R104" s="7">
        <f t="shared" si="15"/>
        <v>1074.6279999999997</v>
      </c>
      <c r="S104" s="115"/>
    </row>
    <row r="105" spans="2:19" x14ac:dyDescent="0.25">
      <c r="B105" s="6" t="s">
        <v>24</v>
      </c>
      <c r="C105" s="7">
        <v>0</v>
      </c>
      <c r="D105" s="8">
        <f t="shared" ref="D105:Q106" si="22">C105+D13</f>
        <v>27.516580000000001</v>
      </c>
      <c r="E105" s="8">
        <f t="shared" si="22"/>
        <v>100.26223000000002</v>
      </c>
      <c r="F105" s="8">
        <f t="shared" si="22"/>
        <v>100.26223000000002</v>
      </c>
      <c r="G105" s="8">
        <f t="shared" si="22"/>
        <v>221.59823</v>
      </c>
      <c r="H105" s="8">
        <f t="shared" si="22"/>
        <v>225.51754</v>
      </c>
      <c r="I105" s="8">
        <f t="shared" si="22"/>
        <v>241.34596999999999</v>
      </c>
      <c r="J105" s="8">
        <f t="shared" si="22"/>
        <v>248.06810999999999</v>
      </c>
      <c r="K105" s="8">
        <f t="shared" si="22"/>
        <v>259.41899000000001</v>
      </c>
      <c r="L105" s="8">
        <f t="shared" si="22"/>
        <v>305.47998999999999</v>
      </c>
      <c r="M105" s="8">
        <f t="shared" si="22"/>
        <v>338.71898999999996</v>
      </c>
      <c r="N105" s="8">
        <f t="shared" si="22"/>
        <v>338.71898999999996</v>
      </c>
      <c r="O105" s="8">
        <f t="shared" si="22"/>
        <v>351.24798999999996</v>
      </c>
      <c r="P105" s="8">
        <f t="shared" si="22"/>
        <v>549.17098999999996</v>
      </c>
      <c r="Q105" s="8">
        <f t="shared" si="22"/>
        <v>568.46998999999994</v>
      </c>
      <c r="R105" s="7">
        <f t="shared" ref="R105" si="23">SUM(C105:P105)</f>
        <v>3307.32683</v>
      </c>
      <c r="S105" s="115"/>
    </row>
    <row r="106" spans="2:19" x14ac:dyDescent="0.25">
      <c r="B106" s="9" t="s">
        <v>186</v>
      </c>
      <c r="C106" s="10">
        <f t="shared" ref="C106" si="24">SUM(C97:C105)</f>
        <v>2275.4094999999998</v>
      </c>
      <c r="D106" s="8">
        <f>C106+D14</f>
        <v>6160.2714400000004</v>
      </c>
      <c r="E106" s="8">
        <f t="shared" si="22"/>
        <v>9545.5318399999996</v>
      </c>
      <c r="F106" s="8">
        <f t="shared" si="22"/>
        <v>13025.588377</v>
      </c>
      <c r="G106" s="8">
        <f t="shared" si="22"/>
        <v>15845.871209999999</v>
      </c>
      <c r="H106" s="8">
        <f t="shared" si="22"/>
        <v>18075.074720000001</v>
      </c>
      <c r="I106" s="8">
        <f t="shared" si="22"/>
        <v>21007.451290000001</v>
      </c>
      <c r="J106" s="8">
        <f t="shared" si="22"/>
        <v>23090.465700000001</v>
      </c>
      <c r="K106" s="8">
        <f t="shared" si="22"/>
        <v>25096.047570000002</v>
      </c>
      <c r="L106" s="8">
        <f t="shared" si="22"/>
        <v>27713.684570000001</v>
      </c>
      <c r="M106" s="8">
        <f t="shared" si="22"/>
        <v>31591.204570000002</v>
      </c>
      <c r="N106" s="8">
        <f t="shared" si="22"/>
        <v>35541.202570000001</v>
      </c>
      <c r="O106" s="8">
        <f t="shared" si="22"/>
        <v>38889.420570000002</v>
      </c>
      <c r="P106" s="8">
        <f t="shared" si="22"/>
        <v>42569.127226000004</v>
      </c>
      <c r="Q106" s="8">
        <f t="shared" si="22"/>
        <v>45386.667013626931</v>
      </c>
      <c r="R106" s="10">
        <f t="shared" ref="R106" si="25">SUM(R97:R105)</f>
        <v>355244.54817662691</v>
      </c>
      <c r="S106" s="116"/>
    </row>
    <row r="107" spans="2:19" x14ac:dyDescent="0.25">
      <c r="D107" s="8">
        <f>C107+D15</f>
        <v>0</v>
      </c>
      <c r="E107" s="8">
        <f t="shared" ref="E107:Q107" si="26">D107+E15</f>
        <v>0</v>
      </c>
      <c r="F107" s="8">
        <f t="shared" si="26"/>
        <v>0</v>
      </c>
      <c r="G107" s="8">
        <f t="shared" si="26"/>
        <v>0</v>
      </c>
      <c r="H107" s="8">
        <f t="shared" si="26"/>
        <v>0</v>
      </c>
      <c r="I107" s="8">
        <f t="shared" si="26"/>
        <v>0</v>
      </c>
      <c r="J107" s="8">
        <f t="shared" si="26"/>
        <v>0</v>
      </c>
      <c r="K107" s="8">
        <f t="shared" si="26"/>
        <v>0</v>
      </c>
      <c r="L107" s="8">
        <f t="shared" si="26"/>
        <v>0</v>
      </c>
      <c r="M107" s="8">
        <f t="shared" si="26"/>
        <v>0</v>
      </c>
      <c r="N107" s="8">
        <f t="shared" si="26"/>
        <v>0</v>
      </c>
      <c r="O107" s="8">
        <f t="shared" si="26"/>
        <v>0</v>
      </c>
      <c r="P107" s="8">
        <f t="shared" si="26"/>
        <v>0</v>
      </c>
      <c r="Q107" s="8">
        <f t="shared" si="26"/>
        <v>0</v>
      </c>
    </row>
    <row r="108" spans="2:19" x14ac:dyDescent="0.25">
      <c r="B108" s="6" t="s">
        <v>161</v>
      </c>
      <c r="C108" s="7"/>
      <c r="D108" s="8">
        <f t="shared" ref="D108:Q109" si="27">C108+D16</f>
        <v>0</v>
      </c>
      <c r="E108" s="8">
        <f t="shared" si="27"/>
        <v>0</v>
      </c>
      <c r="F108" s="8">
        <f t="shared" si="27"/>
        <v>0</v>
      </c>
      <c r="G108" s="8">
        <f t="shared" si="27"/>
        <v>0</v>
      </c>
      <c r="H108" s="8">
        <f t="shared" si="27"/>
        <v>0</v>
      </c>
      <c r="I108" s="8">
        <f t="shared" si="27"/>
        <v>0</v>
      </c>
      <c r="J108" s="8">
        <f t="shared" si="27"/>
        <v>0</v>
      </c>
      <c r="K108" s="8">
        <f t="shared" si="27"/>
        <v>0</v>
      </c>
      <c r="L108" s="8">
        <f t="shared" si="27"/>
        <v>0</v>
      </c>
      <c r="M108" s="8">
        <f t="shared" si="27"/>
        <v>0</v>
      </c>
      <c r="N108" s="8">
        <f t="shared" si="27"/>
        <v>0</v>
      </c>
      <c r="O108" s="8">
        <f t="shared" si="27"/>
        <v>1558.453</v>
      </c>
      <c r="P108" s="8">
        <f t="shared" si="27"/>
        <v>4191.2469999999994</v>
      </c>
      <c r="Q108" s="8">
        <f t="shared" si="27"/>
        <v>6587.5819999999994</v>
      </c>
      <c r="R108" s="7">
        <f>SUM(C108:Q108)</f>
        <v>12337.281999999999</v>
      </c>
      <c r="S108" s="115"/>
    </row>
    <row r="109" spans="2:19" x14ac:dyDescent="0.25">
      <c r="B109" s="9" t="s">
        <v>187</v>
      </c>
      <c r="C109" s="10">
        <f>C106</f>
        <v>2275.4094999999998</v>
      </c>
      <c r="D109" s="8">
        <f>C109+D17</f>
        <v>6160.2714400000004</v>
      </c>
      <c r="E109" s="8">
        <f t="shared" si="27"/>
        <v>9545.5318399999996</v>
      </c>
      <c r="F109" s="8">
        <f t="shared" si="27"/>
        <v>13025.588377</v>
      </c>
      <c r="G109" s="8">
        <f t="shared" si="27"/>
        <v>15845.871209999999</v>
      </c>
      <c r="H109" s="8">
        <f t="shared" si="27"/>
        <v>18075.074720000001</v>
      </c>
      <c r="I109" s="8">
        <f t="shared" si="27"/>
        <v>21007.451290000001</v>
      </c>
      <c r="J109" s="8">
        <f t="shared" si="27"/>
        <v>23090.465700000001</v>
      </c>
      <c r="K109" s="8">
        <f t="shared" si="27"/>
        <v>25096.047570000002</v>
      </c>
      <c r="L109" s="8">
        <f t="shared" si="27"/>
        <v>27713.684570000001</v>
      </c>
      <c r="M109" s="8">
        <f t="shared" si="27"/>
        <v>31591.204570000002</v>
      </c>
      <c r="N109" s="8">
        <f t="shared" si="27"/>
        <v>35541.202570000001</v>
      </c>
      <c r="O109" s="8">
        <f t="shared" si="27"/>
        <v>40447.873570000003</v>
      </c>
      <c r="P109" s="8">
        <f t="shared" si="27"/>
        <v>46760.374226</v>
      </c>
      <c r="Q109" s="8">
        <f t="shared" si="27"/>
        <v>51974.249013626926</v>
      </c>
      <c r="R109" s="10">
        <f>R108+R106</f>
        <v>367581.83017662691</v>
      </c>
      <c r="S109" s="116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425B-AA66-49CA-8C67-BA2BF1DCCA83}">
  <sheetPr>
    <tabColor theme="7" tint="0.39997558519241921"/>
  </sheetPr>
  <dimension ref="B2:W83"/>
  <sheetViews>
    <sheetView topLeftCell="A9" zoomScale="85" zoomScaleNormal="85" workbookViewId="0">
      <selection activeCell="Q11" sqref="Q11:Q25"/>
    </sheetView>
  </sheetViews>
  <sheetFormatPr baseColWidth="10" defaultRowHeight="15" x14ac:dyDescent="0.25"/>
  <cols>
    <col min="1" max="1" width="5.7109375" style="2" customWidth="1"/>
    <col min="2" max="2" width="60" style="2" customWidth="1"/>
    <col min="3" max="3" width="11.42578125" style="2"/>
    <col min="4" max="4" width="15.28515625" style="2" customWidth="1"/>
    <col min="5" max="5" width="17.140625" style="2" customWidth="1"/>
    <col min="6" max="16" width="11.42578125" style="2"/>
    <col min="17" max="17" width="31.5703125" style="2" customWidth="1"/>
    <col min="18" max="18" width="15" style="2" customWidth="1"/>
    <col min="19" max="19" width="11.42578125" style="2"/>
    <col min="20" max="20" width="15.7109375" style="2" customWidth="1"/>
    <col min="21" max="21" width="11.42578125" style="2"/>
    <col min="22" max="22" width="16.28515625" style="2" customWidth="1"/>
    <col min="23" max="16384" width="11.42578125" style="2"/>
  </cols>
  <sheetData>
    <row r="2" spans="2:20" x14ac:dyDescent="0.25">
      <c r="B2" s="1" t="s">
        <v>0</v>
      </c>
    </row>
    <row r="4" spans="2:20" x14ac:dyDescent="0.25">
      <c r="B4" s="3"/>
      <c r="C4" s="4">
        <v>2009</v>
      </c>
      <c r="D4" s="4">
        <v>2010</v>
      </c>
      <c r="E4" s="4">
        <v>2011</v>
      </c>
      <c r="F4" s="4">
        <v>2012</v>
      </c>
      <c r="G4" s="4">
        <v>2013</v>
      </c>
      <c r="H4" s="4">
        <v>2014</v>
      </c>
      <c r="I4" s="4">
        <v>2015</v>
      </c>
      <c r="J4" s="4">
        <v>2016</v>
      </c>
      <c r="K4" s="4">
        <v>2017</v>
      </c>
      <c r="L4" s="4">
        <v>2018</v>
      </c>
      <c r="M4" s="4">
        <v>2019</v>
      </c>
      <c r="N4" s="4">
        <v>2020</v>
      </c>
      <c r="O4" s="4">
        <v>2021</v>
      </c>
      <c r="P4" s="4">
        <v>2022</v>
      </c>
      <c r="Q4" s="4">
        <v>2023</v>
      </c>
      <c r="R4" s="5" t="s">
        <v>1</v>
      </c>
    </row>
    <row r="5" spans="2:20" x14ac:dyDescent="0.25">
      <c r="B5" s="6" t="s">
        <v>2</v>
      </c>
      <c r="C5" s="7">
        <v>159782</v>
      </c>
      <c r="D5" s="8">
        <v>257062.43222999998</v>
      </c>
      <c r="E5" s="7">
        <v>232942</v>
      </c>
      <c r="F5" s="8">
        <v>222712.5362</v>
      </c>
      <c r="G5" s="7">
        <v>194933.05374999999</v>
      </c>
      <c r="H5" s="8">
        <v>134857</v>
      </c>
      <c r="I5" s="7">
        <v>187426.52500000002</v>
      </c>
      <c r="J5" s="8">
        <v>182495</v>
      </c>
      <c r="K5" s="7">
        <v>180597.43</v>
      </c>
      <c r="L5" s="8">
        <v>238631.69</v>
      </c>
      <c r="M5" s="7">
        <v>276960.16200000001</v>
      </c>
      <c r="N5" s="8">
        <v>316988.90000000002</v>
      </c>
      <c r="O5" s="7">
        <v>300909.10000000003</v>
      </c>
      <c r="P5" s="8">
        <v>463299.37062000006</v>
      </c>
      <c r="Q5" s="8">
        <v>536100.26797000004</v>
      </c>
      <c r="R5" s="7">
        <f>SUM(C5:Q5)</f>
        <v>3885697.4677699995</v>
      </c>
    </row>
    <row r="6" spans="2:20" x14ac:dyDescent="0.25">
      <c r="B6" s="6" t="s">
        <v>3</v>
      </c>
      <c r="C6" s="7">
        <v>8793</v>
      </c>
      <c r="D6" s="7">
        <v>6405.5677700000233</v>
      </c>
      <c r="E6" s="7">
        <v>15512</v>
      </c>
      <c r="F6" s="7">
        <v>8664.4637999999977</v>
      </c>
      <c r="G6" s="7">
        <v>11186.946250000008</v>
      </c>
      <c r="H6" s="7">
        <v>30267</v>
      </c>
      <c r="I6" s="7">
        <v>28927.474999999977</v>
      </c>
      <c r="J6" s="7">
        <v>30505</v>
      </c>
      <c r="K6" s="7">
        <v>16657.570000000007</v>
      </c>
      <c r="L6" s="7">
        <v>20374.309999999998</v>
      </c>
      <c r="M6" s="7">
        <v>17643.837999999989</v>
      </c>
      <c r="N6" s="7">
        <v>32688.099999999977</v>
      </c>
      <c r="O6" s="7">
        <v>48649.068359999976</v>
      </c>
      <c r="P6" s="7">
        <v>58415.821860000025</v>
      </c>
      <c r="Q6" s="7">
        <v>64746.709009999751</v>
      </c>
      <c r="R6" s="7">
        <f>SUM(C6:Q6)</f>
        <v>399436.87004999974</v>
      </c>
    </row>
    <row r="7" spans="2:20" x14ac:dyDescent="0.25">
      <c r="B7" s="9" t="s">
        <v>4</v>
      </c>
      <c r="C7" s="10">
        <f>SUM(C5:C6)</f>
        <v>168575</v>
      </c>
      <c r="D7" s="10">
        <f t="shared" ref="D7:R7" si="0">SUM(D5:D6)</f>
        <v>263468</v>
      </c>
      <c r="E7" s="10">
        <f t="shared" si="0"/>
        <v>248454</v>
      </c>
      <c r="F7" s="10">
        <f t="shared" si="0"/>
        <v>231377</v>
      </c>
      <c r="G7" s="10">
        <f t="shared" si="0"/>
        <v>206120</v>
      </c>
      <c r="H7" s="10">
        <f t="shared" si="0"/>
        <v>165124</v>
      </c>
      <c r="I7" s="10">
        <f t="shared" si="0"/>
        <v>216354</v>
      </c>
      <c r="J7" s="10">
        <f t="shared" si="0"/>
        <v>213000</v>
      </c>
      <c r="K7" s="10">
        <f t="shared" si="0"/>
        <v>197255</v>
      </c>
      <c r="L7" s="10">
        <f t="shared" si="0"/>
        <v>259006</v>
      </c>
      <c r="M7" s="10">
        <f t="shared" si="0"/>
        <v>294604</v>
      </c>
      <c r="N7" s="10">
        <f t="shared" si="0"/>
        <v>349677</v>
      </c>
      <c r="O7" s="10">
        <f t="shared" si="0"/>
        <v>349558.16836000001</v>
      </c>
      <c r="P7" s="10">
        <f t="shared" si="0"/>
        <v>521715.19248000009</v>
      </c>
      <c r="Q7" s="10">
        <f t="shared" si="0"/>
        <v>600846.9769799998</v>
      </c>
      <c r="R7" s="10">
        <f t="shared" si="0"/>
        <v>4285134.3378199991</v>
      </c>
      <c r="T7" s="32">
        <v>820000</v>
      </c>
    </row>
    <row r="9" spans="2:20" x14ac:dyDescent="0.25">
      <c r="B9" s="1" t="s">
        <v>6</v>
      </c>
      <c r="Q9" s="2">
        <f>820/295</f>
        <v>2.7796610169491527</v>
      </c>
      <c r="T9" s="92">
        <f>(T7-Q7)/Q7</f>
        <v>0.36474016083348804</v>
      </c>
    </row>
    <row r="10" spans="2:20" x14ac:dyDescent="0.25">
      <c r="T10" s="92">
        <f>(T7-O7)/O7</f>
        <v>1.3458184480343922</v>
      </c>
    </row>
    <row r="11" spans="2:20" x14ac:dyDescent="0.25">
      <c r="B11" s="3"/>
      <c r="C11" s="4">
        <v>2009</v>
      </c>
      <c r="D11" s="4">
        <v>2010</v>
      </c>
      <c r="E11" s="4">
        <v>2011</v>
      </c>
      <c r="F11" s="4">
        <v>2012</v>
      </c>
      <c r="G11" s="4">
        <v>2013</v>
      </c>
      <c r="H11" s="4">
        <v>2014</v>
      </c>
      <c r="I11" s="4">
        <v>2015</v>
      </c>
      <c r="J11" s="4">
        <v>2016</v>
      </c>
      <c r="K11" s="4">
        <v>2017</v>
      </c>
      <c r="L11" s="4">
        <v>2018</v>
      </c>
      <c r="M11" s="4">
        <v>2019</v>
      </c>
      <c r="N11" s="4">
        <v>2020</v>
      </c>
      <c r="O11" s="4">
        <v>2021</v>
      </c>
      <c r="P11" s="4">
        <v>2022</v>
      </c>
      <c r="Q11" s="4">
        <v>2023</v>
      </c>
      <c r="R11" s="5" t="s">
        <v>1</v>
      </c>
    </row>
    <row r="12" spans="2:20" x14ac:dyDescent="0.25">
      <c r="B12" s="11" t="s">
        <v>7</v>
      </c>
      <c r="C12" s="8">
        <v>29417</v>
      </c>
      <c r="D12" s="8">
        <v>49482</v>
      </c>
      <c r="E12" s="8">
        <v>58093</v>
      </c>
      <c r="F12" s="8">
        <v>57166.734670000005</v>
      </c>
      <c r="G12" s="8">
        <v>51883.468029999989</v>
      </c>
      <c r="H12" s="8">
        <v>36069</v>
      </c>
      <c r="I12" s="8">
        <v>22572.5723</v>
      </c>
      <c r="J12" s="8">
        <v>23085</v>
      </c>
      <c r="K12" s="8">
        <v>37055</v>
      </c>
      <c r="L12" s="8">
        <v>36389.5</v>
      </c>
      <c r="M12" s="8">
        <v>31175.928</v>
      </c>
      <c r="N12" s="8">
        <v>46238.600000000006</v>
      </c>
      <c r="O12" s="8">
        <v>46198.9</v>
      </c>
      <c r="P12" s="8">
        <v>54710.487559999994</v>
      </c>
      <c r="Q12" s="8">
        <v>183974.3801241254</v>
      </c>
      <c r="R12" s="8">
        <f>SUM(C12:Q12)</f>
        <v>763511.57068412553</v>
      </c>
    </row>
    <row r="13" spans="2:20" x14ac:dyDescent="0.25">
      <c r="B13" s="11" t="s">
        <v>8</v>
      </c>
      <c r="C13" s="7">
        <v>62783</v>
      </c>
      <c r="D13" s="7">
        <v>91021.432229999991</v>
      </c>
      <c r="E13" s="7">
        <v>38284</v>
      </c>
      <c r="F13" s="7">
        <v>40503.417999999998</v>
      </c>
      <c r="G13" s="7">
        <v>27125.606090000001</v>
      </c>
      <c r="H13" s="7">
        <v>25817</v>
      </c>
      <c r="I13" s="7">
        <v>47452.12</v>
      </c>
      <c r="J13" s="7">
        <v>31192</v>
      </c>
      <c r="K13" s="7">
        <v>7504</v>
      </c>
      <c r="L13" s="7">
        <v>25316</v>
      </c>
      <c r="M13" s="7">
        <v>34766</v>
      </c>
      <c r="N13" s="7">
        <v>51040</v>
      </c>
      <c r="O13" s="7">
        <v>40922</v>
      </c>
      <c r="P13" s="7">
        <v>90843.479000000007</v>
      </c>
      <c r="Q13" s="7">
        <v>37488.382899999997</v>
      </c>
      <c r="R13" s="8">
        <f t="shared" ref="R13:R21" si="1">SUM(C13:Q13)</f>
        <v>652058.43822000001</v>
      </c>
    </row>
    <row r="14" spans="2:20" x14ac:dyDescent="0.25">
      <c r="B14" s="11" t="s">
        <v>9</v>
      </c>
      <c r="C14" s="8">
        <v>4275</v>
      </c>
      <c r="D14" s="8">
        <v>20921</v>
      </c>
      <c r="E14" s="8">
        <v>26103</v>
      </c>
      <c r="F14" s="8">
        <v>14483.69371</v>
      </c>
      <c r="G14" s="8">
        <v>9165.08007</v>
      </c>
      <c r="H14" s="8">
        <v>11592</v>
      </c>
      <c r="I14" s="8">
        <v>19712.675999999999</v>
      </c>
      <c r="J14" s="8">
        <v>17268</v>
      </c>
      <c r="K14" s="8">
        <v>17811.7</v>
      </c>
      <c r="L14" s="8">
        <v>22502</v>
      </c>
      <c r="M14" s="8">
        <v>29225</v>
      </c>
      <c r="N14" s="8">
        <v>30730.6</v>
      </c>
      <c r="O14" s="8">
        <v>23831.3</v>
      </c>
      <c r="P14" s="8">
        <v>34169.6086</v>
      </c>
      <c r="Q14" s="8">
        <v>58888.681121383961</v>
      </c>
      <c r="R14" s="8">
        <f t="shared" si="1"/>
        <v>340679.33950138395</v>
      </c>
      <c r="S14" s="50"/>
    </row>
    <row r="15" spans="2:20" x14ac:dyDescent="0.25">
      <c r="B15" s="11" t="s">
        <v>10</v>
      </c>
      <c r="C15" s="7">
        <v>361</v>
      </c>
      <c r="D15" s="7">
        <v>538</v>
      </c>
      <c r="E15" s="7">
        <v>1237</v>
      </c>
      <c r="F15" s="7">
        <v>0</v>
      </c>
      <c r="G15" s="7">
        <v>1648.8670199999999</v>
      </c>
      <c r="H15" s="7">
        <v>3796</v>
      </c>
      <c r="I15" s="7">
        <v>23562.952000000001</v>
      </c>
      <c r="J15" s="7">
        <v>16659</v>
      </c>
      <c r="K15" s="7">
        <v>18877</v>
      </c>
      <c r="L15" s="7">
        <v>22498</v>
      </c>
      <c r="M15" s="7">
        <v>55101</v>
      </c>
      <c r="N15" s="7">
        <v>52521</v>
      </c>
      <c r="O15" s="7">
        <v>41668</v>
      </c>
      <c r="P15" s="7">
        <v>30990.111250000002</v>
      </c>
      <c r="Q15" s="7">
        <v>8581.8089999999993</v>
      </c>
      <c r="R15" s="8">
        <f t="shared" si="1"/>
        <v>278039.73927000002</v>
      </c>
      <c r="S15" s="92"/>
    </row>
    <row r="16" spans="2:20" x14ac:dyDescent="0.25">
      <c r="B16" s="11" t="s">
        <v>11</v>
      </c>
      <c r="C16" s="8">
        <v>12672</v>
      </c>
      <c r="D16" s="8">
        <v>19279</v>
      </c>
      <c r="E16" s="8">
        <v>16323</v>
      </c>
      <c r="F16" s="8">
        <v>10135</v>
      </c>
      <c r="G16" s="8">
        <v>6132</v>
      </c>
      <c r="H16" s="8">
        <v>5038</v>
      </c>
      <c r="I16" s="8">
        <v>4090</v>
      </c>
      <c r="J16" s="8">
        <v>2739</v>
      </c>
      <c r="K16" s="8">
        <v>4547.33</v>
      </c>
      <c r="L16" s="8">
        <v>5474.2</v>
      </c>
      <c r="M16" s="8">
        <v>12661.056</v>
      </c>
      <c r="N16" s="8">
        <v>4856.7</v>
      </c>
      <c r="O16" s="8">
        <v>4049.7000000000003</v>
      </c>
      <c r="P16" s="8">
        <v>9993.2621799999997</v>
      </c>
      <c r="Q16" s="8">
        <v>21826.602434490673</v>
      </c>
      <c r="R16" s="8">
        <f t="shared" si="1"/>
        <v>139816.85061449066</v>
      </c>
    </row>
    <row r="17" spans="2:23" x14ac:dyDescent="0.25">
      <c r="B17" s="11" t="s">
        <v>12</v>
      </c>
      <c r="C17" s="7">
        <v>45202</v>
      </c>
      <c r="D17" s="7">
        <v>75769</v>
      </c>
      <c r="E17" s="7">
        <v>90648</v>
      </c>
      <c r="F17" s="7">
        <v>98466.389820000011</v>
      </c>
      <c r="G17" s="7">
        <v>96043.420539999992</v>
      </c>
      <c r="H17" s="7">
        <v>49809</v>
      </c>
      <c r="I17" s="7">
        <v>50057.094199999992</v>
      </c>
      <c r="J17" s="7">
        <v>79220</v>
      </c>
      <c r="K17" s="7">
        <v>87876.4</v>
      </c>
      <c r="L17" s="7">
        <v>118902.99</v>
      </c>
      <c r="M17" s="7">
        <v>103070.178</v>
      </c>
      <c r="N17" s="7">
        <v>127864</v>
      </c>
      <c r="O17" s="7">
        <v>135406.20000000001</v>
      </c>
      <c r="P17" s="7">
        <v>220615.95671999999</v>
      </c>
      <c r="Q17" s="7">
        <v>197508.58246999999</v>
      </c>
      <c r="R17" s="8">
        <f t="shared" si="1"/>
        <v>1576459.2117499998</v>
      </c>
    </row>
    <row r="18" spans="2:23" x14ac:dyDescent="0.25">
      <c r="B18" s="11" t="s">
        <v>13</v>
      </c>
      <c r="C18" s="8"/>
      <c r="D18" s="8"/>
      <c r="E18" s="8">
        <v>2254</v>
      </c>
      <c r="F18" s="8">
        <v>1957.3</v>
      </c>
      <c r="G18" s="8">
        <v>1118.6120000000001</v>
      </c>
      <c r="H18" s="8">
        <v>1090</v>
      </c>
      <c r="I18" s="8">
        <v>6912.1104999999998</v>
      </c>
      <c r="J18" s="8">
        <v>4110</v>
      </c>
      <c r="K18" s="8">
        <v>5761</v>
      </c>
      <c r="L18" s="8">
        <v>6610</v>
      </c>
      <c r="M18" s="8">
        <v>6608</v>
      </c>
      <c r="N18" s="8">
        <v>1238</v>
      </c>
      <c r="O18" s="8">
        <v>7206</v>
      </c>
      <c r="P18" s="8">
        <v>19367.058059999999</v>
      </c>
      <c r="Q18" s="8">
        <v>25467.352200000001</v>
      </c>
      <c r="R18" s="8">
        <f t="shared" si="1"/>
        <v>89699.432759999996</v>
      </c>
    </row>
    <row r="19" spans="2:23" x14ac:dyDescent="0.25">
      <c r="B19" s="11" t="s">
        <v>14</v>
      </c>
      <c r="C19" s="7"/>
      <c r="D19" s="7"/>
      <c r="E19" s="7"/>
      <c r="F19" s="7"/>
      <c r="G19" s="7"/>
      <c r="H19" s="7"/>
      <c r="I19" s="7"/>
      <c r="J19" s="7"/>
      <c r="K19" s="7"/>
      <c r="L19" s="7">
        <v>295</v>
      </c>
      <c r="M19" s="7">
        <v>2332</v>
      </c>
      <c r="N19" s="7">
        <v>107</v>
      </c>
      <c r="O19" s="7">
        <v>0</v>
      </c>
      <c r="P19" s="7">
        <v>0</v>
      </c>
      <c r="Q19" s="7"/>
      <c r="R19" s="8">
        <f t="shared" si="1"/>
        <v>2734</v>
      </c>
    </row>
    <row r="20" spans="2:23" x14ac:dyDescent="0.25">
      <c r="B20" s="11" t="s">
        <v>15</v>
      </c>
      <c r="C20" s="8">
        <v>5072</v>
      </c>
      <c r="D20" s="8">
        <v>52</v>
      </c>
      <c r="E20" s="8">
        <v>0</v>
      </c>
      <c r="F20" s="8">
        <v>0</v>
      </c>
      <c r="G20" s="8">
        <v>1816</v>
      </c>
      <c r="H20" s="8">
        <v>1646</v>
      </c>
      <c r="I20" s="8">
        <v>13067</v>
      </c>
      <c r="J20" s="8">
        <v>8222</v>
      </c>
      <c r="K20" s="8">
        <v>1165</v>
      </c>
      <c r="L20" s="8">
        <v>644</v>
      </c>
      <c r="M20" s="8">
        <v>2021</v>
      </c>
      <c r="N20" s="8">
        <v>2393</v>
      </c>
      <c r="O20" s="8">
        <v>1627</v>
      </c>
      <c r="P20" s="8">
        <v>2609.4072500000002</v>
      </c>
      <c r="Q20" s="8">
        <v>2364.4777200000003</v>
      </c>
      <c r="R20" s="8">
        <f t="shared" si="1"/>
        <v>42698.884970000006</v>
      </c>
    </row>
    <row r="21" spans="2:23" x14ac:dyDescent="0.25">
      <c r="B21" s="9" t="s">
        <v>16</v>
      </c>
      <c r="C21" s="10">
        <f t="shared" ref="C21:Q21" si="2">SUM(C12:C20)</f>
        <v>159782</v>
      </c>
      <c r="D21" s="10">
        <f t="shared" si="2"/>
        <v>257062.43222999998</v>
      </c>
      <c r="E21" s="10">
        <f t="shared" si="2"/>
        <v>232942</v>
      </c>
      <c r="F21" s="10">
        <f t="shared" si="2"/>
        <v>222712.5362</v>
      </c>
      <c r="G21" s="10">
        <f t="shared" si="2"/>
        <v>194933.05374999999</v>
      </c>
      <c r="H21" s="10">
        <f t="shared" si="2"/>
        <v>134857</v>
      </c>
      <c r="I21" s="10">
        <f t="shared" si="2"/>
        <v>187426.52500000002</v>
      </c>
      <c r="J21" s="10">
        <f t="shared" si="2"/>
        <v>182495</v>
      </c>
      <c r="K21" s="10">
        <f t="shared" si="2"/>
        <v>180597.43</v>
      </c>
      <c r="L21" s="10">
        <f t="shared" si="2"/>
        <v>238631.69</v>
      </c>
      <c r="M21" s="10">
        <f t="shared" si="2"/>
        <v>276960.16200000001</v>
      </c>
      <c r="N21" s="10">
        <f t="shared" si="2"/>
        <v>316988.90000000002</v>
      </c>
      <c r="O21" s="10">
        <f t="shared" si="2"/>
        <v>300909.10000000003</v>
      </c>
      <c r="P21" s="10">
        <f t="shared" si="2"/>
        <v>463299.37062</v>
      </c>
      <c r="Q21" s="10">
        <f t="shared" si="2"/>
        <v>536100.26796999993</v>
      </c>
      <c r="R21" s="10">
        <f t="shared" si="1"/>
        <v>3885697.4677699995</v>
      </c>
    </row>
    <row r="23" spans="2:23" x14ac:dyDescent="0.25">
      <c r="B23" s="11" t="s">
        <v>170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8">
        <v>86952.517000000007</v>
      </c>
      <c r="P23" s="8">
        <v>180827.93299999999</v>
      </c>
      <c r="Q23" s="8">
        <v>203429.81700000001</v>
      </c>
      <c r="R23" s="8">
        <f>SUM(C23:Q23)</f>
        <v>471210.26699999999</v>
      </c>
    </row>
    <row r="24" spans="2:23" x14ac:dyDescent="0.25">
      <c r="B24" s="9" t="s">
        <v>160</v>
      </c>
      <c r="C24" s="10">
        <f>C21</f>
        <v>159782</v>
      </c>
      <c r="D24" s="10">
        <f t="shared" ref="D24:N24" si="3">D21</f>
        <v>257062.43222999998</v>
      </c>
      <c r="E24" s="10">
        <f t="shared" si="3"/>
        <v>232942</v>
      </c>
      <c r="F24" s="10">
        <f t="shared" si="3"/>
        <v>222712.5362</v>
      </c>
      <c r="G24" s="10">
        <f t="shared" si="3"/>
        <v>194933.05374999999</v>
      </c>
      <c r="H24" s="10">
        <f t="shared" si="3"/>
        <v>134857</v>
      </c>
      <c r="I24" s="10">
        <f t="shared" si="3"/>
        <v>187426.52500000002</v>
      </c>
      <c r="J24" s="10">
        <f t="shared" si="3"/>
        <v>182495</v>
      </c>
      <c r="K24" s="10">
        <f t="shared" si="3"/>
        <v>180597.43</v>
      </c>
      <c r="L24" s="10">
        <f t="shared" si="3"/>
        <v>238631.69</v>
      </c>
      <c r="M24" s="10">
        <f t="shared" si="3"/>
        <v>276960.16200000001</v>
      </c>
      <c r="N24" s="10">
        <f t="shared" si="3"/>
        <v>316988.90000000002</v>
      </c>
      <c r="O24" s="10">
        <f>O23+O21</f>
        <v>387861.61700000003</v>
      </c>
      <c r="P24" s="10">
        <f>P23+P21</f>
        <v>644127.30362000002</v>
      </c>
      <c r="Q24" s="10">
        <f>Q23+Q21</f>
        <v>739530.08496999997</v>
      </c>
      <c r="R24" s="10">
        <f>R23+R21</f>
        <v>4356907.73477</v>
      </c>
    </row>
    <row r="25" spans="2:23" x14ac:dyDescent="0.25">
      <c r="B25" s="42" t="s">
        <v>159</v>
      </c>
      <c r="C25" s="10">
        <f t="shared" ref="C25:R25" si="4">C7+C23</f>
        <v>168575</v>
      </c>
      <c r="D25" s="10">
        <f t="shared" si="4"/>
        <v>263468</v>
      </c>
      <c r="E25" s="10">
        <f t="shared" si="4"/>
        <v>248454</v>
      </c>
      <c r="F25" s="10">
        <f t="shared" si="4"/>
        <v>231377</v>
      </c>
      <c r="G25" s="10">
        <f t="shared" si="4"/>
        <v>206120</v>
      </c>
      <c r="H25" s="10">
        <f t="shared" si="4"/>
        <v>165124</v>
      </c>
      <c r="I25" s="10">
        <f t="shared" si="4"/>
        <v>216354</v>
      </c>
      <c r="J25" s="10">
        <f t="shared" si="4"/>
        <v>213000</v>
      </c>
      <c r="K25" s="10">
        <f t="shared" si="4"/>
        <v>197255</v>
      </c>
      <c r="L25" s="10">
        <f t="shared" si="4"/>
        <v>259006</v>
      </c>
      <c r="M25" s="10">
        <f t="shared" si="4"/>
        <v>294604</v>
      </c>
      <c r="N25" s="10">
        <f t="shared" si="4"/>
        <v>349677</v>
      </c>
      <c r="O25" s="10">
        <f t="shared" si="4"/>
        <v>436510.68536</v>
      </c>
      <c r="P25" s="10">
        <f t="shared" si="4"/>
        <v>702543.12548000005</v>
      </c>
      <c r="Q25" s="10">
        <f t="shared" ref="Q25" si="5">Q7+Q23</f>
        <v>804276.79397999984</v>
      </c>
      <c r="R25" s="10">
        <f t="shared" si="4"/>
        <v>4756344.6048199991</v>
      </c>
    </row>
    <row r="26" spans="2:23" x14ac:dyDescent="0.25">
      <c r="O26" s="50">
        <f>O24-O17</f>
        <v>252455.41700000002</v>
      </c>
      <c r="P26" s="50">
        <f>P24-P17</f>
        <v>423511.3469</v>
      </c>
      <c r="Q26" s="50"/>
    </row>
    <row r="27" spans="2:23" x14ac:dyDescent="0.25">
      <c r="B27" s="1" t="s">
        <v>19</v>
      </c>
      <c r="J27" s="38" t="s">
        <v>47</v>
      </c>
    </row>
    <row r="28" spans="2:23" x14ac:dyDescent="0.25">
      <c r="V28" s="13"/>
      <c r="W28" s="13"/>
    </row>
    <row r="29" spans="2:23" x14ac:dyDescent="0.25">
      <c r="B29" s="3"/>
      <c r="C29" s="4">
        <v>2009</v>
      </c>
      <c r="D29" s="4">
        <v>2010</v>
      </c>
      <c r="E29" s="4">
        <v>2011</v>
      </c>
      <c r="F29" s="4">
        <v>2012</v>
      </c>
      <c r="G29" s="4">
        <v>2013</v>
      </c>
      <c r="H29" s="4">
        <v>2014</v>
      </c>
      <c r="I29" s="4">
        <v>2015</v>
      </c>
      <c r="J29" s="4">
        <v>2016</v>
      </c>
      <c r="K29" s="4">
        <v>2017</v>
      </c>
      <c r="L29" s="4">
        <v>2018</v>
      </c>
      <c r="M29" s="4">
        <v>2019</v>
      </c>
      <c r="N29" s="4">
        <v>2020</v>
      </c>
      <c r="O29" s="4">
        <v>2021</v>
      </c>
      <c r="P29" s="4">
        <v>2022</v>
      </c>
      <c r="Q29" s="4">
        <v>2023</v>
      </c>
      <c r="R29" s="5" t="s">
        <v>1</v>
      </c>
      <c r="V29" s="13"/>
      <c r="W29" s="13"/>
    </row>
    <row r="30" spans="2:23" x14ac:dyDescent="0.25">
      <c r="B30" s="6" t="s">
        <v>20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>
        <f>110721.40056-P20</f>
        <v>108111.99330999999</v>
      </c>
      <c r="Q30" s="8">
        <v>256038.18378132756</v>
      </c>
      <c r="R30" s="8">
        <f>SUM(C30:Q30)</f>
        <v>364150.17709132755</v>
      </c>
      <c r="S30" s="50">
        <f>+R30+R42</f>
        <v>748407.9270913275</v>
      </c>
      <c r="V30" s="13"/>
      <c r="W30" s="13"/>
    </row>
    <row r="31" spans="2:23" x14ac:dyDescent="0.25">
      <c r="B31" s="6" t="s">
        <v>21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>
        <v>90843.479000000007</v>
      </c>
      <c r="Q31" s="7">
        <v>37488.382899999997</v>
      </c>
      <c r="R31" s="8">
        <f t="shared" ref="R31:R38" si="6">SUM(C31:Q31)</f>
        <v>128331.8619</v>
      </c>
      <c r="V31" s="13"/>
      <c r="W31" s="13"/>
    </row>
    <row r="32" spans="2:23" x14ac:dyDescent="0.25">
      <c r="B32" s="6" t="s">
        <v>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>
        <v>50907.228600000002</v>
      </c>
      <c r="Q32" s="8">
        <v>79376.0502141818</v>
      </c>
      <c r="R32" s="8">
        <f t="shared" si="6"/>
        <v>130283.2788141818</v>
      </c>
      <c r="S32" s="50">
        <f>+R32</f>
        <v>130283.2788141818</v>
      </c>
      <c r="V32" s="13"/>
      <c r="W32" s="13"/>
    </row>
    <row r="33" spans="2:23" x14ac:dyDescent="0.25">
      <c r="B33" s="6" t="s">
        <v>10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>
        <v>31514.691250000003</v>
      </c>
      <c r="Q33" s="7">
        <v>8581.8089999999993</v>
      </c>
      <c r="R33" s="8">
        <f t="shared" si="6"/>
        <v>40096.500250000005</v>
      </c>
      <c r="S33" s="50">
        <f t="shared" ref="S33:S36" si="7">+R33</f>
        <v>40096.500250000005</v>
      </c>
      <c r="V33" s="13"/>
      <c r="W33" s="13"/>
    </row>
    <row r="34" spans="2:23" x14ac:dyDescent="0.25">
      <c r="B34" s="6" t="s">
        <v>11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>
        <v>10149.7359</v>
      </c>
      <c r="Q34" s="8">
        <v>21826.602434490673</v>
      </c>
      <c r="R34" s="8">
        <f t="shared" si="6"/>
        <v>31976.338334490672</v>
      </c>
      <c r="S34" s="50">
        <f t="shared" si="7"/>
        <v>31976.338334490672</v>
      </c>
      <c r="V34" s="13"/>
      <c r="W34" s="13"/>
    </row>
    <row r="35" spans="2:23" x14ac:dyDescent="0.25">
      <c r="B35" s="6" t="s">
        <v>22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>
        <v>66462.145000000004</v>
      </c>
      <c r="Q35" s="7">
        <v>57831.454720000002</v>
      </c>
      <c r="R35" s="8">
        <f t="shared" si="6"/>
        <v>124293.59972</v>
      </c>
      <c r="S35" s="50">
        <f t="shared" si="7"/>
        <v>124293.59972</v>
      </c>
      <c r="V35" s="13"/>
      <c r="W35" s="13"/>
    </row>
    <row r="36" spans="2:23" x14ac:dyDescent="0.25">
      <c r="B36" s="6" t="s">
        <v>23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>
        <v>57253.422059999997</v>
      </c>
      <c r="Q36" s="8">
        <v>67830.352199999994</v>
      </c>
      <c r="R36" s="8">
        <f t="shared" si="6"/>
        <v>125083.77425999999</v>
      </c>
      <c r="S36" s="50">
        <f t="shared" si="7"/>
        <v>125083.77425999999</v>
      </c>
      <c r="V36" s="13"/>
      <c r="W36" s="13"/>
    </row>
    <row r="37" spans="2:23" x14ac:dyDescent="0.25">
      <c r="B37" s="6" t="s">
        <v>14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>
        <v>0</v>
      </c>
      <c r="Q37" s="7"/>
      <c r="R37" s="8">
        <f t="shared" si="6"/>
        <v>0</v>
      </c>
      <c r="V37" s="13"/>
      <c r="W37" s="13"/>
    </row>
    <row r="38" spans="2:23" x14ac:dyDescent="0.25">
      <c r="B38" s="6" t="s">
        <v>24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>
        <v>45447.268249999994</v>
      </c>
      <c r="Q38" s="8">
        <v>4762.9549999999999</v>
      </c>
      <c r="R38" s="8">
        <f t="shared" si="6"/>
        <v>50210.223249999995</v>
      </c>
      <c r="V38" s="13"/>
      <c r="W38" s="13"/>
    </row>
    <row r="39" spans="2:23" x14ac:dyDescent="0.25">
      <c r="B39" s="6" t="s">
        <v>188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>
        <f>P20</f>
        <v>2609.4072500000002</v>
      </c>
      <c r="Q39" s="8">
        <v>2364.4777200000003</v>
      </c>
      <c r="R39" s="8">
        <f>Q39</f>
        <v>2364.4777200000003</v>
      </c>
      <c r="V39" s="13"/>
      <c r="W39" s="13"/>
    </row>
    <row r="40" spans="2:23" x14ac:dyDescent="0.25">
      <c r="B40" s="9" t="s">
        <v>16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>
        <f>SUM(P30:P39)</f>
        <v>463299.37062</v>
      </c>
      <c r="Q40" s="10">
        <f>SUM(Q30:Q39)</f>
        <v>536100.26796999993</v>
      </c>
      <c r="R40" s="10">
        <f>SUM(R30:R39)</f>
        <v>996790.23133999994</v>
      </c>
      <c r="V40" s="13"/>
      <c r="W40" s="13"/>
    </row>
    <row r="41" spans="2:23" x14ac:dyDescent="0.25">
      <c r="V41" s="13"/>
      <c r="W41" s="13"/>
    </row>
    <row r="42" spans="2:23" x14ac:dyDescent="0.25">
      <c r="B42" s="6" t="s">
        <v>161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8"/>
      <c r="P42" s="8">
        <v>180827.93299999999</v>
      </c>
      <c r="Q42" s="8">
        <f>Q23</f>
        <v>203429.81700000001</v>
      </c>
      <c r="R42" s="8">
        <f>SUM(C42:Q42)</f>
        <v>384257.75</v>
      </c>
      <c r="V42" s="13"/>
      <c r="W42" s="13"/>
    </row>
    <row r="43" spans="2:23" x14ac:dyDescent="0.25">
      <c r="B43" s="9" t="s">
        <v>26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>
        <f>P40+P42</f>
        <v>644127.30362000002</v>
      </c>
      <c r="Q43" s="10">
        <f>Q40+Q42</f>
        <v>739530.08496999997</v>
      </c>
      <c r="R43" s="10">
        <f>R42+R40</f>
        <v>1381047.9813399999</v>
      </c>
      <c r="V43" s="13"/>
      <c r="W43" s="13"/>
    </row>
    <row r="45" spans="2:23" x14ac:dyDescent="0.25">
      <c r="J45" s="2">
        <f>11.7/7</f>
        <v>1.6714285714285713</v>
      </c>
    </row>
    <row r="46" spans="2:23" x14ac:dyDescent="0.25">
      <c r="J46" s="2">
        <f>+J45/L46</f>
        <v>5.8499999999999993E-3</v>
      </c>
      <c r="L46" s="2">
        <f>4000/14</f>
        <v>285.71428571428572</v>
      </c>
    </row>
    <row r="48" spans="2:23" x14ac:dyDescent="0.25">
      <c r="B48" s="3"/>
      <c r="C48" s="4">
        <v>2009</v>
      </c>
      <c r="D48" s="4">
        <v>2010</v>
      </c>
      <c r="E48" s="4">
        <v>2011</v>
      </c>
      <c r="F48" s="4">
        <v>2012</v>
      </c>
      <c r="G48" s="4">
        <v>2013</v>
      </c>
      <c r="H48" s="4">
        <v>2014</v>
      </c>
      <c r="I48" s="4">
        <v>2015</v>
      </c>
      <c r="J48" s="4">
        <v>2016</v>
      </c>
      <c r="K48" s="4">
        <v>2017</v>
      </c>
      <c r="L48" s="4">
        <v>2018</v>
      </c>
      <c r="M48" s="4">
        <v>2019</v>
      </c>
      <c r="N48" s="4">
        <v>2020</v>
      </c>
      <c r="O48" s="4">
        <v>2021</v>
      </c>
      <c r="P48" s="4">
        <v>2022</v>
      </c>
      <c r="Q48" s="4"/>
      <c r="R48" s="16" t="s">
        <v>1</v>
      </c>
    </row>
    <row r="49" spans="2:18" x14ac:dyDescent="0.25">
      <c r="B49" s="11" t="s">
        <v>162</v>
      </c>
      <c r="C49" s="7">
        <v>62783</v>
      </c>
      <c r="D49" s="7">
        <v>91021.432229999991</v>
      </c>
      <c r="E49" s="7">
        <v>38284</v>
      </c>
      <c r="F49" s="7">
        <v>40503.417999999998</v>
      </c>
      <c r="G49" s="7">
        <v>27125.606090000001</v>
      </c>
      <c r="H49" s="7">
        <v>25817</v>
      </c>
      <c r="I49" s="7">
        <v>47452.12</v>
      </c>
      <c r="J49" s="7">
        <v>31192</v>
      </c>
      <c r="K49" s="7">
        <v>7504</v>
      </c>
      <c r="L49" s="7">
        <v>25316</v>
      </c>
      <c r="M49" s="7">
        <v>34766</v>
      </c>
      <c r="N49" s="7">
        <v>51040</v>
      </c>
      <c r="O49" s="7">
        <v>40922</v>
      </c>
      <c r="P49" s="7">
        <v>90843.479000000007</v>
      </c>
      <c r="Q49" s="7">
        <f>Q13</f>
        <v>37488.382899999997</v>
      </c>
      <c r="R49" s="7">
        <f>SUM(C49:Q49)</f>
        <v>652058.43822000001</v>
      </c>
    </row>
    <row r="50" spans="2:18" x14ac:dyDescent="0.25">
      <c r="B50" s="11" t="s">
        <v>163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8">
        <v>86952.517000000007</v>
      </c>
      <c r="P50" s="8">
        <v>180827.93299999999</v>
      </c>
      <c r="Q50" s="8">
        <f>Q42</f>
        <v>203429.81700000001</v>
      </c>
      <c r="R50" s="7">
        <f>SUM(C50:Q50)</f>
        <v>471210.26699999999</v>
      </c>
    </row>
    <row r="52" spans="2:18" x14ac:dyDescent="0.25">
      <c r="B52" s="64" t="s">
        <v>92</v>
      </c>
    </row>
    <row r="53" spans="2:18" x14ac:dyDescent="0.25">
      <c r="B53" s="54" t="s">
        <v>63</v>
      </c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>
        <v>0</v>
      </c>
      <c r="N53" s="54">
        <v>0</v>
      </c>
      <c r="O53" s="54">
        <v>0</v>
      </c>
      <c r="P53" s="54">
        <v>2035.38634</v>
      </c>
      <c r="Q53" s="54"/>
      <c r="R53" s="51"/>
    </row>
    <row r="54" spans="2:18" x14ac:dyDescent="0.25">
      <c r="B54" s="54" t="s">
        <v>64</v>
      </c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>
        <v>0</v>
      </c>
      <c r="N54" s="54">
        <v>0</v>
      </c>
      <c r="O54" s="54">
        <v>0</v>
      </c>
      <c r="P54" s="54">
        <v>682.93332000000009</v>
      </c>
      <c r="Q54" s="54"/>
      <c r="R54" s="51"/>
    </row>
    <row r="55" spans="2:18" x14ac:dyDescent="0.25">
      <c r="B55" s="54" t="s">
        <v>65</v>
      </c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>
        <v>0</v>
      </c>
      <c r="N55" s="54">
        <v>0</v>
      </c>
      <c r="O55" s="54">
        <v>0</v>
      </c>
      <c r="P55" s="54">
        <v>49.747</v>
      </c>
      <c r="Q55" s="54"/>
      <c r="R55" s="51"/>
    </row>
    <row r="56" spans="2:18" x14ac:dyDescent="0.25">
      <c r="B56" s="54" t="s">
        <v>66</v>
      </c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>
        <v>0</v>
      </c>
      <c r="N56" s="54">
        <v>0</v>
      </c>
      <c r="O56" s="54">
        <v>0</v>
      </c>
      <c r="P56" s="54">
        <v>23720.911379999998</v>
      </c>
      <c r="Q56" s="54"/>
      <c r="R56" s="51"/>
    </row>
    <row r="57" spans="2:18" x14ac:dyDescent="0.25">
      <c r="B57" s="54" t="s">
        <v>67</v>
      </c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>
        <v>0</v>
      </c>
      <c r="N57" s="54">
        <v>0</v>
      </c>
      <c r="O57" s="54">
        <v>0</v>
      </c>
      <c r="P57" s="54">
        <v>697.45</v>
      </c>
      <c r="Q57" s="54"/>
      <c r="R57" s="51"/>
    </row>
    <row r="58" spans="2:18" x14ac:dyDescent="0.25">
      <c r="B58" s="54" t="s">
        <v>68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>
        <v>0</v>
      </c>
      <c r="N58" s="54">
        <v>0</v>
      </c>
      <c r="O58" s="54">
        <v>0</v>
      </c>
      <c r="P58" s="54">
        <v>3749.3009999999999</v>
      </c>
      <c r="Q58" s="54"/>
      <c r="R58" s="51"/>
    </row>
    <row r="59" spans="2:18" x14ac:dyDescent="0.25">
      <c r="B59" s="54" t="s">
        <v>69</v>
      </c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>
        <v>0</v>
      </c>
      <c r="N59" s="54">
        <v>0</v>
      </c>
      <c r="O59" s="54">
        <v>0</v>
      </c>
      <c r="P59" s="54">
        <v>7.5</v>
      </c>
      <c r="Q59" s="54"/>
      <c r="R59" s="51"/>
    </row>
    <row r="60" spans="2:18" x14ac:dyDescent="0.25">
      <c r="B60" s="54" t="s">
        <v>70</v>
      </c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>
        <v>0</v>
      </c>
      <c r="N60" s="54">
        <v>0</v>
      </c>
      <c r="O60" s="54">
        <v>0</v>
      </c>
      <c r="P60" s="54">
        <v>2278.665</v>
      </c>
      <c r="Q60" s="54"/>
      <c r="R60" s="51"/>
    </row>
    <row r="61" spans="2:18" x14ac:dyDescent="0.25">
      <c r="B61" s="54" t="s">
        <v>71</v>
      </c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>
        <v>0</v>
      </c>
      <c r="N61" s="54">
        <v>0</v>
      </c>
      <c r="O61" s="52">
        <v>15440</v>
      </c>
      <c r="P61" s="51">
        <v>0</v>
      </c>
      <c r="Q61" s="51"/>
      <c r="R61" s="51"/>
    </row>
    <row r="62" spans="2:18" x14ac:dyDescent="0.25">
      <c r="B62" s="54" t="s">
        <v>72</v>
      </c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2">
        <v>13179</v>
      </c>
      <c r="O62" s="51">
        <v>0</v>
      </c>
      <c r="P62" s="51">
        <v>0</v>
      </c>
      <c r="Q62" s="51"/>
      <c r="R62" s="52"/>
    </row>
    <row r="63" spans="2:18" x14ac:dyDescent="0.25">
      <c r="B63" s="54" t="s">
        <v>73</v>
      </c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>
        <v>1733</v>
      </c>
      <c r="N63" s="54">
        <v>0</v>
      </c>
      <c r="O63" s="54">
        <v>0</v>
      </c>
      <c r="P63" s="54">
        <v>0</v>
      </c>
      <c r="Q63" s="54"/>
      <c r="R63" s="52"/>
    </row>
    <row r="64" spans="2:18" x14ac:dyDescent="0.25">
      <c r="B64" s="54" t="s">
        <v>74</v>
      </c>
      <c r="C64" s="54"/>
      <c r="D64" s="54"/>
      <c r="E64" s="54"/>
      <c r="F64" s="54"/>
      <c r="G64" s="54"/>
      <c r="H64" s="54"/>
      <c r="I64" s="54"/>
      <c r="J64" s="54"/>
      <c r="K64" s="54"/>
      <c r="L64" s="54">
        <v>6909</v>
      </c>
      <c r="M64" s="54"/>
      <c r="N64" s="54"/>
      <c r="O64" s="54"/>
      <c r="P64" s="54"/>
      <c r="Q64" s="54"/>
      <c r="R64" s="52"/>
    </row>
    <row r="65" spans="2:19" x14ac:dyDescent="0.25">
      <c r="B65" s="54" t="s">
        <v>78</v>
      </c>
      <c r="C65" s="54"/>
      <c r="D65" s="54"/>
      <c r="E65" s="54"/>
      <c r="F65" s="54"/>
      <c r="G65" s="54"/>
      <c r="H65" s="54"/>
      <c r="I65" s="54"/>
      <c r="J65" s="54"/>
      <c r="K65" s="54">
        <v>2521</v>
      </c>
      <c r="L65" s="54"/>
      <c r="M65" s="54"/>
      <c r="N65" s="54"/>
      <c r="O65" s="54"/>
      <c r="P65" s="54"/>
      <c r="Q65" s="54"/>
      <c r="R65" s="52"/>
    </row>
    <row r="66" spans="2:19" x14ac:dyDescent="0.25">
      <c r="B66" s="54" t="s">
        <v>1</v>
      </c>
      <c r="C66" s="54"/>
      <c r="D66" s="54"/>
      <c r="E66" s="54"/>
      <c r="F66" s="54"/>
      <c r="G66" s="54"/>
      <c r="H66" s="54"/>
      <c r="I66" s="54"/>
      <c r="J66" s="54"/>
      <c r="K66" s="56">
        <f>SUM(K53:K65)</f>
        <v>2521</v>
      </c>
      <c r="L66" s="56">
        <f>SUM(L53:L65)</f>
        <v>6909</v>
      </c>
      <c r="M66" s="56">
        <f>SUM(M53:M64)</f>
        <v>1733</v>
      </c>
      <c r="N66" s="56">
        <f t="shared" ref="N66:P66" si="8">SUM(N53:N64)</f>
        <v>13179</v>
      </c>
      <c r="O66" s="56">
        <f t="shared" si="8"/>
        <v>15440</v>
      </c>
      <c r="P66" s="56">
        <f t="shared" si="8"/>
        <v>33221.894039999999</v>
      </c>
      <c r="Q66" s="56">
        <f>'[1]BILAN EJ'!$B$14/1000</f>
        <v>122866.76380999999</v>
      </c>
      <c r="R66" s="52"/>
    </row>
    <row r="68" spans="2:19" x14ac:dyDescent="0.25">
      <c r="B68" s="64" t="s">
        <v>101</v>
      </c>
    </row>
    <row r="69" spans="2:19" x14ac:dyDescent="0.25">
      <c r="B69" s="9" t="s">
        <v>16</v>
      </c>
      <c r="C69" s="10">
        <f t="shared" ref="C69:P69" si="9">C7</f>
        <v>168575</v>
      </c>
      <c r="D69" s="10">
        <f t="shared" si="9"/>
        <v>263468</v>
      </c>
      <c r="E69" s="10">
        <f t="shared" si="9"/>
        <v>248454</v>
      </c>
      <c r="F69" s="10">
        <f t="shared" si="9"/>
        <v>231377</v>
      </c>
      <c r="G69" s="10">
        <f t="shared" si="9"/>
        <v>206120</v>
      </c>
      <c r="H69" s="10">
        <f t="shared" si="9"/>
        <v>165124</v>
      </c>
      <c r="I69" s="10">
        <f t="shared" si="9"/>
        <v>216354</v>
      </c>
      <c r="J69" s="10">
        <f t="shared" si="9"/>
        <v>213000</v>
      </c>
      <c r="K69" s="10">
        <f t="shared" si="9"/>
        <v>197255</v>
      </c>
      <c r="L69" s="10">
        <f t="shared" si="9"/>
        <v>259006</v>
      </c>
      <c r="M69" s="10">
        <f t="shared" si="9"/>
        <v>294604</v>
      </c>
      <c r="N69" s="10">
        <f t="shared" si="9"/>
        <v>349677</v>
      </c>
      <c r="O69" s="10">
        <f t="shared" si="9"/>
        <v>349558.16836000001</v>
      </c>
      <c r="P69" s="10">
        <f t="shared" si="9"/>
        <v>521715.19248000009</v>
      </c>
      <c r="Q69" s="10">
        <f t="shared" ref="Q69" si="10">Q7</f>
        <v>600846.9769799998</v>
      </c>
      <c r="R69" s="10">
        <f>SUM(C69:Q69)</f>
        <v>4285134.33782</v>
      </c>
    </row>
    <row r="70" spans="2:19" x14ac:dyDescent="0.25">
      <c r="B70" s="9" t="s">
        <v>75</v>
      </c>
      <c r="C70" s="10">
        <f>C69-C15</f>
        <v>168214</v>
      </c>
      <c r="D70" s="10">
        <f t="shared" ref="D70:R70" si="11">D69-D15</f>
        <v>262930</v>
      </c>
      <c r="E70" s="10">
        <f t="shared" si="11"/>
        <v>247217</v>
      </c>
      <c r="F70" s="10">
        <f t="shared" si="11"/>
        <v>231377</v>
      </c>
      <c r="G70" s="10">
        <f t="shared" si="11"/>
        <v>204471.13297999999</v>
      </c>
      <c r="H70" s="10">
        <f t="shared" si="11"/>
        <v>161328</v>
      </c>
      <c r="I70" s="10">
        <f t="shared" si="11"/>
        <v>192791.04800000001</v>
      </c>
      <c r="J70" s="10">
        <f t="shared" si="11"/>
        <v>196341</v>
      </c>
      <c r="K70" s="10">
        <f t="shared" si="11"/>
        <v>178378</v>
      </c>
      <c r="L70" s="10">
        <f t="shared" si="11"/>
        <v>236508</v>
      </c>
      <c r="M70" s="10">
        <f t="shared" si="11"/>
        <v>239503</v>
      </c>
      <c r="N70" s="10">
        <f t="shared" si="11"/>
        <v>297156</v>
      </c>
      <c r="O70" s="10">
        <f t="shared" si="11"/>
        <v>307890.16836000001</v>
      </c>
      <c r="P70" s="10">
        <f t="shared" si="11"/>
        <v>490725.08123000007</v>
      </c>
      <c r="Q70" s="10">
        <f t="shared" ref="Q70" si="12">Q69-Q15</f>
        <v>592265.16797999979</v>
      </c>
      <c r="R70" s="10">
        <f t="shared" si="11"/>
        <v>4007094.5985500002</v>
      </c>
    </row>
    <row r="71" spans="2:19" x14ac:dyDescent="0.25">
      <c r="B71" s="9" t="s">
        <v>80</v>
      </c>
      <c r="C71" s="10">
        <f>'FC 2009-2022 Aide k€'!C7-'FC Aide k€ FC'!C66</f>
        <v>168575</v>
      </c>
      <c r="D71" s="10">
        <f>'FC 2009-2022 Aide k€'!D7-'FC Aide k€ FC'!D66</f>
        <v>263468</v>
      </c>
      <c r="E71" s="10">
        <f>'FC 2009-2022 Aide k€'!E7-'FC Aide k€ FC'!E66</f>
        <v>248454</v>
      </c>
      <c r="F71" s="10">
        <f>'FC 2009-2022 Aide k€'!F7-'FC Aide k€ FC'!F66</f>
        <v>231377</v>
      </c>
      <c r="G71" s="10">
        <f>'FC 2009-2022 Aide k€'!G7-'FC Aide k€ FC'!G66</f>
        <v>206120</v>
      </c>
      <c r="H71" s="10">
        <f>'FC 2009-2022 Aide k€'!H7-'FC Aide k€ FC'!H66</f>
        <v>165124</v>
      </c>
      <c r="I71" s="10">
        <f>'FC 2009-2022 Aide k€'!I7-'FC Aide k€ FC'!I66</f>
        <v>216354</v>
      </c>
      <c r="J71" s="10">
        <f>'FC 2009-2022 Aide k€'!J7-'FC Aide k€ FC'!J66</f>
        <v>213000</v>
      </c>
      <c r="K71" s="10">
        <f>'FC 2009-2022 Aide k€'!K7-'FC Aide k€ FC'!K66</f>
        <v>194734</v>
      </c>
      <c r="L71" s="10">
        <f>'FC 2009-2022 Aide k€'!L7-'FC Aide k€ FC'!L66</f>
        <v>252097</v>
      </c>
      <c r="M71" s="10">
        <f>'FC 2009-2022 Aide k€'!M7-'FC Aide k€ FC'!M66</f>
        <v>292871</v>
      </c>
      <c r="N71" s="10">
        <f>'FC 2009-2022 Aide k€'!N7-'FC Aide k€ FC'!N66</f>
        <v>336498</v>
      </c>
      <c r="O71" s="10">
        <f>'FC 2009-2022 Aide k€'!O7-'FC Aide k€ FC'!O66</f>
        <v>334118.16836000001</v>
      </c>
      <c r="P71" s="10">
        <f>'FC 2009-2022 Aide k€'!P7-'FC Aide k€ FC'!P66</f>
        <v>488493.2984400001</v>
      </c>
      <c r="Q71" s="10">
        <f>Q7-'FC Aide k€ FC'!Q66</f>
        <v>477980.21316999983</v>
      </c>
      <c r="R71" s="10">
        <f t="shared" ref="R71:R72" si="13">SUM(C71:P71)</f>
        <v>3611283.4668000001</v>
      </c>
    </row>
    <row r="72" spans="2:19" x14ac:dyDescent="0.25">
      <c r="B72" s="9" t="s">
        <v>166</v>
      </c>
      <c r="C72" s="10">
        <f t="shared" ref="C72:P72" si="14">C7-C13</f>
        <v>105792</v>
      </c>
      <c r="D72" s="10">
        <f t="shared" si="14"/>
        <v>172446.56777000002</v>
      </c>
      <c r="E72" s="10">
        <f t="shared" si="14"/>
        <v>210170</v>
      </c>
      <c r="F72" s="10">
        <f t="shared" si="14"/>
        <v>190873.58199999999</v>
      </c>
      <c r="G72" s="10">
        <f t="shared" si="14"/>
        <v>178994.39390999998</v>
      </c>
      <c r="H72" s="10">
        <f t="shared" si="14"/>
        <v>139307</v>
      </c>
      <c r="I72" s="10">
        <f t="shared" si="14"/>
        <v>168901.88</v>
      </c>
      <c r="J72" s="10">
        <f t="shared" si="14"/>
        <v>181808</v>
      </c>
      <c r="K72" s="10">
        <f t="shared" si="14"/>
        <v>189751</v>
      </c>
      <c r="L72" s="10">
        <f t="shared" si="14"/>
        <v>233690</v>
      </c>
      <c r="M72" s="10">
        <f t="shared" si="14"/>
        <v>259838</v>
      </c>
      <c r="N72" s="10">
        <f t="shared" si="14"/>
        <v>298637</v>
      </c>
      <c r="O72" s="10">
        <f t="shared" si="14"/>
        <v>308636.16836000001</v>
      </c>
      <c r="P72" s="10">
        <f t="shared" si="14"/>
        <v>430871.71348000009</v>
      </c>
      <c r="Q72" s="10">
        <f t="shared" ref="Q72" si="15">Q7-Q13</f>
        <v>563358.59407999984</v>
      </c>
      <c r="R72" s="10">
        <f t="shared" si="13"/>
        <v>3069717.3055199999</v>
      </c>
    </row>
    <row r="73" spans="2:19" x14ac:dyDescent="0.25">
      <c r="B73" s="9" t="s">
        <v>76</v>
      </c>
      <c r="C73" s="10">
        <f>C69-C15-C66</f>
        <v>168214</v>
      </c>
      <c r="D73" s="10">
        <f t="shared" ref="D73:R73" si="16">D69-D15-D66</f>
        <v>262930</v>
      </c>
      <c r="E73" s="10">
        <f t="shared" si="16"/>
        <v>247217</v>
      </c>
      <c r="F73" s="10">
        <f t="shared" si="16"/>
        <v>231377</v>
      </c>
      <c r="G73" s="10">
        <f t="shared" si="16"/>
        <v>204471.13297999999</v>
      </c>
      <c r="H73" s="10">
        <f t="shared" si="16"/>
        <v>161328</v>
      </c>
      <c r="I73" s="10">
        <f t="shared" si="16"/>
        <v>192791.04800000001</v>
      </c>
      <c r="J73" s="10">
        <f t="shared" si="16"/>
        <v>196341</v>
      </c>
      <c r="K73" s="10">
        <f t="shared" si="16"/>
        <v>175857</v>
      </c>
      <c r="L73" s="10">
        <f t="shared" si="16"/>
        <v>229599</v>
      </c>
      <c r="M73" s="10">
        <f t="shared" si="16"/>
        <v>237770</v>
      </c>
      <c r="N73" s="10">
        <f t="shared" si="16"/>
        <v>283977</v>
      </c>
      <c r="O73" s="10">
        <f t="shared" si="16"/>
        <v>292450.16836000001</v>
      </c>
      <c r="P73" s="10">
        <f t="shared" si="16"/>
        <v>457503.18719000008</v>
      </c>
      <c r="Q73" s="10">
        <f t="shared" ref="Q73" si="17">Q69-Q15-Q66</f>
        <v>469398.40416999982</v>
      </c>
      <c r="R73" s="10">
        <f t="shared" si="16"/>
        <v>4007094.5985500002</v>
      </c>
    </row>
    <row r="74" spans="2:19" x14ac:dyDescent="0.25">
      <c r="B74" s="9" t="s">
        <v>83</v>
      </c>
      <c r="C74" s="10">
        <f>C73-C13</f>
        <v>105431</v>
      </c>
      <c r="D74" s="10">
        <f t="shared" ref="D74:R74" si="18">D73-D13</f>
        <v>171908.56777000002</v>
      </c>
      <c r="E74" s="10">
        <f t="shared" si="18"/>
        <v>208933</v>
      </c>
      <c r="F74" s="10">
        <f t="shared" si="18"/>
        <v>190873.58199999999</v>
      </c>
      <c r="G74" s="10">
        <f t="shared" si="18"/>
        <v>177345.52688999998</v>
      </c>
      <c r="H74" s="10">
        <f t="shared" si="18"/>
        <v>135511</v>
      </c>
      <c r="I74" s="10">
        <f t="shared" si="18"/>
        <v>145338.92800000001</v>
      </c>
      <c r="J74" s="10">
        <f t="shared" si="18"/>
        <v>165149</v>
      </c>
      <c r="K74" s="10">
        <f t="shared" si="18"/>
        <v>168353</v>
      </c>
      <c r="L74" s="10">
        <f t="shared" si="18"/>
        <v>204283</v>
      </c>
      <c r="M74" s="10">
        <f t="shared" si="18"/>
        <v>203004</v>
      </c>
      <c r="N74" s="10">
        <f t="shared" si="18"/>
        <v>232937</v>
      </c>
      <c r="O74" s="10">
        <f t="shared" si="18"/>
        <v>251528.16836000001</v>
      </c>
      <c r="P74" s="10">
        <f t="shared" si="18"/>
        <v>366659.70819000009</v>
      </c>
      <c r="Q74" s="10">
        <f t="shared" ref="Q74" si="19">Q73-Q13</f>
        <v>431910.02126999979</v>
      </c>
      <c r="R74" s="10">
        <f t="shared" si="18"/>
        <v>3355036.1603300003</v>
      </c>
      <c r="S74" s="50"/>
    </row>
    <row r="75" spans="2:19" x14ac:dyDescent="0.25">
      <c r="B75" s="9" t="s">
        <v>111</v>
      </c>
      <c r="C75" s="10">
        <f>C69-C13-C15</f>
        <v>105431</v>
      </c>
      <c r="D75" s="10">
        <f t="shared" ref="D75:P75" si="20">D69-D13-D15</f>
        <v>171908.56777000002</v>
      </c>
      <c r="E75" s="10">
        <f t="shared" si="20"/>
        <v>208933</v>
      </c>
      <c r="F75" s="10">
        <f t="shared" si="20"/>
        <v>190873.58199999999</v>
      </c>
      <c r="G75" s="10">
        <f t="shared" si="20"/>
        <v>177345.52688999998</v>
      </c>
      <c r="H75" s="10">
        <f t="shared" si="20"/>
        <v>135511</v>
      </c>
      <c r="I75" s="10">
        <f t="shared" si="20"/>
        <v>145338.92800000001</v>
      </c>
      <c r="J75" s="10">
        <f t="shared" si="20"/>
        <v>165149</v>
      </c>
      <c r="K75" s="10">
        <f t="shared" si="20"/>
        <v>170874</v>
      </c>
      <c r="L75" s="10">
        <f t="shared" si="20"/>
        <v>211192</v>
      </c>
      <c r="M75" s="10">
        <f t="shared" si="20"/>
        <v>204737</v>
      </c>
      <c r="N75" s="10">
        <f t="shared" si="20"/>
        <v>246116</v>
      </c>
      <c r="O75" s="10">
        <f t="shared" si="20"/>
        <v>266968.16836000001</v>
      </c>
      <c r="P75" s="10">
        <f t="shared" si="20"/>
        <v>399881.60223000008</v>
      </c>
      <c r="Q75" s="10">
        <f t="shared" ref="Q75" si="21">Q69-Q13-Q15</f>
        <v>554776.78507999983</v>
      </c>
      <c r="R75" s="10">
        <f t="shared" ref="R75" si="22">R74-R13-R15</f>
        <v>2424937.9828400007</v>
      </c>
      <c r="S75" s="50"/>
    </row>
    <row r="76" spans="2:19" x14ac:dyDescent="0.25">
      <c r="M76" s="50"/>
      <c r="N76" s="50"/>
      <c r="O76" s="50"/>
      <c r="P76" s="50"/>
      <c r="Q76" s="50"/>
    </row>
    <row r="77" spans="2:19" x14ac:dyDescent="0.25">
      <c r="B77" s="9" t="s">
        <v>86</v>
      </c>
      <c r="C77" s="59">
        <f t="shared" ref="C77:R77" si="23">C13/C7</f>
        <v>0.37243363488061693</v>
      </c>
      <c r="D77" s="59">
        <f t="shared" si="23"/>
        <v>0.34547433551702672</v>
      </c>
      <c r="E77" s="59">
        <f t="shared" si="23"/>
        <v>0.15408888566897697</v>
      </c>
      <c r="F77" s="59">
        <f t="shared" si="23"/>
        <v>0.17505377803325309</v>
      </c>
      <c r="G77" s="59">
        <f t="shared" si="23"/>
        <v>0.13160103866679604</v>
      </c>
      <c r="H77" s="59">
        <f t="shared" si="23"/>
        <v>0.15634916789806449</v>
      </c>
      <c r="I77" s="59">
        <f t="shared" si="23"/>
        <v>0.2193262893221295</v>
      </c>
      <c r="J77" s="59">
        <f t="shared" si="23"/>
        <v>0.14644131455399062</v>
      </c>
      <c r="K77" s="59">
        <f t="shared" si="23"/>
        <v>3.8042128209677825E-2</v>
      </c>
      <c r="L77" s="59">
        <f t="shared" si="23"/>
        <v>9.7742909430669558E-2</v>
      </c>
      <c r="M77" s="59">
        <f t="shared" si="23"/>
        <v>0.11800925988784945</v>
      </c>
      <c r="N77" s="59">
        <f t="shared" si="23"/>
        <v>0.14596327467920395</v>
      </c>
      <c r="O77" s="59">
        <f t="shared" si="23"/>
        <v>0.11706778357373585</v>
      </c>
      <c r="P77" s="59">
        <f t="shared" si="23"/>
        <v>0.17412465711065619</v>
      </c>
      <c r="Q77" s="59"/>
      <c r="R77" s="59">
        <f t="shared" si="23"/>
        <v>0.15216756041112248</v>
      </c>
    </row>
    <row r="78" spans="2:19" x14ac:dyDescent="0.25">
      <c r="B78" s="9" t="s">
        <v>110</v>
      </c>
      <c r="C78" s="59">
        <f>C15/C7</f>
        <v>2.1414800533886996E-3</v>
      </c>
      <c r="D78" s="59">
        <f t="shared" ref="D78:R78" si="24">D15/D7</f>
        <v>2.0419937146067073E-3</v>
      </c>
      <c r="E78" s="59">
        <f t="shared" si="24"/>
        <v>4.9787888301254957E-3</v>
      </c>
      <c r="F78" s="59">
        <f t="shared" si="24"/>
        <v>0</v>
      </c>
      <c r="G78" s="59">
        <f t="shared" si="24"/>
        <v>7.9995489035513297E-3</v>
      </c>
      <c r="H78" s="59">
        <f t="shared" si="24"/>
        <v>2.2988784186429592E-2</v>
      </c>
      <c r="I78" s="59">
        <f t="shared" si="24"/>
        <v>0.10890925058006785</v>
      </c>
      <c r="J78" s="59">
        <f t="shared" si="24"/>
        <v>7.8211267605633808E-2</v>
      </c>
      <c r="K78" s="59">
        <f t="shared" si="24"/>
        <v>9.5698461382474467E-2</v>
      </c>
      <c r="L78" s="59">
        <f t="shared" si="24"/>
        <v>8.6862852598009313E-2</v>
      </c>
      <c r="M78" s="59">
        <f t="shared" si="24"/>
        <v>0.18703412037854203</v>
      </c>
      <c r="N78" s="59">
        <f t="shared" si="24"/>
        <v>0.15019861186180389</v>
      </c>
      <c r="O78" s="59">
        <f t="shared" si="24"/>
        <v>0.11920190621060617</v>
      </c>
      <c r="P78" s="59">
        <f t="shared" si="24"/>
        <v>5.9400438585441431E-2</v>
      </c>
      <c r="Q78" s="59"/>
      <c r="R78" s="59">
        <f t="shared" si="24"/>
        <v>6.4884719439495739E-2</v>
      </c>
    </row>
    <row r="79" spans="2:19" x14ac:dyDescent="0.25">
      <c r="M79" s="50"/>
      <c r="N79" s="50"/>
      <c r="O79" s="50"/>
      <c r="P79" s="50"/>
      <c r="Q79" s="50"/>
    </row>
    <row r="80" spans="2:19" x14ac:dyDescent="0.25">
      <c r="B80" s="9" t="s">
        <v>94</v>
      </c>
      <c r="C80" s="10">
        <v>4499</v>
      </c>
      <c r="D80" s="10">
        <v>4073</v>
      </c>
      <c r="E80" s="10">
        <v>8430</v>
      </c>
      <c r="F80" s="10">
        <v>4273</v>
      </c>
      <c r="G80" s="10">
        <v>6259</v>
      </c>
      <c r="H80" s="10">
        <v>17111.832291809002</v>
      </c>
      <c r="I80" s="10">
        <v>26533.314686674996</v>
      </c>
      <c r="J80" s="10">
        <v>20439.260827536</v>
      </c>
      <c r="K80" s="10">
        <v>38857.708932079004</v>
      </c>
      <c r="L80" s="10">
        <v>81117.423049994002</v>
      </c>
      <c r="M80" s="10">
        <v>73193.264338570996</v>
      </c>
      <c r="N80" s="10">
        <v>92574.355548216001</v>
      </c>
      <c r="O80" s="10">
        <v>36845.171339496999</v>
      </c>
      <c r="P80" s="10">
        <v>36521.267241745998</v>
      </c>
      <c r="Q80" s="10"/>
      <c r="R80" s="10">
        <f>SUM(H80:P80)</f>
        <v>423193.59825612296</v>
      </c>
    </row>
    <row r="82" spans="2:18" x14ac:dyDescent="0.25">
      <c r="B82" s="9" t="s">
        <v>88</v>
      </c>
      <c r="C82" s="10">
        <f>C80+C25</f>
        <v>173074</v>
      </c>
      <c r="D82" s="10">
        <f t="shared" ref="D82:R82" si="25">D80+D25</f>
        <v>267541</v>
      </c>
      <c r="E82" s="10">
        <f t="shared" si="25"/>
        <v>256884</v>
      </c>
      <c r="F82" s="10">
        <f t="shared" si="25"/>
        <v>235650</v>
      </c>
      <c r="G82" s="10">
        <f t="shared" si="25"/>
        <v>212379</v>
      </c>
      <c r="H82" s="10">
        <f t="shared" si="25"/>
        <v>182235.832291809</v>
      </c>
      <c r="I82" s="10">
        <f t="shared" si="25"/>
        <v>242887.314686675</v>
      </c>
      <c r="J82" s="10">
        <f t="shared" si="25"/>
        <v>233439.260827536</v>
      </c>
      <c r="K82" s="10">
        <f t="shared" si="25"/>
        <v>236112.708932079</v>
      </c>
      <c r="L82" s="10">
        <f t="shared" si="25"/>
        <v>340123.42304999399</v>
      </c>
      <c r="M82" s="10">
        <f t="shared" si="25"/>
        <v>367797.264338571</v>
      </c>
      <c r="N82" s="10">
        <f t="shared" si="25"/>
        <v>442251.35554821603</v>
      </c>
      <c r="O82" s="10">
        <f t="shared" si="25"/>
        <v>473355.85669949697</v>
      </c>
      <c r="P82" s="10">
        <f t="shared" si="25"/>
        <v>739064.392721746</v>
      </c>
      <c r="Q82" s="10"/>
      <c r="R82" s="10">
        <f t="shared" si="25"/>
        <v>5179538.2030761223</v>
      </c>
    </row>
    <row r="83" spans="2:18" x14ac:dyDescent="0.25">
      <c r="B83" s="9" t="s">
        <v>89</v>
      </c>
      <c r="C83" s="10">
        <f t="shared" ref="C83:R83" si="26">C7+C80</f>
        <v>173074</v>
      </c>
      <c r="D83" s="10">
        <f t="shared" si="26"/>
        <v>267541</v>
      </c>
      <c r="E83" s="10">
        <f t="shared" si="26"/>
        <v>256884</v>
      </c>
      <c r="F83" s="10">
        <f t="shared" si="26"/>
        <v>235650</v>
      </c>
      <c r="G83" s="10">
        <f t="shared" si="26"/>
        <v>212379</v>
      </c>
      <c r="H83" s="10">
        <f t="shared" si="26"/>
        <v>182235.832291809</v>
      </c>
      <c r="I83" s="10">
        <f t="shared" si="26"/>
        <v>242887.314686675</v>
      </c>
      <c r="J83" s="10">
        <f t="shared" si="26"/>
        <v>233439.260827536</v>
      </c>
      <c r="K83" s="10">
        <f t="shared" si="26"/>
        <v>236112.708932079</v>
      </c>
      <c r="L83" s="10">
        <f t="shared" si="26"/>
        <v>340123.42304999399</v>
      </c>
      <c r="M83" s="10">
        <f t="shared" si="26"/>
        <v>367797.264338571</v>
      </c>
      <c r="N83" s="10">
        <f t="shared" si="26"/>
        <v>442251.35554821603</v>
      </c>
      <c r="O83" s="10">
        <f t="shared" si="26"/>
        <v>386403.33969949698</v>
      </c>
      <c r="P83" s="10">
        <f t="shared" si="26"/>
        <v>558236.45972174604</v>
      </c>
      <c r="Q83" s="10"/>
      <c r="R83" s="10">
        <f t="shared" si="26"/>
        <v>4708327.9360761223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716C-48BB-4C45-AC5D-E2DC9BC2B244}">
  <sheetPr>
    <tabColor theme="7" tint="0.39997558519241921"/>
  </sheetPr>
  <dimension ref="B2:V64"/>
  <sheetViews>
    <sheetView zoomScaleNormal="100" workbookViewId="0">
      <selection activeCell="B16" sqref="B16:Q16"/>
    </sheetView>
  </sheetViews>
  <sheetFormatPr baseColWidth="10" defaultRowHeight="15" x14ac:dyDescent="0.25"/>
  <cols>
    <col min="1" max="1" width="5.7109375" style="2" customWidth="1"/>
    <col min="2" max="2" width="32.7109375" style="2" bestFit="1" customWidth="1"/>
    <col min="3" max="3" width="11.42578125" style="2"/>
    <col min="4" max="4" width="15.28515625" style="2" customWidth="1"/>
    <col min="5" max="5" width="17.140625" style="2" customWidth="1"/>
    <col min="6" max="16" width="11.42578125" style="2"/>
    <col min="17" max="17" width="15" style="2" customWidth="1"/>
    <col min="18" max="20" width="11.42578125" style="2"/>
    <col min="21" max="21" width="16.28515625" style="2" customWidth="1"/>
    <col min="22" max="16384" width="11.42578125" style="2"/>
  </cols>
  <sheetData>
    <row r="2" spans="2:17" x14ac:dyDescent="0.25">
      <c r="B2" s="1" t="s">
        <v>0</v>
      </c>
    </row>
    <row r="4" spans="2:17" x14ac:dyDescent="0.25">
      <c r="B4" s="3"/>
      <c r="C4" s="4">
        <v>2009</v>
      </c>
      <c r="D4" s="4">
        <v>2010</v>
      </c>
      <c r="E4" s="4">
        <v>2011</v>
      </c>
      <c r="F4" s="4">
        <v>2012</v>
      </c>
      <c r="G4" s="4">
        <v>2013</v>
      </c>
      <c r="H4" s="4">
        <v>2014</v>
      </c>
      <c r="I4" s="4">
        <v>2015</v>
      </c>
      <c r="J4" s="4">
        <v>2016</v>
      </c>
      <c r="K4" s="4">
        <v>2017</v>
      </c>
      <c r="L4" s="4">
        <v>2018</v>
      </c>
      <c r="M4" s="4">
        <v>2019</v>
      </c>
      <c r="N4" s="4">
        <v>2020</v>
      </c>
      <c r="O4" s="4">
        <v>2021</v>
      </c>
      <c r="P4" s="4">
        <v>2022</v>
      </c>
      <c r="Q4" s="5" t="s">
        <v>1</v>
      </c>
    </row>
    <row r="5" spans="2:17" x14ac:dyDescent="0.25">
      <c r="B5" s="6" t="s">
        <v>2</v>
      </c>
      <c r="C5" s="7">
        <v>159782</v>
      </c>
      <c r="D5" s="8">
        <v>257062.43222999998</v>
      </c>
      <c r="E5" s="7">
        <v>232942</v>
      </c>
      <c r="F5" s="8">
        <v>222712.5362</v>
      </c>
      <c r="G5" s="7">
        <v>194933.05374999999</v>
      </c>
      <c r="H5" s="8">
        <v>134857</v>
      </c>
      <c r="I5" s="7">
        <v>187426.52500000002</v>
      </c>
      <c r="J5" s="8">
        <v>182495</v>
      </c>
      <c r="K5" s="7">
        <v>180597.43</v>
      </c>
      <c r="L5" s="8">
        <v>238631.69</v>
      </c>
      <c r="M5" s="7">
        <v>276960.16200000001</v>
      </c>
      <c r="N5" s="8">
        <v>316988.90000000002</v>
      </c>
      <c r="O5" s="7">
        <v>300909.10000000003</v>
      </c>
      <c r="P5" s="8">
        <v>463299.37062000006</v>
      </c>
      <c r="Q5" s="7">
        <f>SUM(C5:P5)</f>
        <v>3349597.1997999996</v>
      </c>
    </row>
    <row r="6" spans="2:17" x14ac:dyDescent="0.25">
      <c r="B6" s="6" t="s">
        <v>3</v>
      </c>
      <c r="C6" s="7">
        <v>8793</v>
      </c>
      <c r="D6" s="7">
        <v>6405.5677700000233</v>
      </c>
      <c r="E6" s="7">
        <v>15512</v>
      </c>
      <c r="F6" s="7">
        <v>8664.4637999999977</v>
      </c>
      <c r="G6" s="7">
        <v>11186.946250000008</v>
      </c>
      <c r="H6" s="7">
        <v>30267</v>
      </c>
      <c r="I6" s="7">
        <v>28927.474999999977</v>
      </c>
      <c r="J6" s="7">
        <v>30505</v>
      </c>
      <c r="K6" s="7">
        <v>16657.570000000007</v>
      </c>
      <c r="L6" s="7">
        <v>20374.309999999998</v>
      </c>
      <c r="M6" s="7">
        <v>17643.837999999989</v>
      </c>
      <c r="N6" s="7">
        <v>32688.099999999977</v>
      </c>
      <c r="O6" s="7">
        <v>48649.068359999976</v>
      </c>
      <c r="P6" s="7">
        <v>58415.821860000025</v>
      </c>
      <c r="Q6" s="7">
        <f t="shared" ref="Q6" si="0">SUM(C6:P6)</f>
        <v>334690.16103999998</v>
      </c>
    </row>
    <row r="7" spans="2:17" x14ac:dyDescent="0.25">
      <c r="B7" s="9" t="s">
        <v>4</v>
      </c>
      <c r="C7" s="10">
        <f>SUM(C5:C6)</f>
        <v>168575</v>
      </c>
      <c r="D7" s="10">
        <f t="shared" ref="D7:Q7" si="1">SUM(D5:D6)</f>
        <v>263468</v>
      </c>
      <c r="E7" s="10">
        <f t="shared" si="1"/>
        <v>248454</v>
      </c>
      <c r="F7" s="10">
        <f t="shared" si="1"/>
        <v>231377</v>
      </c>
      <c r="G7" s="10">
        <f t="shared" si="1"/>
        <v>206120</v>
      </c>
      <c r="H7" s="10">
        <f t="shared" si="1"/>
        <v>165124</v>
      </c>
      <c r="I7" s="10">
        <f t="shared" si="1"/>
        <v>216354</v>
      </c>
      <c r="J7" s="10">
        <f t="shared" si="1"/>
        <v>213000</v>
      </c>
      <c r="K7" s="10">
        <f t="shared" si="1"/>
        <v>197255</v>
      </c>
      <c r="L7" s="10">
        <f t="shared" si="1"/>
        <v>259006</v>
      </c>
      <c r="M7" s="10">
        <f t="shared" si="1"/>
        <v>294604</v>
      </c>
      <c r="N7" s="10">
        <f t="shared" si="1"/>
        <v>349677</v>
      </c>
      <c r="O7" s="10">
        <f t="shared" si="1"/>
        <v>349558.16836000001</v>
      </c>
      <c r="P7" s="10">
        <f t="shared" si="1"/>
        <v>521715.19248000009</v>
      </c>
      <c r="Q7" s="10">
        <f t="shared" si="1"/>
        <v>3684287.3608399997</v>
      </c>
    </row>
    <row r="10" spans="2:17" x14ac:dyDescent="0.25">
      <c r="B10" s="1" t="s">
        <v>6</v>
      </c>
    </row>
    <row r="12" spans="2:17" x14ac:dyDescent="0.25">
      <c r="B12" s="3"/>
      <c r="C12" s="4">
        <v>2009</v>
      </c>
      <c r="D12" s="4">
        <v>2010</v>
      </c>
      <c r="E12" s="4">
        <v>2011</v>
      </c>
      <c r="F12" s="4">
        <v>2012</v>
      </c>
      <c r="G12" s="4">
        <v>2013</v>
      </c>
      <c r="H12" s="4">
        <v>2014</v>
      </c>
      <c r="I12" s="4">
        <v>2015</v>
      </c>
      <c r="J12" s="4">
        <v>2016</v>
      </c>
      <c r="K12" s="4">
        <v>2017</v>
      </c>
      <c r="L12" s="4">
        <v>2018</v>
      </c>
      <c r="M12" s="4">
        <v>2019</v>
      </c>
      <c r="N12" s="4">
        <v>2020</v>
      </c>
      <c r="O12" s="4">
        <v>2021</v>
      </c>
      <c r="P12" s="4">
        <v>2022</v>
      </c>
      <c r="Q12" s="5" t="s">
        <v>1</v>
      </c>
    </row>
    <row r="13" spans="2:17" x14ac:dyDescent="0.25">
      <c r="B13" s="11" t="s">
        <v>7</v>
      </c>
      <c r="C13" s="8">
        <v>29417</v>
      </c>
      <c r="D13" s="8">
        <v>49482</v>
      </c>
      <c r="E13" s="8">
        <v>58093</v>
      </c>
      <c r="F13" s="8">
        <v>57166.734670000005</v>
      </c>
      <c r="G13" s="8">
        <v>51883.468029999989</v>
      </c>
      <c r="H13" s="8">
        <v>36069</v>
      </c>
      <c r="I13" s="8">
        <v>22572.5723</v>
      </c>
      <c r="J13" s="8">
        <v>23085</v>
      </c>
      <c r="K13" s="8">
        <v>37055</v>
      </c>
      <c r="L13" s="8">
        <v>36389.5</v>
      </c>
      <c r="M13" s="8">
        <v>31175.928</v>
      </c>
      <c r="N13" s="8">
        <v>46238.600000000006</v>
      </c>
      <c r="O13" s="8">
        <v>46198.9</v>
      </c>
      <c r="P13" s="8">
        <v>54710.487559999994</v>
      </c>
      <c r="Q13" s="8">
        <f>SUM(C13:P13)</f>
        <v>579537.19056000013</v>
      </c>
    </row>
    <row r="14" spans="2:17" x14ac:dyDescent="0.25">
      <c r="B14" s="11" t="s">
        <v>8</v>
      </c>
      <c r="C14" s="7">
        <v>62783</v>
      </c>
      <c r="D14" s="7">
        <v>91021.432229999991</v>
      </c>
      <c r="E14" s="7">
        <v>38284</v>
      </c>
      <c r="F14" s="7">
        <v>40503.417999999998</v>
      </c>
      <c r="G14" s="7">
        <v>27125.606090000001</v>
      </c>
      <c r="H14" s="7">
        <v>25817</v>
      </c>
      <c r="I14" s="7">
        <v>47452.12</v>
      </c>
      <c r="J14" s="7">
        <v>31192</v>
      </c>
      <c r="K14" s="7">
        <v>7504</v>
      </c>
      <c r="L14" s="7">
        <v>25316</v>
      </c>
      <c r="M14" s="7">
        <v>34766</v>
      </c>
      <c r="N14" s="7">
        <v>51040</v>
      </c>
      <c r="O14" s="7">
        <v>40922</v>
      </c>
      <c r="P14" s="7">
        <v>90843.479000000007</v>
      </c>
      <c r="Q14" s="7">
        <f t="shared" ref="Q14:Q21" si="2">SUM(C14:P14)</f>
        <v>614570.05532000004</v>
      </c>
    </row>
    <row r="15" spans="2:17" x14ac:dyDescent="0.25">
      <c r="B15" s="11" t="s">
        <v>9</v>
      </c>
      <c r="C15" s="8">
        <v>4275</v>
      </c>
      <c r="D15" s="8">
        <v>20921</v>
      </c>
      <c r="E15" s="8">
        <v>26103</v>
      </c>
      <c r="F15" s="8">
        <v>14483.69371</v>
      </c>
      <c r="G15" s="8">
        <v>9165.08007</v>
      </c>
      <c r="H15" s="8">
        <v>11592</v>
      </c>
      <c r="I15" s="8">
        <v>19712.675999999999</v>
      </c>
      <c r="J15" s="8">
        <v>17268</v>
      </c>
      <c r="K15" s="8">
        <v>17811.7</v>
      </c>
      <c r="L15" s="8">
        <v>22502</v>
      </c>
      <c r="M15" s="8">
        <v>29225</v>
      </c>
      <c r="N15" s="8">
        <v>30730.6</v>
      </c>
      <c r="O15" s="8">
        <v>23831.3</v>
      </c>
      <c r="P15" s="8">
        <v>34169.6086</v>
      </c>
      <c r="Q15" s="8">
        <f t="shared" si="2"/>
        <v>281790.65837999998</v>
      </c>
    </row>
    <row r="16" spans="2:17" x14ac:dyDescent="0.25">
      <c r="B16" s="11" t="s">
        <v>10</v>
      </c>
      <c r="C16" s="7">
        <v>361</v>
      </c>
      <c r="D16" s="7">
        <v>538</v>
      </c>
      <c r="E16" s="7">
        <v>1237</v>
      </c>
      <c r="F16" s="7">
        <v>0</v>
      </c>
      <c r="G16" s="7">
        <v>1648.8670199999999</v>
      </c>
      <c r="H16" s="7">
        <v>3796</v>
      </c>
      <c r="I16" s="7">
        <v>23562.952000000001</v>
      </c>
      <c r="J16" s="7">
        <v>16659</v>
      </c>
      <c r="K16" s="7">
        <v>18877</v>
      </c>
      <c r="L16" s="7">
        <v>22498</v>
      </c>
      <c r="M16" s="7">
        <v>55101</v>
      </c>
      <c r="N16" s="7">
        <v>52521</v>
      </c>
      <c r="O16" s="7">
        <v>41668</v>
      </c>
      <c r="P16" s="7">
        <v>30990.111250000002</v>
      </c>
      <c r="Q16" s="7">
        <f t="shared" si="2"/>
        <v>269457.93027000001</v>
      </c>
    </row>
    <row r="17" spans="2:22" x14ac:dyDescent="0.25">
      <c r="B17" s="11" t="s">
        <v>11</v>
      </c>
      <c r="C17" s="8">
        <v>12672</v>
      </c>
      <c r="D17" s="8">
        <v>19279</v>
      </c>
      <c r="E17" s="8">
        <v>16323</v>
      </c>
      <c r="F17" s="8">
        <v>10135</v>
      </c>
      <c r="G17" s="8">
        <v>6132</v>
      </c>
      <c r="H17" s="8">
        <v>5038</v>
      </c>
      <c r="I17" s="8">
        <v>4090</v>
      </c>
      <c r="J17" s="8">
        <v>2739</v>
      </c>
      <c r="K17" s="8">
        <v>4547.33</v>
      </c>
      <c r="L17" s="8">
        <v>5474.2</v>
      </c>
      <c r="M17" s="8">
        <v>12661.056</v>
      </c>
      <c r="N17" s="8">
        <v>4856.7</v>
      </c>
      <c r="O17" s="8">
        <v>4049.7000000000003</v>
      </c>
      <c r="P17" s="8">
        <v>9993.2621799999997</v>
      </c>
      <c r="Q17" s="8">
        <f t="shared" si="2"/>
        <v>117990.24818</v>
      </c>
    </row>
    <row r="18" spans="2:22" x14ac:dyDescent="0.25">
      <c r="B18" s="11" t="s">
        <v>12</v>
      </c>
      <c r="C18" s="7">
        <v>45202</v>
      </c>
      <c r="D18" s="7">
        <v>75769</v>
      </c>
      <c r="E18" s="7">
        <v>90648</v>
      </c>
      <c r="F18" s="7">
        <v>98466.389820000011</v>
      </c>
      <c r="G18" s="7">
        <v>96043.420539999992</v>
      </c>
      <c r="H18" s="7">
        <v>49809</v>
      </c>
      <c r="I18" s="7">
        <v>50057.094199999992</v>
      </c>
      <c r="J18" s="7">
        <v>79220</v>
      </c>
      <c r="K18" s="7">
        <v>87876.4</v>
      </c>
      <c r="L18" s="7">
        <v>118902.99</v>
      </c>
      <c r="M18" s="7">
        <v>103070.178</v>
      </c>
      <c r="N18" s="7">
        <v>127864</v>
      </c>
      <c r="O18" s="7">
        <v>135406.20000000001</v>
      </c>
      <c r="P18" s="7">
        <v>220615.95671999999</v>
      </c>
      <c r="Q18" s="8">
        <f t="shared" si="2"/>
        <v>1378950.6292799998</v>
      </c>
    </row>
    <row r="19" spans="2:22" x14ac:dyDescent="0.25">
      <c r="B19" s="11" t="s">
        <v>13</v>
      </c>
      <c r="C19" s="8"/>
      <c r="D19" s="8"/>
      <c r="E19" s="8">
        <v>2254</v>
      </c>
      <c r="F19" s="8">
        <v>1957.3</v>
      </c>
      <c r="G19" s="8">
        <v>1118.6120000000001</v>
      </c>
      <c r="H19" s="8">
        <v>1090</v>
      </c>
      <c r="I19" s="8">
        <v>6912.1104999999998</v>
      </c>
      <c r="J19" s="8">
        <v>4110</v>
      </c>
      <c r="K19" s="8">
        <v>5761</v>
      </c>
      <c r="L19" s="8">
        <v>6610</v>
      </c>
      <c r="M19" s="8">
        <v>6608</v>
      </c>
      <c r="N19" s="8">
        <v>1238</v>
      </c>
      <c r="O19" s="8">
        <v>7206</v>
      </c>
      <c r="P19" s="8">
        <v>19367.058059999999</v>
      </c>
      <c r="Q19" s="8">
        <f t="shared" si="2"/>
        <v>64232.080560000002</v>
      </c>
    </row>
    <row r="20" spans="2:22" x14ac:dyDescent="0.25">
      <c r="B20" s="11" t="s">
        <v>14</v>
      </c>
      <c r="C20" s="7"/>
      <c r="D20" s="7"/>
      <c r="E20" s="7"/>
      <c r="F20" s="7"/>
      <c r="G20" s="7"/>
      <c r="H20" s="7"/>
      <c r="I20" s="7"/>
      <c r="J20" s="7"/>
      <c r="K20" s="7"/>
      <c r="L20" s="7">
        <v>295</v>
      </c>
      <c r="M20" s="7">
        <v>2332</v>
      </c>
      <c r="N20" s="7">
        <v>107</v>
      </c>
      <c r="O20" s="7">
        <v>0</v>
      </c>
      <c r="P20" s="7">
        <v>0</v>
      </c>
      <c r="Q20" s="7">
        <f t="shared" si="2"/>
        <v>2734</v>
      </c>
    </row>
    <row r="21" spans="2:22" x14ac:dyDescent="0.25">
      <c r="B21" s="11" t="s">
        <v>15</v>
      </c>
      <c r="C21" s="8">
        <v>5072</v>
      </c>
      <c r="D21" s="8">
        <v>52</v>
      </c>
      <c r="E21" s="8">
        <v>0</v>
      </c>
      <c r="F21" s="8">
        <v>0</v>
      </c>
      <c r="G21" s="8">
        <v>1816</v>
      </c>
      <c r="H21" s="8">
        <v>1646</v>
      </c>
      <c r="I21" s="8">
        <v>13067</v>
      </c>
      <c r="J21" s="8">
        <v>8222</v>
      </c>
      <c r="K21" s="8">
        <v>1165</v>
      </c>
      <c r="L21" s="8">
        <v>644</v>
      </c>
      <c r="M21" s="8">
        <v>2021</v>
      </c>
      <c r="N21" s="8">
        <v>2393</v>
      </c>
      <c r="O21" s="8">
        <v>1627</v>
      </c>
      <c r="P21" s="8">
        <v>2609.4072500000002</v>
      </c>
      <c r="Q21" s="8">
        <f t="shared" si="2"/>
        <v>40334.407250000004</v>
      </c>
    </row>
    <row r="22" spans="2:22" x14ac:dyDescent="0.25">
      <c r="B22" s="9" t="s">
        <v>16</v>
      </c>
      <c r="C22" s="10">
        <f>SUM(C13:C21)</f>
        <v>159782</v>
      </c>
      <c r="D22" s="10">
        <f t="shared" ref="D22:O22" si="3">SUM(D13:D21)</f>
        <v>257062.43222999998</v>
      </c>
      <c r="E22" s="10">
        <f t="shared" si="3"/>
        <v>232942</v>
      </c>
      <c r="F22" s="10">
        <f t="shared" si="3"/>
        <v>222712.5362</v>
      </c>
      <c r="G22" s="10">
        <f t="shared" si="3"/>
        <v>194933.05374999999</v>
      </c>
      <c r="H22" s="10">
        <f t="shared" si="3"/>
        <v>134857</v>
      </c>
      <c r="I22" s="10">
        <f t="shared" si="3"/>
        <v>187426.52500000002</v>
      </c>
      <c r="J22" s="10">
        <f t="shared" si="3"/>
        <v>182495</v>
      </c>
      <c r="K22" s="10">
        <f t="shared" si="3"/>
        <v>180597.43</v>
      </c>
      <c r="L22" s="10">
        <f t="shared" si="3"/>
        <v>238631.69</v>
      </c>
      <c r="M22" s="10">
        <f t="shared" si="3"/>
        <v>276960.16200000001</v>
      </c>
      <c r="N22" s="10">
        <f t="shared" si="3"/>
        <v>316988.90000000002</v>
      </c>
      <c r="O22" s="10">
        <f t="shared" si="3"/>
        <v>300909.10000000003</v>
      </c>
      <c r="P22" s="10">
        <f>SUM(P13:P21)</f>
        <v>463299.37062</v>
      </c>
      <c r="Q22" s="10">
        <f>SUM(Q13:Q21)</f>
        <v>3349597.1998000001</v>
      </c>
    </row>
    <row r="24" spans="2:22" x14ac:dyDescent="0.25">
      <c r="B24" s="11" t="s">
        <v>17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8">
        <v>86952.517000000007</v>
      </c>
      <c r="P24" s="8">
        <v>180827.93299999999</v>
      </c>
      <c r="Q24" s="8">
        <f t="shared" ref="Q24" si="4">SUM(C24:P24)</f>
        <v>267780.45</v>
      </c>
    </row>
    <row r="25" spans="2:22" x14ac:dyDescent="0.25">
      <c r="B25" s="9" t="s">
        <v>18</v>
      </c>
      <c r="C25" s="10">
        <f>C22</f>
        <v>159782</v>
      </c>
      <c r="D25" s="10">
        <f t="shared" ref="D25:N25" si="5">D22</f>
        <v>257062.43222999998</v>
      </c>
      <c r="E25" s="10">
        <f t="shared" si="5"/>
        <v>232942</v>
      </c>
      <c r="F25" s="10">
        <f t="shared" si="5"/>
        <v>222712.5362</v>
      </c>
      <c r="G25" s="10">
        <f t="shared" si="5"/>
        <v>194933.05374999999</v>
      </c>
      <c r="H25" s="10">
        <f t="shared" si="5"/>
        <v>134857</v>
      </c>
      <c r="I25" s="10">
        <f t="shared" si="5"/>
        <v>187426.52500000002</v>
      </c>
      <c r="J25" s="10">
        <f t="shared" si="5"/>
        <v>182495</v>
      </c>
      <c r="K25" s="10">
        <f t="shared" si="5"/>
        <v>180597.43</v>
      </c>
      <c r="L25" s="10">
        <f t="shared" si="5"/>
        <v>238631.69</v>
      </c>
      <c r="M25" s="10">
        <f t="shared" si="5"/>
        <v>276960.16200000001</v>
      </c>
      <c r="N25" s="10">
        <f t="shared" si="5"/>
        <v>316988.90000000002</v>
      </c>
      <c r="O25" s="10">
        <f>O24+O22</f>
        <v>387861.61700000003</v>
      </c>
      <c r="P25" s="10">
        <f>P24+P22</f>
        <v>644127.30362000002</v>
      </c>
      <c r="Q25" s="10">
        <f>Q24+Q22</f>
        <v>3617377.6498000002</v>
      </c>
    </row>
    <row r="26" spans="2:22" x14ac:dyDescent="0.25">
      <c r="B26" s="42" t="s">
        <v>5</v>
      </c>
      <c r="C26" s="33">
        <f t="shared" ref="C26:Q26" si="6">C7+C24</f>
        <v>168575</v>
      </c>
      <c r="D26" s="33">
        <f t="shared" si="6"/>
        <v>263468</v>
      </c>
      <c r="E26" s="33">
        <f t="shared" si="6"/>
        <v>248454</v>
      </c>
      <c r="F26" s="33">
        <f t="shared" si="6"/>
        <v>231377</v>
      </c>
      <c r="G26" s="33">
        <f t="shared" si="6"/>
        <v>206120</v>
      </c>
      <c r="H26" s="33">
        <f t="shared" si="6"/>
        <v>165124</v>
      </c>
      <c r="I26" s="33">
        <f t="shared" si="6"/>
        <v>216354</v>
      </c>
      <c r="J26" s="33">
        <f t="shared" si="6"/>
        <v>213000</v>
      </c>
      <c r="K26" s="33">
        <f t="shared" si="6"/>
        <v>197255</v>
      </c>
      <c r="L26" s="33">
        <f t="shared" si="6"/>
        <v>259006</v>
      </c>
      <c r="M26" s="33">
        <f t="shared" si="6"/>
        <v>294604</v>
      </c>
      <c r="N26" s="33">
        <f t="shared" si="6"/>
        <v>349677</v>
      </c>
      <c r="O26" s="33">
        <f t="shared" si="6"/>
        <v>436510.68536</v>
      </c>
      <c r="P26" s="33">
        <f t="shared" si="6"/>
        <v>702543.12548000005</v>
      </c>
      <c r="Q26" s="33">
        <f t="shared" si="6"/>
        <v>3952067.8108399999</v>
      </c>
    </row>
    <row r="27" spans="2:22" x14ac:dyDescent="0.25">
      <c r="O27" s="50">
        <f>O25-O18</f>
        <v>252455.41700000002</v>
      </c>
      <c r="P27" s="50">
        <f>P25-P18</f>
        <v>423511.3469</v>
      </c>
    </row>
    <row r="28" spans="2:22" x14ac:dyDescent="0.25">
      <c r="B28" s="1" t="s">
        <v>19</v>
      </c>
      <c r="J28" s="38" t="s">
        <v>47</v>
      </c>
    </row>
    <row r="29" spans="2:22" x14ac:dyDescent="0.25">
      <c r="U29" s="13"/>
      <c r="V29" s="13"/>
    </row>
    <row r="30" spans="2:22" x14ac:dyDescent="0.25">
      <c r="B30" s="3"/>
      <c r="C30" s="4">
        <v>2009</v>
      </c>
      <c r="D30" s="4">
        <v>2010</v>
      </c>
      <c r="E30" s="4">
        <v>2011</v>
      </c>
      <c r="F30" s="4">
        <v>2012</v>
      </c>
      <c r="G30" s="4">
        <v>2013</v>
      </c>
      <c r="H30" s="4">
        <v>2014</v>
      </c>
      <c r="I30" s="4">
        <v>2015</v>
      </c>
      <c r="J30" s="4">
        <v>2016</v>
      </c>
      <c r="K30" s="4">
        <v>2017</v>
      </c>
      <c r="L30" s="4">
        <v>2018</v>
      </c>
      <c r="M30" s="4">
        <v>2019</v>
      </c>
      <c r="N30" s="4">
        <v>2020</v>
      </c>
      <c r="O30" s="4">
        <v>2021</v>
      </c>
      <c r="P30" s="4">
        <v>2022</v>
      </c>
      <c r="Q30" s="5" t="s">
        <v>1</v>
      </c>
      <c r="U30" s="13"/>
      <c r="V30" s="13"/>
    </row>
    <row r="31" spans="2:22" x14ac:dyDescent="0.25">
      <c r="B31" s="6" t="s">
        <v>20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>
        <v>110721.40055999999</v>
      </c>
      <c r="Q31" s="8">
        <f>SUM(C31:P31)</f>
        <v>110721.40055999999</v>
      </c>
      <c r="U31" s="13"/>
      <c r="V31" s="13"/>
    </row>
    <row r="32" spans="2:22" x14ac:dyDescent="0.25">
      <c r="B32" s="6" t="s">
        <v>21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>
        <v>90843.479000000007</v>
      </c>
      <c r="Q32" s="7">
        <f t="shared" ref="Q32:Q39" si="7">SUM(C32:P32)</f>
        <v>90843.479000000007</v>
      </c>
      <c r="U32" s="13"/>
      <c r="V32" s="13"/>
    </row>
    <row r="33" spans="2:22" x14ac:dyDescent="0.25">
      <c r="B33" s="6" t="s">
        <v>9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>
        <v>50907.228600000002</v>
      </c>
      <c r="Q33" s="8">
        <f t="shared" si="7"/>
        <v>50907.228600000002</v>
      </c>
      <c r="U33" s="13"/>
      <c r="V33" s="13"/>
    </row>
    <row r="34" spans="2:22" x14ac:dyDescent="0.25">
      <c r="B34" s="6" t="s">
        <v>10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>
        <v>31514.691250000003</v>
      </c>
      <c r="Q34" s="7">
        <f t="shared" si="7"/>
        <v>31514.691250000003</v>
      </c>
      <c r="U34" s="13"/>
      <c r="V34" s="13"/>
    </row>
    <row r="35" spans="2:22" x14ac:dyDescent="0.25">
      <c r="B35" s="6" t="s">
        <v>11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>
        <v>10149.7359</v>
      </c>
      <c r="Q35" s="8">
        <f t="shared" si="7"/>
        <v>10149.7359</v>
      </c>
      <c r="U35" s="13"/>
      <c r="V35" s="13"/>
    </row>
    <row r="36" spans="2:22" x14ac:dyDescent="0.25">
      <c r="B36" s="6" t="s">
        <v>22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>
        <v>66462.145000000004</v>
      </c>
      <c r="Q36" s="7">
        <f t="shared" si="7"/>
        <v>66462.145000000004</v>
      </c>
      <c r="U36" s="13"/>
      <c r="V36" s="13"/>
    </row>
    <row r="37" spans="2:22" x14ac:dyDescent="0.25">
      <c r="B37" s="6" t="s">
        <v>23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>
        <v>57253.422059999997</v>
      </c>
      <c r="Q37" s="8">
        <f t="shared" si="7"/>
        <v>57253.422059999997</v>
      </c>
      <c r="U37" s="13"/>
      <c r="V37" s="13"/>
    </row>
    <row r="38" spans="2:22" x14ac:dyDescent="0.25">
      <c r="B38" s="6" t="s">
        <v>14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>
        <v>0</v>
      </c>
      <c r="Q38" s="7">
        <f t="shared" si="7"/>
        <v>0</v>
      </c>
      <c r="U38" s="13"/>
      <c r="V38" s="13"/>
    </row>
    <row r="39" spans="2:22" x14ac:dyDescent="0.25">
      <c r="B39" s="6" t="s">
        <v>24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>
        <v>45447.268249999994</v>
      </c>
      <c r="Q39" s="8">
        <f t="shared" si="7"/>
        <v>45447.268249999994</v>
      </c>
      <c r="U39" s="13"/>
      <c r="V39" s="13"/>
    </row>
    <row r="40" spans="2:22" x14ac:dyDescent="0.25">
      <c r="B40" s="9" t="s">
        <v>16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>
        <f t="shared" ref="P40" si="8">SUM(P31:P39)</f>
        <v>463299.37061999994</v>
      </c>
      <c r="Q40" s="10">
        <f t="shared" ref="Q40" si="9">SUM(Q31:Q39)</f>
        <v>463299.37061999994</v>
      </c>
      <c r="U40" s="13"/>
      <c r="V40" s="13"/>
    </row>
    <row r="41" spans="2:22" x14ac:dyDescent="0.25">
      <c r="U41" s="13"/>
      <c r="V41" s="13"/>
    </row>
    <row r="42" spans="2:22" x14ac:dyDescent="0.25">
      <c r="B42" s="6" t="s">
        <v>25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8"/>
      <c r="P42" s="8">
        <v>180827.93299999999</v>
      </c>
      <c r="Q42" s="8">
        <f t="shared" ref="Q42" si="10">SUM(C42:P42)</f>
        <v>180827.93299999999</v>
      </c>
      <c r="U42" s="13"/>
      <c r="V42" s="13"/>
    </row>
    <row r="43" spans="2:22" x14ac:dyDescent="0.25">
      <c r="B43" s="9" t="s">
        <v>26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>
        <f>P40+P42</f>
        <v>644127.3036199999</v>
      </c>
      <c r="Q43" s="10">
        <f>Q42+Q40</f>
        <v>644127.3036199999</v>
      </c>
      <c r="U43" s="13"/>
      <c r="V43" s="13"/>
    </row>
    <row r="48" spans="2:22" x14ac:dyDescent="0.25">
      <c r="B48" s="3"/>
      <c r="C48" s="4">
        <v>2009</v>
      </c>
      <c r="D48" s="4">
        <v>2010</v>
      </c>
      <c r="E48" s="4">
        <v>2011</v>
      </c>
      <c r="F48" s="4">
        <v>2012</v>
      </c>
      <c r="G48" s="4">
        <v>2013</v>
      </c>
      <c r="H48" s="4">
        <v>2014</v>
      </c>
      <c r="I48" s="4">
        <v>2015</v>
      </c>
      <c r="J48" s="4">
        <v>2016</v>
      </c>
      <c r="K48" s="4">
        <v>2017</v>
      </c>
      <c r="L48" s="4">
        <v>2018</v>
      </c>
      <c r="M48" s="4">
        <v>2019</v>
      </c>
      <c r="N48" s="4">
        <v>2020</v>
      </c>
      <c r="O48" s="4">
        <v>2021</v>
      </c>
      <c r="P48" s="4">
        <v>2022</v>
      </c>
      <c r="Q48" s="16" t="s">
        <v>1</v>
      </c>
    </row>
    <row r="49" spans="2:17" x14ac:dyDescent="0.25">
      <c r="B49" s="11" t="s">
        <v>8</v>
      </c>
      <c r="C49" s="7">
        <v>62783</v>
      </c>
      <c r="D49" s="7">
        <v>91021.432229999991</v>
      </c>
      <c r="E49" s="7">
        <v>38284</v>
      </c>
      <c r="F49" s="7">
        <v>40503.417999999998</v>
      </c>
      <c r="G49" s="7">
        <v>27125.606090000001</v>
      </c>
      <c r="H49" s="7">
        <v>25817</v>
      </c>
      <c r="I49" s="7">
        <v>47452.12</v>
      </c>
      <c r="J49" s="7">
        <v>31192</v>
      </c>
      <c r="K49" s="7">
        <v>7504</v>
      </c>
      <c r="L49" s="7">
        <v>25316</v>
      </c>
      <c r="M49" s="7">
        <v>34766</v>
      </c>
      <c r="N49" s="7">
        <v>51040</v>
      </c>
      <c r="O49" s="7">
        <v>40922</v>
      </c>
      <c r="P49" s="7">
        <v>90843.479000000007</v>
      </c>
      <c r="Q49" s="7">
        <f t="shared" ref="Q49:Q50" si="11">SUM(C49:P49)</f>
        <v>614570.05532000004</v>
      </c>
    </row>
    <row r="50" spans="2:17" x14ac:dyDescent="0.25">
      <c r="B50" s="11" t="s">
        <v>17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8">
        <v>86952.517000000007</v>
      </c>
      <c r="P50" s="8">
        <v>180827.93299999999</v>
      </c>
      <c r="Q50" s="7">
        <f t="shared" si="11"/>
        <v>267780.45</v>
      </c>
    </row>
    <row r="64" spans="2:17" x14ac:dyDescent="0.25">
      <c r="D64" s="2" t="s">
        <v>61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255A6-4504-4848-A155-1C4655E9A87F}">
  <sheetPr>
    <tabColor theme="7" tint="0.39997558519241921"/>
  </sheetPr>
  <dimension ref="B2:Q48"/>
  <sheetViews>
    <sheetView workbookViewId="0">
      <selection activeCell="B8" sqref="B8:Q8"/>
    </sheetView>
  </sheetViews>
  <sheetFormatPr baseColWidth="10" defaultRowHeight="15" x14ac:dyDescent="0.25"/>
  <cols>
    <col min="1" max="1" width="4.28515625" style="2" customWidth="1"/>
    <col min="2" max="2" width="24.7109375" style="2" bestFit="1" customWidth="1"/>
    <col min="3" max="16" width="11.42578125" style="2"/>
    <col min="17" max="17" width="15" style="2" customWidth="1"/>
    <col min="18" max="16384" width="11.42578125" style="2"/>
  </cols>
  <sheetData>
    <row r="2" spans="2:17" x14ac:dyDescent="0.25">
      <c r="B2" s="1" t="s">
        <v>27</v>
      </c>
    </row>
    <row r="4" spans="2:17" x14ac:dyDescent="0.25">
      <c r="B4" s="14"/>
      <c r="C4" s="15">
        <v>2009</v>
      </c>
      <c r="D4" s="15">
        <v>2010</v>
      </c>
      <c r="E4" s="15">
        <v>2011</v>
      </c>
      <c r="F4" s="15">
        <v>2012</v>
      </c>
      <c r="G4" s="15">
        <v>2013</v>
      </c>
      <c r="H4" s="15">
        <v>2014</v>
      </c>
      <c r="I4" s="15">
        <v>2015</v>
      </c>
      <c r="J4" s="15">
        <v>2016</v>
      </c>
      <c r="K4" s="15">
        <v>2017</v>
      </c>
      <c r="L4" s="15">
        <v>2018</v>
      </c>
      <c r="M4" s="15">
        <v>2019</v>
      </c>
      <c r="N4" s="15">
        <v>2020</v>
      </c>
      <c r="O4" s="15">
        <v>2021</v>
      </c>
      <c r="P4" s="15">
        <v>2022</v>
      </c>
      <c r="Q4" s="16" t="s">
        <v>1</v>
      </c>
    </row>
    <row r="5" spans="2:17" x14ac:dyDescent="0.25">
      <c r="B5" s="6" t="s">
        <v>20</v>
      </c>
      <c r="C5" s="7">
        <v>457.57072000000005</v>
      </c>
      <c r="D5" s="8">
        <v>730.52682000000004</v>
      </c>
      <c r="E5" s="7">
        <v>1363.71054</v>
      </c>
      <c r="F5" s="8">
        <v>1471.57879</v>
      </c>
      <c r="G5" s="7">
        <v>1228.17452</v>
      </c>
      <c r="H5" s="8">
        <v>811.3204300000001</v>
      </c>
      <c r="I5" s="7">
        <v>514.30186000000003</v>
      </c>
      <c r="J5" s="8">
        <v>371.78784000000002</v>
      </c>
      <c r="K5" s="7">
        <v>617.45996000000002</v>
      </c>
      <c r="L5" s="8">
        <v>582.42200000000003</v>
      </c>
      <c r="M5" s="7">
        <v>694.76400000000001</v>
      </c>
      <c r="N5" s="8">
        <v>621.90200000000004</v>
      </c>
      <c r="O5" s="7">
        <v>537.95500000000004</v>
      </c>
      <c r="P5" s="8">
        <v>666.06799999999998</v>
      </c>
      <c r="Q5" s="7">
        <f>SUM(C5:P5)</f>
        <v>10669.542479999998</v>
      </c>
    </row>
    <row r="6" spans="2:17" x14ac:dyDescent="0.25">
      <c r="B6" s="6" t="s">
        <v>21</v>
      </c>
      <c r="C6" s="7">
        <v>1714.3201500000002</v>
      </c>
      <c r="D6" s="8">
        <v>2629.1126899999999</v>
      </c>
      <c r="E6" s="7">
        <v>1259.9825700000001</v>
      </c>
      <c r="F6" s="8">
        <v>1211.0667900000001</v>
      </c>
      <c r="G6" s="7">
        <v>851.52534000000003</v>
      </c>
      <c r="H6" s="8">
        <v>842.88424999999995</v>
      </c>
      <c r="I6" s="7">
        <v>896.13801999999998</v>
      </c>
      <c r="J6" s="8">
        <v>605.4694300000001</v>
      </c>
      <c r="K6" s="7">
        <v>116.77683</v>
      </c>
      <c r="L6" s="8">
        <v>397.13899999999995</v>
      </c>
      <c r="M6" s="7">
        <v>860.57100000000003</v>
      </c>
      <c r="N6" s="8">
        <v>1149.52</v>
      </c>
      <c r="O6" s="7">
        <v>814.08600000000001</v>
      </c>
      <c r="P6" s="8">
        <v>1178.8050000000001</v>
      </c>
      <c r="Q6" s="7">
        <f t="shared" ref="Q6:Q13" si="0">SUM(C6:P6)</f>
        <v>14527.397070000001</v>
      </c>
    </row>
    <row r="7" spans="2:17" x14ac:dyDescent="0.25">
      <c r="B7" s="6" t="s">
        <v>9</v>
      </c>
      <c r="C7" s="7">
        <v>39.914160000000003</v>
      </c>
      <c r="D7" s="8">
        <v>149.82929000000001</v>
      </c>
      <c r="E7" s="7">
        <v>353.93579000000005</v>
      </c>
      <c r="F7" s="8">
        <v>160.82686100000001</v>
      </c>
      <c r="G7" s="7">
        <v>232.87619899999993</v>
      </c>
      <c r="H7" s="8">
        <v>199.11723000000001</v>
      </c>
      <c r="I7" s="7">
        <v>412.2835</v>
      </c>
      <c r="J7" s="8">
        <v>179.52068000000003</v>
      </c>
      <c r="K7" s="7">
        <v>142.73499000000001</v>
      </c>
      <c r="L7" s="8">
        <v>343.41500000000002</v>
      </c>
      <c r="M7" s="7">
        <v>257.87599999999998</v>
      </c>
      <c r="N7" s="8">
        <v>352.12200000000001</v>
      </c>
      <c r="O7" s="7">
        <v>332.03</v>
      </c>
      <c r="P7" s="8">
        <v>231.93916000000002</v>
      </c>
      <c r="Q7" s="7">
        <f t="shared" si="0"/>
        <v>3388.4208600000002</v>
      </c>
    </row>
    <row r="8" spans="2:17" x14ac:dyDescent="0.25">
      <c r="B8" s="6" t="s">
        <v>10</v>
      </c>
      <c r="C8" s="7">
        <v>16.386670000000002</v>
      </c>
      <c r="D8" s="8">
        <v>36.390270000000001</v>
      </c>
      <c r="E8" s="7">
        <v>93.388900000000007</v>
      </c>
      <c r="F8" s="8">
        <v>166.58400999999998</v>
      </c>
      <c r="G8" s="7">
        <v>117.28499999999998</v>
      </c>
      <c r="H8" s="8">
        <v>241.81096000000002</v>
      </c>
      <c r="I8" s="7">
        <v>417.59841000000006</v>
      </c>
      <c r="J8" s="8">
        <v>343.60835000000003</v>
      </c>
      <c r="K8" s="7">
        <v>298.32112999999998</v>
      </c>
      <c r="L8" s="8">
        <v>628.61500000000001</v>
      </c>
      <c r="M8" s="7">
        <v>1122.0540000000001</v>
      </c>
      <c r="N8" s="8">
        <v>1125.9190000000001</v>
      </c>
      <c r="O8" s="7">
        <v>1352.59</v>
      </c>
      <c r="P8" s="8">
        <v>510.64600000000002</v>
      </c>
      <c r="Q8" s="7">
        <f t="shared" si="0"/>
        <v>6471.1976999999997</v>
      </c>
    </row>
    <row r="9" spans="2:17" x14ac:dyDescent="0.25">
      <c r="B9" s="6" t="s">
        <v>11</v>
      </c>
      <c r="C9" s="7">
        <v>12.223130000000001</v>
      </c>
      <c r="D9" s="8">
        <v>19.108090000000001</v>
      </c>
      <c r="E9" s="7">
        <v>18.514960000000002</v>
      </c>
      <c r="F9" s="8">
        <v>11.211086000000002</v>
      </c>
      <c r="G9" s="7">
        <v>6.8817440000000003</v>
      </c>
      <c r="H9" s="8">
        <v>5.4893600000000005</v>
      </c>
      <c r="I9" s="7">
        <v>4.0356100000000001</v>
      </c>
      <c r="J9" s="8">
        <v>2.8958700000000004</v>
      </c>
      <c r="K9" s="7">
        <v>6.8617000000000008</v>
      </c>
      <c r="L9" s="8">
        <v>11.489000000000001</v>
      </c>
      <c r="M9" s="7">
        <v>26.143000000000001</v>
      </c>
      <c r="N9" s="8">
        <v>7.8109999999999999</v>
      </c>
      <c r="O9" s="7">
        <v>8.1319999999999997</v>
      </c>
      <c r="P9" s="8">
        <v>19.031496000000001</v>
      </c>
      <c r="Q9" s="7">
        <f t="shared" si="0"/>
        <v>159.82804600000003</v>
      </c>
    </row>
    <row r="10" spans="2:17" x14ac:dyDescent="0.25">
      <c r="B10" s="6" t="s">
        <v>22</v>
      </c>
      <c r="C10" s="7">
        <v>34.994670000000006</v>
      </c>
      <c r="D10" s="8">
        <v>240.36884000000003</v>
      </c>
      <c r="E10" s="7">
        <v>189.74345000000002</v>
      </c>
      <c r="F10" s="8">
        <v>312.61200000000002</v>
      </c>
      <c r="G10" s="7">
        <v>229.39149999999998</v>
      </c>
      <c r="H10" s="8">
        <v>98.889889999999994</v>
      </c>
      <c r="I10" s="7">
        <v>425.87897000000004</v>
      </c>
      <c r="J10" s="8">
        <v>253.91779</v>
      </c>
      <c r="K10" s="7">
        <v>721.68802000000005</v>
      </c>
      <c r="L10" s="8">
        <v>505.91199999999998</v>
      </c>
      <c r="M10" s="7">
        <v>395.97699999999998</v>
      </c>
      <c r="N10" s="8">
        <v>508.26999999999992</v>
      </c>
      <c r="O10" s="7">
        <v>225.78299999999999</v>
      </c>
      <c r="P10" s="8">
        <v>309.47500000000002</v>
      </c>
      <c r="Q10" s="7">
        <f t="shared" si="0"/>
        <v>4452.9021300000004</v>
      </c>
    </row>
    <row r="11" spans="2:17" x14ac:dyDescent="0.25">
      <c r="B11" s="6" t="s">
        <v>23</v>
      </c>
      <c r="C11" s="7">
        <v>0</v>
      </c>
      <c r="D11" s="8">
        <v>52.009360000000001</v>
      </c>
      <c r="E11" s="7">
        <v>33.23854</v>
      </c>
      <c r="F11" s="8">
        <v>146.17699999999999</v>
      </c>
      <c r="G11" s="7">
        <v>32.812529999999995</v>
      </c>
      <c r="H11" s="8">
        <v>25.772080000000003</v>
      </c>
      <c r="I11" s="7">
        <v>246.31177000000002</v>
      </c>
      <c r="J11" s="8">
        <v>319.09231</v>
      </c>
      <c r="K11" s="7">
        <v>90.388360000000006</v>
      </c>
      <c r="L11" s="8">
        <v>97.65000000000002</v>
      </c>
      <c r="M11" s="7">
        <v>283.363</v>
      </c>
      <c r="N11" s="8">
        <v>183.92099999999999</v>
      </c>
      <c r="O11" s="7">
        <v>56.704000000000001</v>
      </c>
      <c r="P11" s="8">
        <v>565.81899999999996</v>
      </c>
      <c r="Q11" s="7">
        <f t="shared" si="0"/>
        <v>2133.2589500000004</v>
      </c>
    </row>
    <row r="12" spans="2:17" x14ac:dyDescent="0.25">
      <c r="B12" s="6" t="s">
        <v>14</v>
      </c>
      <c r="C12" s="7">
        <v>0</v>
      </c>
      <c r="D12" s="8">
        <v>0</v>
      </c>
      <c r="E12" s="7">
        <v>0</v>
      </c>
      <c r="F12" s="8">
        <v>0</v>
      </c>
      <c r="G12" s="7">
        <v>0</v>
      </c>
      <c r="H12" s="8">
        <v>0</v>
      </c>
      <c r="I12" s="7">
        <v>0</v>
      </c>
      <c r="J12" s="8">
        <v>0</v>
      </c>
      <c r="K12" s="7">
        <v>0</v>
      </c>
      <c r="L12" s="8">
        <v>4.9340000000000002</v>
      </c>
      <c r="M12" s="7">
        <v>203.53299999999996</v>
      </c>
      <c r="N12" s="8">
        <v>0.53300000000000003</v>
      </c>
      <c r="O12" s="7">
        <v>8.4090000000000007</v>
      </c>
      <c r="P12" s="8">
        <v>0</v>
      </c>
      <c r="Q12" s="7">
        <f t="shared" si="0"/>
        <v>217.40899999999993</v>
      </c>
    </row>
    <row r="13" spans="2:17" x14ac:dyDescent="0.25">
      <c r="B13" s="6" t="s">
        <v>24</v>
      </c>
      <c r="C13" s="7">
        <v>0</v>
      </c>
      <c r="D13" s="8">
        <v>27.516580000000001</v>
      </c>
      <c r="E13" s="7">
        <v>72.745650000000012</v>
      </c>
      <c r="F13" s="8">
        <v>0</v>
      </c>
      <c r="G13" s="7">
        <v>121.336</v>
      </c>
      <c r="H13" s="8">
        <v>3.9193100000000003</v>
      </c>
      <c r="I13" s="7">
        <v>15.828430000000001</v>
      </c>
      <c r="J13" s="8">
        <v>6.7221400000000004</v>
      </c>
      <c r="K13" s="7">
        <v>11.350880000000002</v>
      </c>
      <c r="L13" s="8">
        <v>46.061</v>
      </c>
      <c r="M13" s="7">
        <v>33.238999999999997</v>
      </c>
      <c r="N13" s="8">
        <v>0</v>
      </c>
      <c r="O13" s="7">
        <v>12.529</v>
      </c>
      <c r="P13" s="8">
        <v>197.923</v>
      </c>
      <c r="Q13" s="7">
        <f t="shared" si="0"/>
        <v>549.17098999999996</v>
      </c>
    </row>
    <row r="14" spans="2:17" x14ac:dyDescent="0.25">
      <c r="B14" s="9" t="s">
        <v>16</v>
      </c>
      <c r="C14" s="10">
        <f>SUM(C5:C13)</f>
        <v>2275.4094999999998</v>
      </c>
      <c r="D14" s="10">
        <f t="shared" ref="D14:Q14" si="1">SUM(D5:D13)</f>
        <v>3884.8619400000002</v>
      </c>
      <c r="E14" s="10">
        <f t="shared" si="1"/>
        <v>3385.2603999999997</v>
      </c>
      <c r="F14" s="10">
        <f t="shared" si="1"/>
        <v>3480.0565370000004</v>
      </c>
      <c r="G14" s="10">
        <f t="shared" si="1"/>
        <v>2820.2828329999998</v>
      </c>
      <c r="H14" s="10">
        <f t="shared" si="1"/>
        <v>2229.2035100000007</v>
      </c>
      <c r="I14" s="10">
        <f t="shared" si="1"/>
        <v>2932.3765699999999</v>
      </c>
      <c r="J14" s="10">
        <f t="shared" si="1"/>
        <v>2083.0144099999998</v>
      </c>
      <c r="K14" s="10">
        <f t="shared" si="1"/>
        <v>2005.58187</v>
      </c>
      <c r="L14" s="10">
        <f t="shared" si="1"/>
        <v>2617.6370000000002</v>
      </c>
      <c r="M14" s="10">
        <f t="shared" si="1"/>
        <v>3877.52</v>
      </c>
      <c r="N14" s="10">
        <f t="shared" si="1"/>
        <v>3949.9979999999996</v>
      </c>
      <c r="O14" s="10">
        <f t="shared" si="1"/>
        <v>3348.2180000000003</v>
      </c>
      <c r="P14" s="10">
        <f t="shared" si="1"/>
        <v>3679.7066560000003</v>
      </c>
      <c r="Q14" s="10">
        <f t="shared" si="1"/>
        <v>42569.127226000004</v>
      </c>
    </row>
    <row r="16" spans="2:17" x14ac:dyDescent="0.25">
      <c r="B16" s="6" t="s">
        <v>25</v>
      </c>
      <c r="C16" s="7"/>
      <c r="D16" s="8"/>
      <c r="E16" s="7"/>
      <c r="F16" s="8"/>
      <c r="G16" s="7"/>
      <c r="H16" s="8"/>
      <c r="I16" s="7"/>
      <c r="J16" s="8"/>
      <c r="K16" s="7"/>
      <c r="L16" s="8"/>
      <c r="M16" s="7"/>
      <c r="N16" s="8"/>
      <c r="O16" s="7">
        <v>1558.453</v>
      </c>
      <c r="P16" s="8">
        <v>2632.7939999999999</v>
      </c>
      <c r="Q16" s="7">
        <f t="shared" ref="Q16" si="2">SUM(C16:P16)</f>
        <v>4191.2469999999994</v>
      </c>
    </row>
    <row r="17" spans="2:17" x14ac:dyDescent="0.25">
      <c r="B17" s="9" t="s">
        <v>26</v>
      </c>
      <c r="C17" s="10">
        <v>2275.4094999999998</v>
      </c>
      <c r="D17" s="12">
        <v>3884.8619400000002</v>
      </c>
      <c r="E17" s="10">
        <v>3385.2603999999997</v>
      </c>
      <c r="F17" s="12">
        <v>3480.0565370000004</v>
      </c>
      <c r="G17" s="10">
        <v>2820.2828329999998</v>
      </c>
      <c r="H17" s="12">
        <v>2229.2035100000007</v>
      </c>
      <c r="I17" s="10">
        <v>2932.3765699999999</v>
      </c>
      <c r="J17" s="12">
        <v>2083.0144099999998</v>
      </c>
      <c r="K17" s="10">
        <v>2005.58187</v>
      </c>
      <c r="L17" s="12">
        <v>2617.6370000000002</v>
      </c>
      <c r="M17" s="10">
        <v>3877.52</v>
      </c>
      <c r="N17" s="12">
        <v>3949.9979999999996</v>
      </c>
      <c r="O17" s="10">
        <f>O14+O16</f>
        <v>4906.6710000000003</v>
      </c>
      <c r="P17" s="10">
        <f>P14+P16</f>
        <v>6312.5006560000002</v>
      </c>
      <c r="Q17" s="10">
        <f>Q16+Q14</f>
        <v>46760.374226</v>
      </c>
    </row>
    <row r="46" spans="2:17" x14ac:dyDescent="0.25">
      <c r="B46" s="14"/>
      <c r="C46" s="15">
        <v>2009</v>
      </c>
      <c r="D46" s="15">
        <v>2010</v>
      </c>
      <c r="E46" s="15">
        <v>2011</v>
      </c>
      <c r="F46" s="15">
        <v>2012</v>
      </c>
      <c r="G46" s="15">
        <v>2013</v>
      </c>
      <c r="H46" s="15">
        <v>2014</v>
      </c>
      <c r="I46" s="15">
        <v>2015</v>
      </c>
      <c r="J46" s="15">
        <v>2016</v>
      </c>
      <c r="K46" s="15">
        <v>2017</v>
      </c>
      <c r="L46" s="15">
        <v>2018</v>
      </c>
      <c r="M46" s="15">
        <v>2019</v>
      </c>
      <c r="N46" s="15">
        <v>2020</v>
      </c>
      <c r="O46" s="15">
        <v>2021</v>
      </c>
      <c r="P46" s="15">
        <v>2022</v>
      </c>
      <c r="Q46" s="16" t="s">
        <v>1</v>
      </c>
    </row>
    <row r="47" spans="2:17" x14ac:dyDescent="0.25">
      <c r="B47" s="6" t="s">
        <v>21</v>
      </c>
      <c r="C47" s="7">
        <v>1714.3201500000002</v>
      </c>
      <c r="D47" s="8">
        <v>2629.1126899999999</v>
      </c>
      <c r="E47" s="7">
        <v>1259.9825700000001</v>
      </c>
      <c r="F47" s="8">
        <v>1211.0667900000001</v>
      </c>
      <c r="G47" s="7">
        <v>851.52534000000003</v>
      </c>
      <c r="H47" s="8">
        <v>842.88424999999995</v>
      </c>
      <c r="I47" s="7">
        <v>896.13801999999998</v>
      </c>
      <c r="J47" s="8">
        <v>605.4694300000001</v>
      </c>
      <c r="K47" s="7">
        <v>116.77683</v>
      </c>
      <c r="L47" s="8">
        <v>397.13899999999995</v>
      </c>
      <c r="M47" s="7">
        <v>860.57100000000003</v>
      </c>
      <c r="N47" s="8">
        <v>1149.52</v>
      </c>
      <c r="O47" s="7">
        <v>814.08600000000001</v>
      </c>
      <c r="P47" s="8">
        <v>1178.8050000000001</v>
      </c>
      <c r="Q47" s="7">
        <f t="shared" ref="Q47" si="3">SUM(C47:P47)</f>
        <v>14527.397070000001</v>
      </c>
    </row>
    <row r="48" spans="2:17" x14ac:dyDescent="0.25">
      <c r="B48" s="6" t="s">
        <v>25</v>
      </c>
      <c r="C48" s="7"/>
      <c r="D48" s="8"/>
      <c r="E48" s="7"/>
      <c r="F48" s="8"/>
      <c r="G48" s="7"/>
      <c r="H48" s="8"/>
      <c r="I48" s="7"/>
      <c r="J48" s="8"/>
      <c r="K48" s="7"/>
      <c r="L48" s="8"/>
      <c r="M48" s="7"/>
      <c r="N48" s="8"/>
      <c r="O48" s="7">
        <v>1558.453</v>
      </c>
      <c r="P48" s="8">
        <v>2632.7939999999999</v>
      </c>
      <c r="Q48" s="7">
        <f t="shared" ref="Q48" si="4">SUM(C48:P48)</f>
        <v>4191.2469999999994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3BF9-5285-48E6-945A-C80DEE63CCC1}">
  <sheetPr>
    <tabColor theme="7" tint="0.39997558519241921"/>
  </sheetPr>
  <dimension ref="B2:S31"/>
  <sheetViews>
    <sheetView topLeftCell="H9" zoomScaleNormal="100" workbookViewId="0">
      <selection activeCell="Q14" sqref="Q14"/>
    </sheetView>
  </sheetViews>
  <sheetFormatPr baseColWidth="10" defaultRowHeight="12.75" x14ac:dyDescent="0.2"/>
  <cols>
    <col min="1" max="1" width="4.7109375" style="17" customWidth="1"/>
    <col min="2" max="2" width="18.140625" style="17" customWidth="1"/>
    <col min="3" max="3" width="15.140625" style="17" bestFit="1" customWidth="1"/>
    <col min="4" max="4" width="15.5703125" style="17" customWidth="1"/>
    <col min="5" max="13" width="14" style="17" customWidth="1"/>
    <col min="14" max="17" width="16.140625" style="17" customWidth="1"/>
    <col min="18" max="18" width="18.140625" style="17" customWidth="1"/>
    <col min="19" max="19" width="10.7109375" style="17" customWidth="1"/>
    <col min="20" max="20" width="12" style="17" bestFit="1" customWidth="1"/>
    <col min="21" max="21" width="14.140625" style="17" bestFit="1" customWidth="1"/>
    <col min="22" max="16384" width="11.42578125" style="17"/>
  </cols>
  <sheetData>
    <row r="2" spans="2:19" ht="15" x14ac:dyDescent="0.25">
      <c r="B2" s="1" t="s">
        <v>28</v>
      </c>
      <c r="K2" s="18"/>
      <c r="L2" s="18"/>
      <c r="M2" s="18"/>
      <c r="N2" s="18"/>
      <c r="O2" s="18"/>
      <c r="P2" s="18"/>
      <c r="Q2" s="18"/>
    </row>
    <row r="4" spans="2:19" x14ac:dyDescent="0.2">
      <c r="B4" s="19"/>
      <c r="C4" s="20">
        <v>2009</v>
      </c>
      <c r="D4" s="20">
        <v>2010</v>
      </c>
      <c r="E4" s="20">
        <v>2011</v>
      </c>
      <c r="F4" s="20">
        <v>2012</v>
      </c>
      <c r="G4" s="20">
        <v>2013</v>
      </c>
      <c r="H4" s="20">
        <v>2014</v>
      </c>
      <c r="I4" s="20">
        <v>2015</v>
      </c>
      <c r="J4" s="20">
        <v>2016</v>
      </c>
      <c r="K4" s="20">
        <v>2017</v>
      </c>
      <c r="L4" s="20">
        <v>2018</v>
      </c>
      <c r="M4" s="20">
        <v>2019</v>
      </c>
      <c r="N4" s="20">
        <v>2020</v>
      </c>
      <c r="O4" s="20">
        <v>2021</v>
      </c>
      <c r="P4" s="20">
        <v>2022</v>
      </c>
      <c r="Q4" s="20">
        <v>2023</v>
      </c>
      <c r="R4" s="21" t="s">
        <v>1</v>
      </c>
    </row>
    <row r="5" spans="2:19" x14ac:dyDescent="0.2">
      <c r="B5" s="6" t="s">
        <v>7</v>
      </c>
      <c r="C5" s="7">
        <v>46</v>
      </c>
      <c r="D5" s="7">
        <v>73</v>
      </c>
      <c r="E5" s="7">
        <v>117</v>
      </c>
      <c r="F5" s="7">
        <v>118</v>
      </c>
      <c r="G5" s="7">
        <v>107</v>
      </c>
      <c r="H5" s="7">
        <v>68</v>
      </c>
      <c r="I5" s="7">
        <v>47</v>
      </c>
      <c r="J5" s="7">
        <v>44</v>
      </c>
      <c r="K5" s="7">
        <f>43+25</f>
        <v>68</v>
      </c>
      <c r="L5" s="7">
        <f>78+11+59</f>
        <v>148</v>
      </c>
      <c r="M5" s="7">
        <f>86+17+22</f>
        <v>125</v>
      </c>
      <c r="N5" s="7">
        <f>108+19+70+11</f>
        <v>208</v>
      </c>
      <c r="O5" s="7">
        <f>105+22+15+14</f>
        <v>156</v>
      </c>
      <c r="P5" s="7">
        <v>449</v>
      </c>
      <c r="Q5" s="7">
        <f>'[1]BILAN ENR FC'!$AC$3</f>
        <v>805</v>
      </c>
      <c r="R5" s="22">
        <f>SUM(C5:Q5)</f>
        <v>2579</v>
      </c>
      <c r="S5" s="73">
        <f>SUM(L5:Q5)</f>
        <v>1891</v>
      </c>
    </row>
    <row r="6" spans="2:19" x14ac:dyDescent="0.2">
      <c r="B6" s="6" t="s">
        <v>165</v>
      </c>
      <c r="C6" s="7">
        <v>31</v>
      </c>
      <c r="D6" s="7">
        <v>37</v>
      </c>
      <c r="E6" s="7">
        <v>22</v>
      </c>
      <c r="F6" s="7">
        <v>22</v>
      </c>
      <c r="G6" s="7">
        <v>14</v>
      </c>
      <c r="H6" s="7">
        <v>10</v>
      </c>
      <c r="I6" s="7">
        <v>11</v>
      </c>
      <c r="J6" s="7">
        <v>11</v>
      </c>
      <c r="K6" s="7">
        <v>5</v>
      </c>
      <c r="L6" s="7">
        <v>6</v>
      </c>
      <c r="M6" s="7">
        <v>10</v>
      </c>
      <c r="N6" s="7">
        <v>19</v>
      </c>
      <c r="O6" s="7">
        <v>12</v>
      </c>
      <c r="P6" s="7">
        <v>20</v>
      </c>
      <c r="Q6" s="7">
        <f>'[2]BILAN FC2023 par filiere'!$AF$10+'[2]BILAN FC2023 par filiere'!$AF$11</f>
        <v>40</v>
      </c>
      <c r="R6" s="22">
        <f t="shared" ref="R6:R12" si="0">SUM(C6:Q6)</f>
        <v>270</v>
      </c>
      <c r="S6" s="73">
        <f t="shared" ref="S6:S12" si="1">SUM(L6:Q6)</f>
        <v>107</v>
      </c>
    </row>
    <row r="7" spans="2:19" x14ac:dyDescent="0.2">
      <c r="B7" s="6" t="s">
        <v>9</v>
      </c>
      <c r="C7" s="7">
        <v>16</v>
      </c>
      <c r="D7" s="7">
        <v>77</v>
      </c>
      <c r="E7" s="7">
        <v>88</v>
      </c>
      <c r="F7" s="7">
        <v>64</v>
      </c>
      <c r="G7" s="7">
        <v>51</v>
      </c>
      <c r="H7" s="7">
        <v>46</v>
      </c>
      <c r="I7" s="7">
        <v>52</v>
      </c>
      <c r="J7" s="7">
        <v>50</v>
      </c>
      <c r="K7" s="7">
        <f>51+4</f>
        <v>55</v>
      </c>
      <c r="L7" s="7">
        <f>77+0</f>
        <v>77</v>
      </c>
      <c r="M7" s="7">
        <f>79+0</f>
        <v>79</v>
      </c>
      <c r="N7" s="7">
        <f>73+3+4</f>
        <v>80</v>
      </c>
      <c r="O7" s="7">
        <f>81+3+5+5</f>
        <v>94</v>
      </c>
      <c r="P7" s="7">
        <v>152</v>
      </c>
      <c r="Q7" s="7">
        <f>'[1]BILAN ENR FC'!$AC$11+'[1]BILAN ENR FC'!$AC$9</f>
        <v>248</v>
      </c>
      <c r="R7" s="22">
        <f t="shared" si="0"/>
        <v>1229</v>
      </c>
      <c r="S7" s="73">
        <f t="shared" si="1"/>
        <v>730</v>
      </c>
    </row>
    <row r="8" spans="2:19" x14ac:dyDescent="0.2">
      <c r="B8" s="6" t="s">
        <v>10</v>
      </c>
      <c r="C8" s="7">
        <v>2</v>
      </c>
      <c r="D8" s="7">
        <v>3</v>
      </c>
      <c r="E8" s="7">
        <v>2</v>
      </c>
      <c r="F8" s="7">
        <v>0</v>
      </c>
      <c r="G8" s="7">
        <v>9</v>
      </c>
      <c r="H8" s="7">
        <v>10</v>
      </c>
      <c r="I8" s="7">
        <v>25</v>
      </c>
      <c r="J8" s="7">
        <v>20</v>
      </c>
      <c r="K8" s="7">
        <v>27</v>
      </c>
      <c r="L8" s="7">
        <v>48</v>
      </c>
      <c r="M8" s="7">
        <v>107</v>
      </c>
      <c r="N8" s="7">
        <v>113</v>
      </c>
      <c r="O8" s="7">
        <v>110</v>
      </c>
      <c r="P8" s="7">
        <v>36</v>
      </c>
      <c r="Q8" s="7">
        <f>'[1]BILAN ENR FC'!$AC$27</f>
        <v>17</v>
      </c>
      <c r="R8" s="22">
        <f t="shared" si="0"/>
        <v>529</v>
      </c>
      <c r="S8" s="73">
        <f t="shared" si="1"/>
        <v>431</v>
      </c>
    </row>
    <row r="9" spans="2:19" x14ac:dyDescent="0.2">
      <c r="B9" s="6" t="s">
        <v>11</v>
      </c>
      <c r="C9" s="7">
        <v>171</v>
      </c>
      <c r="D9" s="7">
        <v>404</v>
      </c>
      <c r="E9" s="7">
        <v>456</v>
      </c>
      <c r="F9" s="7">
        <v>224</v>
      </c>
      <c r="G9" s="7">
        <v>140</v>
      </c>
      <c r="H9" s="7">
        <v>119</v>
      </c>
      <c r="I9" s="7">
        <v>76</v>
      </c>
      <c r="J9" s="7">
        <v>64</v>
      </c>
      <c r="K9" s="7">
        <f>42+1</f>
        <v>43</v>
      </c>
      <c r="L9" s="7">
        <f>58+12</f>
        <v>70</v>
      </c>
      <c r="M9" s="7">
        <f>65+4</f>
        <v>69</v>
      </c>
      <c r="N9" s="7">
        <f>62+21+3</f>
        <v>86</v>
      </c>
      <c r="O9" s="7">
        <f>37+3+6+36</f>
        <v>82</v>
      </c>
      <c r="P9" s="7">
        <v>87</v>
      </c>
      <c r="Q9" s="7">
        <f>'[1]BILAN ENR FC'!$AC$17</f>
        <v>288</v>
      </c>
      <c r="R9" s="22">
        <f t="shared" si="0"/>
        <v>2379</v>
      </c>
      <c r="S9" s="73">
        <f t="shared" si="1"/>
        <v>682</v>
      </c>
    </row>
    <row r="10" spans="2:19" x14ac:dyDescent="0.2">
      <c r="B10" s="6" t="s">
        <v>30</v>
      </c>
      <c r="C10" s="7">
        <v>45</v>
      </c>
      <c r="D10" s="7">
        <v>98</v>
      </c>
      <c r="E10" s="7">
        <v>123</v>
      </c>
      <c r="F10" s="7">
        <v>143</v>
      </c>
      <c r="G10" s="7">
        <v>122</v>
      </c>
      <c r="H10" s="7">
        <v>72</v>
      </c>
      <c r="I10" s="7">
        <v>65</v>
      </c>
      <c r="J10" s="7">
        <v>72</v>
      </c>
      <c r="K10" s="7">
        <f>78+3</f>
        <v>81</v>
      </c>
      <c r="L10" s="7">
        <f>107+10</f>
        <v>117</v>
      </c>
      <c r="M10" s="7">
        <f>94+15</f>
        <v>109</v>
      </c>
      <c r="N10" s="7">
        <f>107+7+8</f>
        <v>122</v>
      </c>
      <c r="O10" s="7">
        <f>62+4+8+4</f>
        <v>78</v>
      </c>
      <c r="P10" s="7">
        <v>126</v>
      </c>
      <c r="Q10" s="7">
        <v>61</v>
      </c>
      <c r="R10" s="22">
        <f t="shared" si="0"/>
        <v>1434</v>
      </c>
      <c r="S10" s="73">
        <f t="shared" si="1"/>
        <v>613</v>
      </c>
    </row>
    <row r="11" spans="2:19" x14ac:dyDescent="0.2">
      <c r="B11" s="6" t="s">
        <v>31</v>
      </c>
      <c r="C11" s="7"/>
      <c r="D11" s="7"/>
      <c r="E11" s="7">
        <v>3</v>
      </c>
      <c r="F11" s="7">
        <v>3</v>
      </c>
      <c r="G11" s="7">
        <v>2</v>
      </c>
      <c r="H11" s="7">
        <v>4</v>
      </c>
      <c r="I11" s="7">
        <v>20</v>
      </c>
      <c r="J11" s="7">
        <v>19</v>
      </c>
      <c r="K11" s="7">
        <v>23</v>
      </c>
      <c r="L11" s="7">
        <v>25</v>
      </c>
      <c r="M11" s="7">
        <v>23</v>
      </c>
      <c r="N11" s="7">
        <v>13</v>
      </c>
      <c r="O11" s="7">
        <v>16</v>
      </c>
      <c r="P11" s="7">
        <v>29</v>
      </c>
      <c r="Q11" s="7">
        <v>36</v>
      </c>
      <c r="R11" s="22">
        <f t="shared" si="0"/>
        <v>216</v>
      </c>
      <c r="S11" s="73">
        <f t="shared" si="1"/>
        <v>142</v>
      </c>
    </row>
    <row r="12" spans="2:19" x14ac:dyDescent="0.2">
      <c r="B12" s="6" t="s">
        <v>14</v>
      </c>
      <c r="C12" s="7"/>
      <c r="D12" s="7"/>
      <c r="E12" s="7"/>
      <c r="F12" s="7"/>
      <c r="G12" s="7"/>
      <c r="H12" s="7"/>
      <c r="I12" s="7"/>
      <c r="J12" s="7"/>
      <c r="K12" s="7"/>
      <c r="L12" s="7">
        <v>2</v>
      </c>
      <c r="M12" s="7">
        <v>2</v>
      </c>
      <c r="N12" s="7">
        <v>1</v>
      </c>
      <c r="O12" s="7"/>
      <c r="P12" s="7"/>
      <c r="Q12" s="7"/>
      <c r="R12" s="22">
        <f t="shared" si="0"/>
        <v>5</v>
      </c>
      <c r="S12" s="73">
        <f t="shared" si="1"/>
        <v>5</v>
      </c>
    </row>
    <row r="13" spans="2:19" ht="25.5" x14ac:dyDescent="0.2">
      <c r="B13" s="23" t="s">
        <v>32</v>
      </c>
      <c r="C13" s="24">
        <f t="shared" ref="C13:Q13" si="2">SUM(C5:C12)</f>
        <v>311</v>
      </c>
      <c r="D13" s="24">
        <f t="shared" si="2"/>
        <v>692</v>
      </c>
      <c r="E13" s="24">
        <f t="shared" si="2"/>
        <v>811</v>
      </c>
      <c r="F13" s="24">
        <f t="shared" si="2"/>
        <v>574</v>
      </c>
      <c r="G13" s="24">
        <f t="shared" si="2"/>
        <v>445</v>
      </c>
      <c r="H13" s="24">
        <f t="shared" si="2"/>
        <v>329</v>
      </c>
      <c r="I13" s="24">
        <f t="shared" si="2"/>
        <v>296</v>
      </c>
      <c r="J13" s="24">
        <f t="shared" si="2"/>
        <v>280</v>
      </c>
      <c r="K13" s="24">
        <f t="shared" si="2"/>
        <v>302</v>
      </c>
      <c r="L13" s="24">
        <f t="shared" si="2"/>
        <v>493</v>
      </c>
      <c r="M13" s="24">
        <f t="shared" si="2"/>
        <v>524</v>
      </c>
      <c r="N13" s="24">
        <f t="shared" si="2"/>
        <v>642</v>
      </c>
      <c r="O13" s="24">
        <f t="shared" si="2"/>
        <v>548</v>
      </c>
      <c r="P13" s="24">
        <f t="shared" si="2"/>
        <v>899</v>
      </c>
      <c r="Q13" s="24">
        <f t="shared" si="2"/>
        <v>1495</v>
      </c>
      <c r="R13" s="25">
        <f>SUM(R5:R12)</f>
        <v>8641</v>
      </c>
    </row>
    <row r="14" spans="2:19" x14ac:dyDescent="0.2"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2:19" x14ac:dyDescent="0.2">
      <c r="B15" s="6" t="s">
        <v>158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>
        <v>20</v>
      </c>
      <c r="P15" s="7">
        <v>23</v>
      </c>
      <c r="Q15" s="7">
        <v>41</v>
      </c>
      <c r="R15" s="22">
        <f>O15+P15</f>
        <v>43</v>
      </c>
    </row>
    <row r="16" spans="2:19" ht="25.5" x14ac:dyDescent="0.2">
      <c r="B16" s="23" t="s">
        <v>33</v>
      </c>
      <c r="C16" s="25">
        <f t="shared" ref="C16:R16" si="3">C15+C13</f>
        <v>311</v>
      </c>
      <c r="D16" s="25">
        <f>D15+D13</f>
        <v>692</v>
      </c>
      <c r="E16" s="25">
        <f t="shared" si="3"/>
        <v>811</v>
      </c>
      <c r="F16" s="25">
        <f t="shared" si="3"/>
        <v>574</v>
      </c>
      <c r="G16" s="25">
        <f t="shared" si="3"/>
        <v>445</v>
      </c>
      <c r="H16" s="25">
        <f t="shared" si="3"/>
        <v>329</v>
      </c>
      <c r="I16" s="25">
        <f t="shared" si="3"/>
        <v>296</v>
      </c>
      <c r="J16" s="25">
        <f t="shared" si="3"/>
        <v>280</v>
      </c>
      <c r="K16" s="25">
        <f t="shared" si="3"/>
        <v>302</v>
      </c>
      <c r="L16" s="25">
        <f t="shared" si="3"/>
        <v>493</v>
      </c>
      <c r="M16" s="25">
        <f t="shared" si="3"/>
        <v>524</v>
      </c>
      <c r="N16" s="25">
        <f t="shared" si="3"/>
        <v>642</v>
      </c>
      <c r="O16" s="25">
        <f t="shared" si="3"/>
        <v>568</v>
      </c>
      <c r="P16" s="25">
        <f t="shared" si="3"/>
        <v>922</v>
      </c>
      <c r="Q16" s="25">
        <f t="shared" si="3"/>
        <v>1536</v>
      </c>
      <c r="R16" s="25">
        <f t="shared" si="3"/>
        <v>8684</v>
      </c>
    </row>
    <row r="18" spans="2:18" x14ac:dyDescent="0.2">
      <c r="B18" s="6" t="s">
        <v>15</v>
      </c>
      <c r="C18" s="7">
        <v>50</v>
      </c>
      <c r="D18" s="7">
        <v>7</v>
      </c>
      <c r="E18" s="7">
        <v>0</v>
      </c>
      <c r="F18" s="7">
        <v>0</v>
      </c>
      <c r="G18" s="7">
        <v>21</v>
      </c>
      <c r="H18" s="7">
        <v>26</v>
      </c>
      <c r="I18" s="7">
        <v>82</v>
      </c>
      <c r="J18" s="7">
        <v>64</v>
      </c>
      <c r="K18" s="7">
        <v>18</v>
      </c>
      <c r="L18" s="7">
        <v>12</v>
      </c>
      <c r="M18" s="7">
        <v>18</v>
      </c>
      <c r="N18" s="7">
        <v>10</v>
      </c>
      <c r="O18" s="7">
        <v>11</v>
      </c>
      <c r="P18" s="7">
        <f>'[3]Graphique nb installations'!B9</f>
        <v>10</v>
      </c>
      <c r="Q18" s="7">
        <v>9</v>
      </c>
      <c r="R18" s="22">
        <f>SUM(C18:P18)</f>
        <v>329</v>
      </c>
    </row>
    <row r="19" spans="2:18" x14ac:dyDescent="0.2">
      <c r="B19" s="23" t="s">
        <v>34</v>
      </c>
      <c r="C19" s="27">
        <f t="shared" ref="C19:R19" si="4">C16+C18</f>
        <v>361</v>
      </c>
      <c r="D19" s="27">
        <f t="shared" si="4"/>
        <v>699</v>
      </c>
      <c r="E19" s="27">
        <f t="shared" si="4"/>
        <v>811</v>
      </c>
      <c r="F19" s="27">
        <f t="shared" si="4"/>
        <v>574</v>
      </c>
      <c r="G19" s="27">
        <f t="shared" si="4"/>
        <v>466</v>
      </c>
      <c r="H19" s="27">
        <f t="shared" si="4"/>
        <v>355</v>
      </c>
      <c r="I19" s="27">
        <f t="shared" si="4"/>
        <v>378</v>
      </c>
      <c r="J19" s="27">
        <f t="shared" si="4"/>
        <v>344</v>
      </c>
      <c r="K19" s="27">
        <f t="shared" si="4"/>
        <v>320</v>
      </c>
      <c r="L19" s="27">
        <f t="shared" si="4"/>
        <v>505</v>
      </c>
      <c r="M19" s="27">
        <f t="shared" si="4"/>
        <v>542</v>
      </c>
      <c r="N19" s="27">
        <f t="shared" si="4"/>
        <v>652</v>
      </c>
      <c r="O19" s="27">
        <f t="shared" si="4"/>
        <v>579</v>
      </c>
      <c r="P19" s="27">
        <f t="shared" si="4"/>
        <v>932</v>
      </c>
      <c r="Q19" s="27">
        <f t="shared" si="4"/>
        <v>1545</v>
      </c>
      <c r="R19" s="27">
        <f t="shared" si="4"/>
        <v>9013</v>
      </c>
    </row>
    <row r="31" spans="2:18" x14ac:dyDescent="0.2">
      <c r="E31" s="17">
        <f>0.3*110</f>
        <v>33</v>
      </c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F76C8-3334-4D72-9E2F-B596AE6698DB}">
  <sheetPr>
    <tabColor theme="7" tint="0.39997558519241921"/>
  </sheetPr>
  <dimension ref="B2:W27"/>
  <sheetViews>
    <sheetView topLeftCell="E12" zoomScale="85" zoomScaleNormal="85" workbookViewId="0">
      <selection activeCell="C14" sqref="C14"/>
    </sheetView>
  </sheetViews>
  <sheetFormatPr baseColWidth="10" defaultRowHeight="15" x14ac:dyDescent="0.25"/>
  <cols>
    <col min="1" max="1" width="5.7109375" style="2" customWidth="1"/>
    <col min="2" max="2" width="61.42578125" style="2" customWidth="1"/>
    <col min="3" max="3" width="11.42578125" style="2"/>
    <col min="4" max="4" width="15.28515625" style="2" customWidth="1"/>
    <col min="5" max="5" width="17.140625" style="2" customWidth="1"/>
    <col min="6" max="12" width="11.42578125" style="2"/>
    <col min="13" max="15" width="14.28515625" style="2" customWidth="1"/>
    <col min="16" max="16" width="14.85546875" style="2" bestFit="1" customWidth="1"/>
    <col min="17" max="17" width="14.85546875" style="2" customWidth="1"/>
    <col min="18" max="19" width="15" style="2" customWidth="1"/>
    <col min="20" max="21" width="11.42578125" style="2"/>
    <col min="22" max="22" width="16.140625" style="2" customWidth="1"/>
    <col min="23" max="23" width="16.28515625" style="2" customWidth="1"/>
    <col min="24" max="16384" width="11.42578125" style="2"/>
  </cols>
  <sheetData>
    <row r="2" spans="2:23" x14ac:dyDescent="0.25">
      <c r="B2" s="1" t="s">
        <v>44</v>
      </c>
    </row>
    <row r="4" spans="2:23" x14ac:dyDescent="0.25">
      <c r="B4" s="3"/>
      <c r="C4" s="4">
        <v>2009</v>
      </c>
      <c r="D4" s="4">
        <v>2010</v>
      </c>
      <c r="E4" s="4">
        <v>2011</v>
      </c>
      <c r="F4" s="4">
        <v>2012</v>
      </c>
      <c r="G4" s="4">
        <v>2013</v>
      </c>
      <c r="H4" s="4">
        <v>2014</v>
      </c>
      <c r="I4" s="4">
        <v>2015</v>
      </c>
      <c r="J4" s="4">
        <v>2016</v>
      </c>
      <c r="K4" s="4">
        <v>2017</v>
      </c>
      <c r="L4" s="4">
        <v>2018</v>
      </c>
      <c r="M4" s="4">
        <v>2019</v>
      </c>
      <c r="N4" s="4">
        <v>2020</v>
      </c>
      <c r="O4" s="4">
        <v>2021</v>
      </c>
      <c r="P4" s="4">
        <v>2022</v>
      </c>
      <c r="Q4" s="4">
        <v>2023</v>
      </c>
      <c r="R4" s="5" t="s">
        <v>1</v>
      </c>
    </row>
    <row r="5" spans="2:23" x14ac:dyDescent="0.25">
      <c r="B5" s="6" t="s">
        <v>45</v>
      </c>
      <c r="C5" s="8">
        <f t="shared" ref="C5:O5" si="0">C22</f>
        <v>546748</v>
      </c>
      <c r="D5" s="8">
        <f t="shared" si="0"/>
        <v>574819.55471000005</v>
      </c>
      <c r="E5" s="8">
        <f t="shared" si="0"/>
        <v>758219.36948999995</v>
      </c>
      <c r="F5" s="8">
        <f t="shared" si="0"/>
        <v>799853.67004999996</v>
      </c>
      <c r="G5" s="8">
        <f t="shared" si="0"/>
        <v>789915.46695000003</v>
      </c>
      <c r="H5" s="8">
        <f t="shared" si="0"/>
        <v>509608.98731</v>
      </c>
      <c r="I5" s="8">
        <f t="shared" si="0"/>
        <v>650164.47130000009</v>
      </c>
      <c r="J5" s="8">
        <f t="shared" si="0"/>
        <v>522890.43066000001</v>
      </c>
      <c r="K5" s="8">
        <f t="shared" si="0"/>
        <v>628498.34061000007</v>
      </c>
      <c r="L5" s="8">
        <f t="shared" si="0"/>
        <v>892235.28358000005</v>
      </c>
      <c r="M5" s="8">
        <f t="shared" si="0"/>
        <v>1245966.3133999999</v>
      </c>
      <c r="N5" s="8">
        <f t="shared" si="0"/>
        <v>1468108.9190401568</v>
      </c>
      <c r="O5" s="8">
        <f t="shared" si="0"/>
        <v>1399892.3155699999</v>
      </c>
      <c r="P5" s="8">
        <f>P22</f>
        <v>1572197.0241478002</v>
      </c>
      <c r="Q5" s="8">
        <v>1547914.3674145944</v>
      </c>
      <c r="R5" s="7">
        <f>SUM(C5:Q5)</f>
        <v>13907032.514232554</v>
      </c>
    </row>
    <row r="6" spans="2:23" x14ac:dyDescent="0.25">
      <c r="B6" s="6" t="s">
        <v>46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f>P7-P5</f>
        <v>112414.17985219974</v>
      </c>
      <c r="Q6" s="7">
        <v>136804.98417000001</v>
      </c>
      <c r="R6" s="7">
        <f>SUM(C6:Q6)</f>
        <v>249219.16402219975</v>
      </c>
      <c r="S6" s="38" t="s">
        <v>47</v>
      </c>
    </row>
    <row r="7" spans="2:23" x14ac:dyDescent="0.25">
      <c r="B7" s="9" t="s">
        <v>48</v>
      </c>
      <c r="C7" s="10">
        <f>SUM(C5:C6)</f>
        <v>546748</v>
      </c>
      <c r="D7" s="10">
        <f t="shared" ref="D7:R7" si="1">SUM(D5:D6)</f>
        <v>574819.55471000005</v>
      </c>
      <c r="E7" s="10">
        <f t="shared" si="1"/>
        <v>758219.36948999995</v>
      </c>
      <c r="F7" s="10">
        <f t="shared" si="1"/>
        <v>799853.67004999996</v>
      </c>
      <c r="G7" s="10">
        <f t="shared" si="1"/>
        <v>789915.46695000003</v>
      </c>
      <c r="H7" s="10">
        <f t="shared" si="1"/>
        <v>509608.98731</v>
      </c>
      <c r="I7" s="10">
        <f t="shared" si="1"/>
        <v>650164.47130000009</v>
      </c>
      <c r="J7" s="10">
        <f t="shared" si="1"/>
        <v>522890.43066000001</v>
      </c>
      <c r="K7" s="10">
        <f t="shared" si="1"/>
        <v>628498.34061000007</v>
      </c>
      <c r="L7" s="10">
        <f t="shared" si="1"/>
        <v>892235.28358000005</v>
      </c>
      <c r="M7" s="10">
        <f t="shared" si="1"/>
        <v>1245966.3133999999</v>
      </c>
      <c r="N7" s="10">
        <f t="shared" si="1"/>
        <v>1468108.9190401568</v>
      </c>
      <c r="O7" s="10">
        <f t="shared" si="1"/>
        <v>1399892.3155699999</v>
      </c>
      <c r="P7" s="10">
        <f>1684611204/1000</f>
        <v>1684611.2039999999</v>
      </c>
      <c r="Q7" s="10">
        <f>Q5+Q6</f>
        <v>1684719.3515845945</v>
      </c>
      <c r="R7" s="10">
        <f t="shared" si="1"/>
        <v>14156251.678254753</v>
      </c>
    </row>
    <row r="10" spans="2:23" x14ac:dyDescent="0.25">
      <c r="B10" s="1" t="s">
        <v>44</v>
      </c>
    </row>
    <row r="12" spans="2:23" x14ac:dyDescent="0.25">
      <c r="B12" s="3"/>
      <c r="C12" s="4">
        <v>2009</v>
      </c>
      <c r="D12" s="4">
        <v>2010</v>
      </c>
      <c r="E12" s="4">
        <v>2011</v>
      </c>
      <c r="F12" s="4">
        <v>2012</v>
      </c>
      <c r="G12" s="4">
        <v>2013</v>
      </c>
      <c r="H12" s="4">
        <v>2014</v>
      </c>
      <c r="I12" s="4">
        <v>2015</v>
      </c>
      <c r="J12" s="4">
        <v>2016</v>
      </c>
      <c r="K12" s="39">
        <v>2017</v>
      </c>
      <c r="L12" s="39">
        <v>2018</v>
      </c>
      <c r="M12" s="39">
        <v>2019</v>
      </c>
      <c r="N12" s="39">
        <v>2020</v>
      </c>
      <c r="O12" s="39">
        <v>2021</v>
      </c>
      <c r="P12" s="39">
        <v>2022</v>
      </c>
      <c r="Q12" s="39">
        <v>2023</v>
      </c>
      <c r="R12" s="5" t="s">
        <v>1</v>
      </c>
      <c r="T12" s="34"/>
      <c r="U12" s="34"/>
      <c r="V12" s="34"/>
      <c r="W12" s="34"/>
    </row>
    <row r="13" spans="2:23" x14ac:dyDescent="0.25">
      <c r="B13" s="11" t="s">
        <v>7</v>
      </c>
      <c r="C13" s="127">
        <f>145346-C21</f>
        <v>91776</v>
      </c>
      <c r="D13" s="8">
        <f>135135.23577-D21</f>
        <v>134465.23577</v>
      </c>
      <c r="E13" s="8">
        <v>247348.39219000001</v>
      </c>
      <c r="F13" s="8">
        <v>271483.33596000005</v>
      </c>
      <c r="G13" s="8">
        <f>223379.35796-G21</f>
        <v>211789.35795999999</v>
      </c>
      <c r="H13" s="8">
        <f>147712.84831-H21</f>
        <v>138325.84831</v>
      </c>
      <c r="I13" s="8">
        <f>125512.28337-I21</f>
        <v>84887.283370000005</v>
      </c>
      <c r="J13" s="8">
        <f>94266.0593-J21</f>
        <v>70842.059299999994</v>
      </c>
      <c r="K13" s="8">
        <f>96924.03386+(7705.67987*979/988)-K21</f>
        <v>100332.52028988866</v>
      </c>
      <c r="L13" s="8">
        <f>113281.01882+(17798.45959*27486/27597)-L21</f>
        <v>129101.88986724209</v>
      </c>
      <c r="M13" s="8">
        <f>138251.62575+(7271.56681*6777/6803)-M21</f>
        <v>121723.40177107454</v>
      </c>
      <c r="N13" s="8">
        <f>129891.20755+(96261.37336*34789/36499)-N21</f>
        <v>197408.67794154608</v>
      </c>
      <c r="O13" s="8">
        <f>119281.88007+(44451.04746*53670/56998)-O21</f>
        <v>136797.51916572617</v>
      </c>
      <c r="P13" s="8">
        <f>90970.7045+4834.459+(156667774/1000*0.7789)+3886.91</f>
        <v>221720.60266860001</v>
      </c>
      <c r="Q13" s="8">
        <v>485962.50219223078</v>
      </c>
      <c r="R13" s="8">
        <f>SUM(C13:Q13)</f>
        <v>2643964.6267563086</v>
      </c>
      <c r="S13" s="37">
        <v>126862.98816860002</v>
      </c>
      <c r="T13" s="34">
        <v>3886.9</v>
      </c>
      <c r="U13" s="35">
        <f t="shared" ref="U13:U21" si="2">P13-R13</f>
        <v>-2422244.0240877084</v>
      </c>
      <c r="V13" s="36">
        <f>U13-T13</f>
        <v>-2426130.9240877084</v>
      </c>
      <c r="W13" s="35">
        <f>T13+V13+R13</f>
        <v>221720.60266860016</v>
      </c>
    </row>
    <row r="14" spans="2:23" x14ac:dyDescent="0.25">
      <c r="B14" s="11" t="s">
        <v>8</v>
      </c>
      <c r="C14" s="7">
        <v>153688</v>
      </c>
      <c r="D14" s="7">
        <v>200561.86</v>
      </c>
      <c r="E14" s="7">
        <v>122252.04734</v>
      </c>
      <c r="F14" s="7">
        <v>112112.693</v>
      </c>
      <c r="G14" s="7">
        <v>80476.426999999996</v>
      </c>
      <c r="H14" s="7">
        <v>88026.714999999997</v>
      </c>
      <c r="I14" s="7">
        <v>110411.257</v>
      </c>
      <c r="J14" s="7">
        <v>72929.259999999995</v>
      </c>
      <c r="K14" s="7">
        <v>15260.153</v>
      </c>
      <c r="L14" s="7">
        <v>67738.702000000005</v>
      </c>
      <c r="M14" s="7">
        <v>110511.76366</v>
      </c>
      <c r="N14" s="7">
        <v>146640.11300000001</v>
      </c>
      <c r="O14" s="7">
        <v>112139.24620000001</v>
      </c>
      <c r="P14" s="8">
        <f>253622502.57/1000</f>
        <v>253622.50256999998</v>
      </c>
      <c r="Q14" s="8">
        <v>102155.7043</v>
      </c>
      <c r="R14" s="8">
        <f t="shared" ref="R14:R20" si="3">SUM(C14:Q14)</f>
        <v>1748526.44407</v>
      </c>
      <c r="S14" s="37"/>
      <c r="T14" s="34"/>
      <c r="U14" s="35">
        <f t="shared" si="2"/>
        <v>-1494903.9415</v>
      </c>
      <c r="V14" s="36">
        <f t="shared" ref="V14:V22" si="4">U14-T14</f>
        <v>-1494903.9415</v>
      </c>
      <c r="W14" s="35">
        <f t="shared" ref="W14:W21" si="5">T14+V14+R14</f>
        <v>253622.50257000001</v>
      </c>
    </row>
    <row r="15" spans="2:23" x14ac:dyDescent="0.25">
      <c r="B15" s="11" t="s">
        <v>9</v>
      </c>
      <c r="C15" s="127">
        <v>15975</v>
      </c>
      <c r="D15" s="8">
        <v>56633.838479999999</v>
      </c>
      <c r="E15" s="8">
        <v>107211.84026999999</v>
      </c>
      <c r="F15" s="8">
        <v>77288.595749999993</v>
      </c>
      <c r="G15" s="8">
        <v>70635.608089999994</v>
      </c>
      <c r="H15" s="8">
        <v>85341.533950000012</v>
      </c>
      <c r="I15" s="8">
        <v>86444.875110000008</v>
      </c>
      <c r="J15" s="8">
        <v>65554.321819999983</v>
      </c>
      <c r="K15" s="8">
        <f>75474.88764+(7705.67987*7/988)</f>
        <v>75529.482537864373</v>
      </c>
      <c r="L15" s="8">
        <v>103956.08549000001</v>
      </c>
      <c r="M15" s="8">
        <v>118246.53414</v>
      </c>
      <c r="N15" s="8">
        <f>102358.1946+(96261.37336*1072/36499)</f>
        <v>105185.45540829393</v>
      </c>
      <c r="O15" s="8">
        <f>124624.43895+(44451.04746*1881/56998)</f>
        <v>126091.37498761991</v>
      </c>
      <c r="P15" s="8">
        <f>111742224.12/1000+1532398/1000+(156667774/1000*0.1231)+91.47</f>
        <v>132651.89509939999</v>
      </c>
      <c r="Q15" s="8">
        <v>208084.23929941608</v>
      </c>
      <c r="R15" s="8">
        <f t="shared" si="3"/>
        <v>1434830.6804325944</v>
      </c>
      <c r="S15" s="37">
        <v>20818.200979400001</v>
      </c>
      <c r="T15" s="34">
        <v>91.47</v>
      </c>
      <c r="U15" s="35">
        <f t="shared" si="2"/>
        <v>-1302178.7853331943</v>
      </c>
      <c r="V15" s="36">
        <f t="shared" si="4"/>
        <v>-1302270.2553331943</v>
      </c>
      <c r="W15" s="35">
        <f t="shared" si="5"/>
        <v>132651.89509940008</v>
      </c>
    </row>
    <row r="16" spans="2:23" x14ac:dyDescent="0.25">
      <c r="B16" s="11" t="s">
        <v>10</v>
      </c>
      <c r="C16" s="88">
        <v>858</v>
      </c>
      <c r="D16" s="7">
        <v>4045.0164</v>
      </c>
      <c r="E16" s="7">
        <v>2130.7950000000001</v>
      </c>
      <c r="F16" s="7">
        <v>0</v>
      </c>
      <c r="G16" s="7">
        <v>11977.603999999999</v>
      </c>
      <c r="H16" s="7">
        <v>24364.58754</v>
      </c>
      <c r="I16" s="7">
        <v>156926.03787999999</v>
      </c>
      <c r="J16" s="7">
        <v>113289.523</v>
      </c>
      <c r="K16" s="7">
        <v>135440.85624000002</v>
      </c>
      <c r="L16" s="7">
        <v>226522.69020999997</v>
      </c>
      <c r="M16" s="7">
        <v>537285.58335999993</v>
      </c>
      <c r="N16" s="7">
        <v>579782.25951999973</v>
      </c>
      <c r="O16" s="7">
        <v>669073.47152999975</v>
      </c>
      <c r="P16" s="8">
        <f>265220899.78/1000</f>
        <v>265220.89977999998</v>
      </c>
      <c r="Q16" s="8">
        <v>124626.83364</v>
      </c>
      <c r="R16" s="8">
        <f t="shared" si="3"/>
        <v>2851544.1580999997</v>
      </c>
      <c r="S16" s="37"/>
      <c r="T16" s="34"/>
      <c r="U16" s="35">
        <f t="shared" si="2"/>
        <v>-2586323.2583199996</v>
      </c>
      <c r="V16" s="36">
        <f t="shared" si="4"/>
        <v>-2586323.2583199996</v>
      </c>
      <c r="W16" s="35">
        <f t="shared" si="5"/>
        <v>265220.89978000009</v>
      </c>
    </row>
    <row r="17" spans="2:23" x14ac:dyDescent="0.25">
      <c r="B17" s="11" t="s">
        <v>11</v>
      </c>
      <c r="C17" s="8">
        <v>22708</v>
      </c>
      <c r="D17" s="8">
        <v>37189.215109999997</v>
      </c>
      <c r="E17" s="8">
        <f>39063.0425299999+131.30796</f>
        <v>39194.350489999895</v>
      </c>
      <c r="F17" s="8">
        <f>21261.44314+109.67248</f>
        <v>21371.11562</v>
      </c>
      <c r="G17" s="8">
        <f>13177.92644+538.69986</f>
        <v>13716.6263</v>
      </c>
      <c r="H17" s="8">
        <f>11365.5696+222.67886</f>
        <v>11588.248460000001</v>
      </c>
      <c r="I17" s="8">
        <f>8699.86658+230.222</f>
        <v>8930.0885799999996</v>
      </c>
      <c r="J17" s="8">
        <f>9419.92926+63.06</f>
        <v>9482.9892600000003</v>
      </c>
      <c r="K17" s="8">
        <f>9480.71593+(7705.67987*2/988)</f>
        <v>9496.3144722469642</v>
      </c>
      <c r="L17" s="8">
        <f>11806.98145++(17798.45959*111/27597)</f>
        <v>11878.569992757908</v>
      </c>
      <c r="M17" s="8">
        <f>24220.83387+(7271.56681*26/6803)</f>
        <v>24248.624658925473</v>
      </c>
      <c r="N17" s="8">
        <f>9933.10798+(96261.37336*639/36499)</f>
        <v>11618.387510316996</v>
      </c>
      <c r="O17" s="8">
        <f>6190.89425+(44451.04746*1447/56998)</f>
        <v>7319.3665766539179</v>
      </c>
      <c r="P17" s="8">
        <f>15272713.66/1000+264.788+(156667774/1000*0.0229)+1395.322</f>
        <v>20520.515684599999</v>
      </c>
      <c r="Q17" s="8">
        <v>40722.166772947778</v>
      </c>
      <c r="R17" s="8">
        <f t="shared" si="3"/>
        <v>289984.57948844892</v>
      </c>
      <c r="S17" s="37">
        <v>3852.4800246</v>
      </c>
      <c r="T17" s="34">
        <v>1395.3219999999999</v>
      </c>
      <c r="U17" s="35">
        <f t="shared" si="2"/>
        <v>-269464.06380384893</v>
      </c>
      <c r="V17" s="36">
        <f t="shared" si="4"/>
        <v>-270859.38580384891</v>
      </c>
      <c r="W17" s="35">
        <f t="shared" si="5"/>
        <v>20520.515684599988</v>
      </c>
    </row>
    <row r="18" spans="2:23" x14ac:dyDescent="0.25">
      <c r="B18" s="11" t="s">
        <v>12</v>
      </c>
      <c r="C18" s="88">
        <v>208173</v>
      </c>
      <c r="D18" s="8">
        <v>141254.38895000002</v>
      </c>
      <c r="E18" s="8">
        <v>234277.25320000001</v>
      </c>
      <c r="F18" s="8">
        <v>308180.77871999994</v>
      </c>
      <c r="G18" s="8">
        <v>386770.71160000004</v>
      </c>
      <c r="H18" s="8">
        <v>148567.59405000001</v>
      </c>
      <c r="I18" s="8">
        <v>138262.99436000001</v>
      </c>
      <c r="J18" s="8">
        <v>146972.83181999999</v>
      </c>
      <c r="K18" s="8">
        <v>241412.80544999999</v>
      </c>
      <c r="L18" s="8">
        <v>322398.86577000003</v>
      </c>
      <c r="M18" s="8">
        <v>276007.51420999999</v>
      </c>
      <c r="N18" s="8">
        <v>398128.52119999996</v>
      </c>
      <c r="O18" s="8">
        <v>302843.61108</v>
      </c>
      <c r="P18" s="8">
        <f>597638322.45/1000+(156667774/1000*0.0748)</f>
        <v>609357.07194520009</v>
      </c>
      <c r="Q18" s="8">
        <v>486689.56617999997</v>
      </c>
      <c r="R18" s="8">
        <f t="shared" si="3"/>
        <v>4349297.5085351998</v>
      </c>
      <c r="S18" s="37">
        <v>11718.749495200002</v>
      </c>
      <c r="T18" s="34"/>
      <c r="U18" s="35">
        <f t="shared" si="2"/>
        <v>-3739940.4365899996</v>
      </c>
      <c r="V18" s="36">
        <f t="shared" si="4"/>
        <v>-3739940.4365899996</v>
      </c>
      <c r="W18" s="35">
        <f t="shared" si="5"/>
        <v>609357.07194520021</v>
      </c>
    </row>
    <row r="19" spans="2:23" x14ac:dyDescent="0.25">
      <c r="B19" s="11" t="s">
        <v>13</v>
      </c>
      <c r="C19" s="127"/>
      <c r="E19" s="8">
        <v>5804.6909999999998</v>
      </c>
      <c r="F19" s="8">
        <v>9417.1509999999998</v>
      </c>
      <c r="G19" s="8">
        <v>2959.1320000000001</v>
      </c>
      <c r="H19" s="8">
        <v>4007.46</v>
      </c>
      <c r="I19" s="8">
        <v>23676.935000000001</v>
      </c>
      <c r="J19" s="8">
        <v>20395.445459999999</v>
      </c>
      <c r="K19" s="8">
        <v>46799.208619999998</v>
      </c>
      <c r="L19" s="7">
        <v>27697.071250000001</v>
      </c>
      <c r="M19" s="7">
        <v>23729.249599999999</v>
      </c>
      <c r="N19" s="7">
        <v>4641.7044599999999</v>
      </c>
      <c r="O19" s="7">
        <v>21287.726029999998</v>
      </c>
      <c r="P19" s="8">
        <f>61837267.4/1000</f>
        <v>61837.267399999997</v>
      </c>
      <c r="Q19" s="8">
        <v>93213.612039999993</v>
      </c>
      <c r="R19" s="8">
        <f t="shared" si="3"/>
        <v>345466.65386000002</v>
      </c>
      <c r="S19" s="37"/>
      <c r="T19" s="34"/>
      <c r="U19" s="35">
        <f t="shared" si="2"/>
        <v>-283629.38646000001</v>
      </c>
      <c r="V19" s="36">
        <f t="shared" si="4"/>
        <v>-283629.38646000001</v>
      </c>
      <c r="W19" s="35">
        <f t="shared" si="5"/>
        <v>61837.267400000012</v>
      </c>
    </row>
    <row r="20" spans="2:23" x14ac:dyDescent="0.25">
      <c r="B20" s="11" t="s">
        <v>14</v>
      </c>
      <c r="C20" s="7"/>
      <c r="D20" s="7"/>
      <c r="E20" s="7"/>
      <c r="F20" s="7"/>
      <c r="G20" s="7"/>
      <c r="H20" s="7"/>
      <c r="I20" s="7"/>
      <c r="J20" s="7"/>
      <c r="K20" s="7"/>
      <c r="L20" s="8">
        <v>1035.4090000000001</v>
      </c>
      <c r="M20" s="8">
        <v>10441.642</v>
      </c>
      <c r="N20" s="8">
        <v>469.8</v>
      </c>
      <c r="P20" s="8"/>
      <c r="Q20" s="8"/>
      <c r="R20" s="8">
        <f t="shared" si="3"/>
        <v>11946.850999999999</v>
      </c>
      <c r="S20" s="37"/>
      <c r="T20" s="34"/>
      <c r="U20" s="35">
        <f t="shared" si="2"/>
        <v>-11946.850999999999</v>
      </c>
      <c r="V20" s="36">
        <f t="shared" si="4"/>
        <v>-11946.850999999999</v>
      </c>
      <c r="W20" s="35">
        <f t="shared" si="5"/>
        <v>0</v>
      </c>
    </row>
    <row r="21" spans="2:23" x14ac:dyDescent="0.25">
      <c r="B21" s="11" t="s">
        <v>15</v>
      </c>
      <c r="C21" s="8">
        <v>53570</v>
      </c>
      <c r="D21" s="8">
        <v>670</v>
      </c>
      <c r="E21" s="8"/>
      <c r="F21" s="8"/>
      <c r="G21" s="8">
        <v>11590</v>
      </c>
      <c r="H21" s="8">
        <f>9387</f>
        <v>9387</v>
      </c>
      <c r="I21" s="8">
        <v>40625</v>
      </c>
      <c r="J21" s="8">
        <v>23424</v>
      </c>
      <c r="K21" s="8">
        <v>4227</v>
      </c>
      <c r="L21" s="8">
        <v>1906</v>
      </c>
      <c r="M21" s="2">
        <v>23772</v>
      </c>
      <c r="N21" s="2">
        <v>24234</v>
      </c>
      <c r="O21" s="8">
        <v>24340</v>
      </c>
      <c r="P21" s="8">
        <f>7266269/1000</f>
        <v>7266.2690000000002</v>
      </c>
      <c r="Q21" s="8">
        <v>6459.7429900000006</v>
      </c>
      <c r="R21" s="8">
        <f>SUM(C21:Q21)</f>
        <v>231471.01199</v>
      </c>
      <c r="S21" s="37"/>
      <c r="T21" s="34"/>
      <c r="U21" s="34">
        <f t="shared" si="2"/>
        <v>-224204.74299</v>
      </c>
      <c r="V21" s="34">
        <f t="shared" si="4"/>
        <v>-224204.74299</v>
      </c>
      <c r="W21" s="35">
        <f t="shared" si="5"/>
        <v>7266.2690000000002</v>
      </c>
    </row>
    <row r="22" spans="2:23" x14ac:dyDescent="0.25">
      <c r="B22" s="9" t="s">
        <v>16</v>
      </c>
      <c r="C22" s="10">
        <f t="shared" ref="C22:K22" si="6">SUM(C13:C21)</f>
        <v>546748</v>
      </c>
      <c r="D22" s="10">
        <f t="shared" si="6"/>
        <v>574819.55471000005</v>
      </c>
      <c r="E22" s="10">
        <f t="shared" si="6"/>
        <v>758219.36948999995</v>
      </c>
      <c r="F22" s="10">
        <f t="shared" si="6"/>
        <v>799853.67004999996</v>
      </c>
      <c r="G22" s="10">
        <f t="shared" si="6"/>
        <v>789915.46695000003</v>
      </c>
      <c r="H22" s="10">
        <f t="shared" si="6"/>
        <v>509608.98731</v>
      </c>
      <c r="I22" s="10">
        <f t="shared" si="6"/>
        <v>650164.47130000009</v>
      </c>
      <c r="J22" s="10">
        <f t="shared" si="6"/>
        <v>522890.43066000001</v>
      </c>
      <c r="K22" s="10">
        <f t="shared" si="6"/>
        <v>628498.34061000007</v>
      </c>
      <c r="L22" s="10">
        <f>SUM(L13:L21)</f>
        <v>892235.28358000005</v>
      </c>
      <c r="M22" s="10">
        <f>SUM(M13:M21)</f>
        <v>1245966.3133999999</v>
      </c>
      <c r="N22" s="10">
        <f>SUM(N13:N21)</f>
        <v>1468108.9190401568</v>
      </c>
      <c r="O22" s="10">
        <f t="shared" ref="O22:P22" si="7">SUM(O13:O21)</f>
        <v>1399892.3155699999</v>
      </c>
      <c r="P22" s="10">
        <f t="shared" si="7"/>
        <v>1572197.0241478002</v>
      </c>
      <c r="Q22" s="10">
        <f>SUM(Q13:Q21)</f>
        <v>1547914.3674145944</v>
      </c>
      <c r="R22" s="10">
        <f>SUM(C22:Q22)</f>
        <v>13907032.514232554</v>
      </c>
      <c r="S22" s="37">
        <v>163252.4186678</v>
      </c>
      <c r="T22" s="34">
        <f>SUM(T13:T21)</f>
        <v>5373.692</v>
      </c>
      <c r="U22" s="34">
        <f>SUM(U13:U21)</f>
        <v>-12334835.490084752</v>
      </c>
      <c r="V22" s="34">
        <f t="shared" si="4"/>
        <v>-12340209.182084752</v>
      </c>
      <c r="W22" s="35">
        <f>T22+V22+R22</f>
        <v>1572197.0241478011</v>
      </c>
    </row>
    <row r="23" spans="2:23" x14ac:dyDescent="0.25">
      <c r="C23" s="50">
        <f>C22-C14-C17-C21</f>
        <v>316782</v>
      </c>
      <c r="S23" s="37"/>
    </row>
    <row r="24" spans="2:23" x14ac:dyDescent="0.25">
      <c r="B24" s="11" t="s">
        <v>17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8">
        <f>209905745/1000</f>
        <v>209905.745</v>
      </c>
      <c r="P24" s="8">
        <f>437096823/1000</f>
        <v>437096.82299999997</v>
      </c>
      <c r="Q24" s="8">
        <v>537708.89899999998</v>
      </c>
      <c r="R24" s="8">
        <f>SUM(C24:Q24)</f>
        <v>1184711.4669999999</v>
      </c>
      <c r="S24" s="37">
        <v>647002.56799999997</v>
      </c>
    </row>
    <row r="25" spans="2:23" x14ac:dyDescent="0.25">
      <c r="B25" s="9" t="s">
        <v>18</v>
      </c>
      <c r="C25" s="10">
        <f>C22</f>
        <v>546748</v>
      </c>
      <c r="D25" s="10">
        <f t="shared" ref="D25:N25" si="8">D22</f>
        <v>574819.55471000005</v>
      </c>
      <c r="E25" s="10">
        <f t="shared" si="8"/>
        <v>758219.36948999995</v>
      </c>
      <c r="F25" s="10">
        <f t="shared" si="8"/>
        <v>799853.67004999996</v>
      </c>
      <c r="G25" s="10">
        <f t="shared" si="8"/>
        <v>789915.46695000003</v>
      </c>
      <c r="H25" s="10">
        <f t="shared" si="8"/>
        <v>509608.98731</v>
      </c>
      <c r="I25" s="10">
        <f t="shared" si="8"/>
        <v>650164.47130000009</v>
      </c>
      <c r="J25" s="10">
        <f t="shared" si="8"/>
        <v>522890.43066000001</v>
      </c>
      <c r="K25" s="10">
        <f t="shared" si="8"/>
        <v>628498.34061000007</v>
      </c>
      <c r="L25" s="10">
        <f t="shared" si="8"/>
        <v>892235.28358000005</v>
      </c>
      <c r="M25" s="10">
        <f t="shared" si="8"/>
        <v>1245966.3133999999</v>
      </c>
      <c r="N25" s="10">
        <f t="shared" si="8"/>
        <v>1468108.9190401568</v>
      </c>
      <c r="O25" s="10">
        <f>O24+O22</f>
        <v>1609798.0605699997</v>
      </c>
      <c r="P25" s="10">
        <f>P24+P22</f>
        <v>2009293.8471478</v>
      </c>
      <c r="Q25" s="10">
        <f>Q24+Q22</f>
        <v>2085623.2664145944</v>
      </c>
      <c r="R25" s="10">
        <f>SUM(C25:Q25)</f>
        <v>15091743.981232552</v>
      </c>
      <c r="S25" s="37">
        <v>810254.9866678</v>
      </c>
    </row>
    <row r="26" spans="2:23" x14ac:dyDescent="0.25">
      <c r="B26" s="9" t="s">
        <v>49</v>
      </c>
      <c r="C26" s="10">
        <f t="shared" ref="C26:R26" si="9">C7+C24</f>
        <v>546748</v>
      </c>
      <c r="D26" s="10">
        <f t="shared" si="9"/>
        <v>574819.55471000005</v>
      </c>
      <c r="E26" s="10">
        <f t="shared" si="9"/>
        <v>758219.36948999995</v>
      </c>
      <c r="F26" s="10">
        <f t="shared" si="9"/>
        <v>799853.67004999996</v>
      </c>
      <c r="G26" s="10">
        <f t="shared" si="9"/>
        <v>789915.46695000003</v>
      </c>
      <c r="H26" s="10">
        <f t="shared" si="9"/>
        <v>509608.98731</v>
      </c>
      <c r="I26" s="10">
        <f t="shared" si="9"/>
        <v>650164.47130000009</v>
      </c>
      <c r="J26" s="10">
        <f t="shared" si="9"/>
        <v>522890.43066000001</v>
      </c>
      <c r="K26" s="10">
        <f t="shared" si="9"/>
        <v>628498.34061000007</v>
      </c>
      <c r="L26" s="10">
        <f t="shared" si="9"/>
        <v>892235.28358000005</v>
      </c>
      <c r="M26" s="10">
        <f t="shared" si="9"/>
        <v>1245966.3133999999</v>
      </c>
      <c r="N26" s="10">
        <f t="shared" si="9"/>
        <v>1468108.9190401568</v>
      </c>
      <c r="O26" s="10">
        <f t="shared" si="9"/>
        <v>1609798.0605699997</v>
      </c>
      <c r="P26" s="10">
        <f t="shared" si="9"/>
        <v>2121708.0269999998</v>
      </c>
      <c r="Q26" s="10">
        <f t="shared" si="9"/>
        <v>2222428.2505845944</v>
      </c>
      <c r="R26" s="10">
        <f t="shared" si="9"/>
        <v>15340963.145254754</v>
      </c>
    </row>
    <row r="27" spans="2:23" x14ac:dyDescent="0.25">
      <c r="P27" s="32"/>
      <c r="Q27" s="128">
        <f>'FC Aide k€ FC'!Q25/'FC Invest. k€'!Q26</f>
        <v>0.36189100537596225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Analyse ratios d'aide</vt:lpstr>
      <vt:lpstr>FC Ratio aide FC</vt:lpstr>
      <vt:lpstr>FC Prod GWh FC (2)</vt:lpstr>
      <vt:lpstr>FC Prod GWh FC</vt:lpstr>
      <vt:lpstr>FC Aide k€ FC</vt:lpstr>
      <vt:lpstr>FC 2009-2022 Aide k€</vt:lpstr>
      <vt:lpstr>FC 2009-2022 Prod GWh</vt:lpstr>
      <vt:lpstr>FC Nb installations</vt:lpstr>
      <vt:lpstr>FC Invest. k€</vt:lpstr>
      <vt:lpstr>FC 2009-2022 Ratio aide</vt:lpstr>
      <vt:lpstr>FC ml réseaux</vt:lpstr>
      <vt:lpstr>FC taux d'aide</vt:lpstr>
      <vt:lpstr>FC tCO2 évitées</vt:lpstr>
      <vt:lpstr>FC ratio Invest</vt:lpstr>
      <vt:lpstr>Cofinancements projets FC</vt:lpstr>
      <vt:lpstr>Feuil1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THOUIN Simon</dc:creator>
  <cp:lastModifiedBy>CALLONNEC Gaël</cp:lastModifiedBy>
  <dcterms:created xsi:type="dcterms:W3CDTF">2023-03-05T19:03:23Z</dcterms:created>
  <dcterms:modified xsi:type="dcterms:W3CDTF">2024-12-06T12:23:01Z</dcterms:modified>
</cp:coreProperties>
</file>