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allonnecg\Desktop\GitHub\ThreeME\data\shocks\"/>
    </mc:Choice>
  </mc:AlternateContent>
  <bookViews>
    <workbookView xWindow="0" yWindow="0" windowWidth="10290" windowHeight="7620" firstSheet="5" activeTab="8"/>
  </bookViews>
  <sheets>
    <sheet name="Feuil1" sheetId="43" r:id="rId1"/>
    <sheet name="Cibles THREEME" sheetId="39" r:id="rId2"/>
    <sheet name="Bilan 2006" sheetId="40" r:id="rId3"/>
    <sheet name="Bilan 2010" sheetId="41" r:id="rId4"/>
    <sheet name="Bilan 2015" sheetId="5" r:id="rId5"/>
    <sheet name="Bilan 2020" sheetId="4" r:id="rId6"/>
    <sheet name="Bilan 2025" sheetId="3" r:id="rId7"/>
    <sheet name="Bilan 2030" sheetId="1" r:id="rId8"/>
    <sheet name="Bilan 2050" sheetId="6" r:id="rId9"/>
    <sheet name="Bilan enerdata v2206_2015" sheetId="2" r:id="rId10"/>
    <sheet name="Bilan enerdata v2206_2020" sheetId="14" r:id="rId11"/>
    <sheet name="Bilan enerdata v2206_2030" sheetId="15" r:id="rId12"/>
    <sheet name="Bilan enerdata v2206_2025" sheetId="13" r:id="rId13"/>
    <sheet name="Bilan enerdata v2206_2050" sheetId="16" r:id="rId14"/>
    <sheet name="Format demande MedPro_2015" sheetId="7" r:id="rId15"/>
    <sheet name="Format demande MedPro_2020" sheetId="17" r:id="rId16"/>
    <sheet name="Format demande MedPro_2025" sheetId="19" r:id="rId17"/>
    <sheet name="Format demande MedPro_2030" sheetId="20" r:id="rId18"/>
    <sheet name="Format demande MedPro_2050" sheetId="21" r:id="rId19"/>
    <sheet name="Corrections Bilan enerdata" sheetId="10" r:id="rId20"/>
    <sheet name="Modèle tertiaire_2015" sheetId="8" r:id="rId21"/>
    <sheet name="Modèle tertiaire_2020" sheetId="22" r:id="rId22"/>
    <sheet name="Modèle tertiaire_2025" sheetId="23" r:id="rId23"/>
    <sheet name="Modèle tertiaire_2030" sheetId="24" r:id="rId24"/>
    <sheet name="Modèle tertiaire_2050" sheetId="25" r:id="rId25"/>
    <sheet name="Modèle résidentiel ch_2015" sheetId="11" r:id="rId26"/>
    <sheet name="Modèle résidentiel ch_2020" sheetId="30" r:id="rId27"/>
    <sheet name="Modèle résidentiel ch_2025" sheetId="29" r:id="rId28"/>
    <sheet name="Modèle résidentiel ch_2030" sheetId="28" r:id="rId29"/>
    <sheet name="Modèle résidentiel ch_2050" sheetId="27" r:id="rId30"/>
    <sheet name="Modèle résidentiel hch_2015" sheetId="26" r:id="rId31"/>
    <sheet name="Modèle résidentiel hch_2020" sheetId="34" r:id="rId32"/>
    <sheet name="Modèle résidentiel hch_2025" sheetId="33" r:id="rId33"/>
    <sheet name="Modèle résidentiel hch_2030" sheetId="32" r:id="rId34"/>
    <sheet name="Modèle résidentiel hch_2050" sheetId="31" r:id="rId35"/>
    <sheet name="Mix énergie_2015" sheetId="12" r:id="rId36"/>
    <sheet name="Mix énergie_2020" sheetId="38" r:id="rId37"/>
    <sheet name="Mix énergie_2025" sheetId="37" r:id="rId38"/>
    <sheet name="Mix énergie_2030" sheetId="36" r:id="rId39"/>
    <sheet name="Mix énergie_2050" sheetId="35" r:id="rId40"/>
  </sheets>
  <externalReferences>
    <externalReference r:id="rId41"/>
    <externalReference r:id="rId42"/>
    <externalReference r:id="rId4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C24" i="1"/>
  <c r="C23" i="1"/>
  <c r="E23" i="1"/>
  <c r="I13" i="1"/>
  <c r="E23" i="3"/>
  <c r="C23" i="3"/>
  <c r="C24" i="3"/>
  <c r="I13" i="3"/>
  <c r="G19" i="3"/>
  <c r="M12" i="3"/>
  <c r="E52" i="3"/>
  <c r="C45" i="3"/>
  <c r="E52" i="1"/>
  <c r="C45" i="1"/>
  <c r="E52" i="6"/>
  <c r="C45" i="6"/>
  <c r="C23" i="6"/>
  <c r="E10" i="1"/>
  <c r="C19" i="1"/>
  <c r="G19" i="6"/>
  <c r="C19" i="6"/>
  <c r="O23" i="6"/>
  <c r="C21" i="6"/>
  <c r="E23" i="6"/>
  <c r="M12" i="6"/>
  <c r="G8" i="6"/>
  <c r="I13" i="6"/>
  <c r="P37" i="4" l="1"/>
  <c r="C37" i="6" l="1"/>
  <c r="U37" i="6"/>
  <c r="U37" i="1"/>
  <c r="C37" i="1"/>
  <c r="U37" i="3"/>
  <c r="C37" i="3"/>
  <c r="U37" i="4"/>
  <c r="C37" i="4"/>
  <c r="U37" i="5"/>
  <c r="C37" i="5"/>
  <c r="AA23" i="39" l="1"/>
  <c r="AA15" i="39"/>
  <c r="AS20" i="39" l="1"/>
  <c r="AS17" i="39"/>
  <c r="AS4" i="39"/>
  <c r="AR20" i="39"/>
  <c r="AR17" i="39"/>
  <c r="AR9" i="39"/>
  <c r="AS9" i="39" s="1"/>
  <c r="AR7" i="39"/>
  <c r="AS7" i="39" s="1"/>
  <c r="AR5" i="39"/>
  <c r="AR4" i="39"/>
  <c r="AJ9" i="39" l="1"/>
  <c r="AH9" i="39"/>
  <c r="AG9" i="39"/>
  <c r="AJ15" i="39"/>
  <c r="AJ11" i="39"/>
  <c r="AH11" i="39"/>
  <c r="AA11" i="39"/>
  <c r="Z23" i="39"/>
  <c r="Y23" i="39"/>
  <c r="Y11" i="39"/>
  <c r="Y9" i="39"/>
  <c r="X9" i="39"/>
  <c r="H19" i="39"/>
  <c r="H13" i="39"/>
  <c r="G13" i="39"/>
  <c r="F13" i="39"/>
  <c r="F11" i="39"/>
  <c r="G11" i="39"/>
  <c r="H11" i="39"/>
  <c r="E11" i="39"/>
  <c r="O9" i="39"/>
  <c r="BH7" i="39" l="1"/>
  <c r="BH9" i="39"/>
  <c r="AQ7" i="39"/>
  <c r="H28" i="39" l="1"/>
  <c r="S3" i="43"/>
  <c r="T3" i="43"/>
  <c r="U3" i="43" s="1"/>
  <c r="V3" i="43" s="1"/>
  <c r="W3" i="43" s="1"/>
  <c r="X3" i="43" s="1"/>
  <c r="Y3" i="43" s="1"/>
  <c r="Z3" i="43" s="1"/>
  <c r="AA3" i="43" s="1"/>
  <c r="AB3" i="43" s="1"/>
  <c r="AC3" i="43" s="1"/>
  <c r="AD3" i="43" s="1"/>
  <c r="AE3" i="43" s="1"/>
  <c r="AF3" i="43" s="1"/>
  <c r="AG3" i="43" s="1"/>
  <c r="AH3" i="43" s="1"/>
  <c r="AI3" i="43" s="1"/>
  <c r="AJ3" i="43" s="1"/>
  <c r="S4" i="43"/>
  <c r="T4" i="43"/>
  <c r="U4" i="43"/>
  <c r="V4" i="43"/>
  <c r="W4" i="43" s="1"/>
  <c r="X4" i="43" s="1"/>
  <c r="Y4" i="43" s="1"/>
  <c r="Z4" i="43" s="1"/>
  <c r="AA4" i="43" s="1"/>
  <c r="AB4" i="43" s="1"/>
  <c r="AC4" i="43" s="1"/>
  <c r="AD4" i="43" s="1"/>
  <c r="AE4" i="43" s="1"/>
  <c r="AF4" i="43" s="1"/>
  <c r="AG4" i="43" s="1"/>
  <c r="AH4" i="43" s="1"/>
  <c r="AI4" i="43" s="1"/>
  <c r="AJ4" i="43" s="1"/>
  <c r="S16" i="43"/>
  <c r="T16" i="43"/>
  <c r="U16" i="43"/>
  <c r="V16" i="43"/>
  <c r="W16" i="43" s="1"/>
  <c r="X16" i="43"/>
  <c r="Y16" i="43" s="1"/>
  <c r="Z16" i="43" s="1"/>
  <c r="AA16" i="43" s="1"/>
  <c r="AB16" i="43" s="1"/>
  <c r="AC16" i="43" s="1"/>
  <c r="AD16" i="43" s="1"/>
  <c r="AE16" i="43" s="1"/>
  <c r="AF16" i="43" s="1"/>
  <c r="AG16" i="43" s="1"/>
  <c r="AH16" i="43" s="1"/>
  <c r="AI16" i="43" s="1"/>
  <c r="AJ16" i="43" s="1"/>
  <c r="R3" i="43"/>
  <c r="R4" i="43"/>
  <c r="R16" i="43"/>
  <c r="AK16" i="43"/>
  <c r="AK12" i="43"/>
  <c r="AK8" i="43"/>
  <c r="AK4" i="43"/>
  <c r="AK3" i="43"/>
  <c r="AK2" i="43"/>
  <c r="AI22" i="39" l="1"/>
  <c r="AI21" i="39"/>
  <c r="AI20" i="39"/>
  <c r="AI19" i="39"/>
  <c r="AH22" i="39"/>
  <c r="AH21" i="39"/>
  <c r="AH20" i="39"/>
  <c r="AH19" i="39"/>
  <c r="AG22" i="39"/>
  <c r="AG21" i="39"/>
  <c r="AG20" i="39"/>
  <c r="AG19" i="39"/>
  <c r="AG17" i="39"/>
  <c r="AF17" i="39"/>
  <c r="AF22" i="39"/>
  <c r="AF21" i="39"/>
  <c r="AF20" i="39"/>
  <c r="AF19" i="39"/>
  <c r="AI4" i="39"/>
  <c r="AJ4" i="39"/>
  <c r="AH4" i="39"/>
  <c r="AG4" i="39"/>
  <c r="AF4" i="39"/>
  <c r="AJ22" i="39"/>
  <c r="AJ21" i="39"/>
  <c r="AJ20" i="39"/>
  <c r="AF5" i="39"/>
  <c r="AJ8" i="39"/>
  <c r="AJ5" i="39"/>
  <c r="AJ23" i="39"/>
  <c r="AI23" i="39"/>
  <c r="AH23" i="39"/>
  <c r="AG23" i="39"/>
  <c r="AF23" i="39"/>
  <c r="BT9" i="39" l="1"/>
  <c r="BT7" i="39"/>
  <c r="BT6" i="39"/>
  <c r="BT8" i="39"/>
  <c r="BT10" i="39"/>
  <c r="BT11" i="39"/>
  <c r="BT12" i="39"/>
  <c r="BT13" i="39"/>
  <c r="G10" i="6"/>
  <c r="BG17" i="39"/>
  <c r="BG18" i="39"/>
  <c r="BH18" i="39"/>
  <c r="BG19" i="39"/>
  <c r="BG20" i="39"/>
  <c r="BJ18" i="39"/>
  <c r="BI18" i="39"/>
  <c r="E51" i="5"/>
  <c r="G46" i="5"/>
  <c r="C46" i="5"/>
  <c r="BT21" i="39" l="1"/>
  <c r="AH15" i="39" l="1"/>
  <c r="AH14" i="39"/>
  <c r="AH13" i="39"/>
  <c r="AH12" i="39"/>
  <c r="AH10" i="39"/>
  <c r="AH8" i="39"/>
  <c r="AF15" i="39"/>
  <c r="AF14" i="39"/>
  <c r="AF13" i="39"/>
  <c r="AF12" i="39"/>
  <c r="AF11" i="39"/>
  <c r="AF10" i="39"/>
  <c r="AF9" i="39"/>
  <c r="AF8" i="39"/>
  <c r="E28" i="39"/>
  <c r="D28" i="39"/>
  <c r="E30" i="39"/>
  <c r="E33" i="39"/>
  <c r="E32" i="39"/>
  <c r="E31" i="39"/>
  <c r="E29" i="39"/>
  <c r="F33" i="39"/>
  <c r="F32" i="39"/>
  <c r="F31" i="39"/>
  <c r="F29" i="39"/>
  <c r="G33" i="39"/>
  <c r="G32" i="39"/>
  <c r="G31" i="39"/>
  <c r="G29" i="39"/>
  <c r="H33" i="39"/>
  <c r="H37" i="39"/>
  <c r="H29" i="39"/>
  <c r="H31" i="39"/>
  <c r="C42" i="6"/>
  <c r="P41" i="1"/>
  <c r="C42" i="1"/>
  <c r="C43" i="1"/>
  <c r="P41" i="3"/>
  <c r="P43" i="3"/>
  <c r="C42" i="3"/>
  <c r="C43" i="3"/>
  <c r="C43" i="4"/>
  <c r="C42" i="4"/>
  <c r="P46" i="4"/>
  <c r="X20" i="39" l="1"/>
  <c r="X22" i="39"/>
  <c r="X21" i="39"/>
  <c r="X19" i="39"/>
  <c r="AQ16" i="39" s="1"/>
  <c r="X17" i="39"/>
  <c r="BH14" i="39" s="1"/>
  <c r="Y20" i="39"/>
  <c r="Z20" i="39"/>
  <c r="AA20" i="39"/>
  <c r="AA9" i="39"/>
  <c r="AK6" i="43" s="1"/>
  <c r="AO5" i="39"/>
  <c r="AP5" i="39"/>
  <c r="AQ5" i="39"/>
  <c r="AS5" i="39"/>
  <c r="AN5" i="39"/>
  <c r="AO4" i="39"/>
  <c r="AP4" i="39"/>
  <c r="AO6" i="39"/>
  <c r="AP6" i="39"/>
  <c r="AQ6" i="39"/>
  <c r="AO7" i="39"/>
  <c r="AP7" i="39"/>
  <c r="AO8" i="39"/>
  <c r="AP8" i="39"/>
  <c r="AQ8" i="39"/>
  <c r="AO9" i="39"/>
  <c r="AP9" i="39"/>
  <c r="AQ9" i="39"/>
  <c r="AO10" i="39"/>
  <c r="AP10" i="39"/>
  <c r="AQ10" i="39"/>
  <c r="AO11" i="39"/>
  <c r="AP11" i="39"/>
  <c r="AQ11" i="39"/>
  <c r="AO12" i="39"/>
  <c r="AP12" i="39"/>
  <c r="AQ12" i="39"/>
  <c r="AO13" i="39"/>
  <c r="AP13" i="39"/>
  <c r="AQ13" i="39"/>
  <c r="AO14" i="39"/>
  <c r="AP14" i="39"/>
  <c r="AQ14" i="39"/>
  <c r="AO15" i="39"/>
  <c r="AO16" i="39"/>
  <c r="AP16" i="39"/>
  <c r="AO17" i="39"/>
  <c r="AP17" i="39"/>
  <c r="AO18" i="39"/>
  <c r="AP18" i="39"/>
  <c r="AQ18" i="39"/>
  <c r="AO19" i="39"/>
  <c r="AP19" i="39"/>
  <c r="AQ19" i="39"/>
  <c r="AO20" i="39"/>
  <c r="AQ20" i="39"/>
  <c r="BA20" i="39"/>
  <c r="BA19" i="39"/>
  <c r="BA18" i="39"/>
  <c r="BA17" i="39"/>
  <c r="BA16" i="39"/>
  <c r="BA15" i="39"/>
  <c r="BA14" i="39"/>
  <c r="BA13" i="39"/>
  <c r="BA11" i="39"/>
  <c r="BA10" i="39"/>
  <c r="BA9" i="39"/>
  <c r="BA7" i="39"/>
  <c r="BA6" i="39"/>
  <c r="BA4" i="39"/>
  <c r="AZ20" i="39"/>
  <c r="AZ19" i="39"/>
  <c r="AZ18" i="39"/>
  <c r="AZ17" i="39"/>
  <c r="AZ16" i="39"/>
  <c r="AZ15" i="39"/>
  <c r="AZ14" i="39"/>
  <c r="AZ13" i="39"/>
  <c r="AZ12" i="39"/>
  <c r="AZ11" i="39"/>
  <c r="AZ10" i="39"/>
  <c r="AZ9" i="39"/>
  <c r="AZ7" i="39"/>
  <c r="AZ6" i="39"/>
  <c r="AZ4" i="39"/>
  <c r="AY20" i="39"/>
  <c r="AY19" i="39"/>
  <c r="AY18" i="39"/>
  <c r="AY17" i="39"/>
  <c r="AY16" i="39"/>
  <c r="AY15" i="39"/>
  <c r="AY14" i="39"/>
  <c r="AY13" i="39"/>
  <c r="AY12" i="39"/>
  <c r="AY11" i="39"/>
  <c r="AY10" i="39"/>
  <c r="AY9" i="39"/>
  <c r="AY8" i="39"/>
  <c r="AY7" i="39"/>
  <c r="AY6" i="39"/>
  <c r="AY4" i="39"/>
  <c r="AY21" i="39" s="1"/>
  <c r="AX20" i="39"/>
  <c r="AP20" i="39" s="1"/>
  <c r="AX19" i="39"/>
  <c r="AX18" i="39"/>
  <c r="AX17" i="39"/>
  <c r="AX16" i="39"/>
  <c r="AX15" i="39"/>
  <c r="AX14" i="39"/>
  <c r="AX13" i="39"/>
  <c r="AX12" i="39"/>
  <c r="AX11" i="39"/>
  <c r="AX10" i="39"/>
  <c r="AX9" i="39"/>
  <c r="AX8" i="39"/>
  <c r="AX7" i="39"/>
  <c r="AX6" i="39"/>
  <c r="AX4" i="39"/>
  <c r="AW20" i="39"/>
  <c r="AW19" i="39"/>
  <c r="AW18" i="39"/>
  <c r="AW17" i="39"/>
  <c r="AW16" i="39"/>
  <c r="AW15" i="39"/>
  <c r="AW14" i="39"/>
  <c r="AW13" i="39"/>
  <c r="AW12" i="39"/>
  <c r="AW11" i="39"/>
  <c r="AW10" i="39"/>
  <c r="AW9" i="39"/>
  <c r="AW8" i="39"/>
  <c r="AW7" i="39"/>
  <c r="AW6" i="39"/>
  <c r="AW4" i="39"/>
  <c r="AW21" i="39" s="1"/>
  <c r="AX5" i="39"/>
  <c r="AZ5" i="39"/>
  <c r="BA5" i="39"/>
  <c r="AY5" i="39" s="1"/>
  <c r="AW5" i="39" s="1"/>
  <c r="AV17" i="39"/>
  <c r="AV16" i="39"/>
  <c r="AV11" i="39"/>
  <c r="AV10" i="39"/>
  <c r="P48" i="40"/>
  <c r="P47" i="40"/>
  <c r="P35" i="41"/>
  <c r="Q41" i="41"/>
  <c r="P43" i="5"/>
  <c r="G46" i="4"/>
  <c r="P51" i="5"/>
  <c r="P49" i="4"/>
  <c r="P23" i="4"/>
  <c r="AA14" i="39"/>
  <c r="AA13" i="39"/>
  <c r="AA12" i="39"/>
  <c r="AA10" i="39"/>
  <c r="AA8" i="39"/>
  <c r="AA5" i="39"/>
  <c r="AA4" i="39"/>
  <c r="AA3" i="39" s="1"/>
  <c r="Z5" i="39"/>
  <c r="Y15" i="39"/>
  <c r="Y14" i="39"/>
  <c r="Y13" i="39"/>
  <c r="Y12" i="39"/>
  <c r="Y10" i="39"/>
  <c r="Y8" i="39"/>
  <c r="Y5" i="39"/>
  <c r="X23" i="39"/>
  <c r="W4" i="39"/>
  <c r="W23" i="39"/>
  <c r="W22" i="39"/>
  <c r="W21" i="39"/>
  <c r="W20" i="39"/>
  <c r="W19" i="39"/>
  <c r="W17" i="39"/>
  <c r="V17" i="39"/>
  <c r="W15" i="39"/>
  <c r="W14" i="39"/>
  <c r="W13" i="39"/>
  <c r="W12" i="39"/>
  <c r="W11" i="39"/>
  <c r="W7" i="39" s="1"/>
  <c r="W10" i="39"/>
  <c r="W9" i="39"/>
  <c r="W8" i="39"/>
  <c r="W5" i="39"/>
  <c r="W3" i="39" s="1"/>
  <c r="X15" i="39"/>
  <c r="X14" i="39"/>
  <c r="X13" i="39"/>
  <c r="X12" i="39"/>
  <c r="X11" i="39"/>
  <c r="X10" i="39"/>
  <c r="X8" i="39"/>
  <c r="BH6" i="39"/>
  <c r="BH8" i="39"/>
  <c r="BH10" i="39"/>
  <c r="BH11" i="39"/>
  <c r="BH12" i="39"/>
  <c r="C37" i="39"/>
  <c r="C33" i="39"/>
  <c r="C32" i="39"/>
  <c r="C31" i="39"/>
  <c r="C30" i="39"/>
  <c r="C29" i="39"/>
  <c r="C28" i="39"/>
  <c r="V23" i="39"/>
  <c r="AE22" i="39"/>
  <c r="V22" i="39"/>
  <c r="AE21" i="39"/>
  <c r="V21" i="39"/>
  <c r="AE20" i="39"/>
  <c r="V20" i="39"/>
  <c r="AE19" i="39"/>
  <c r="V19" i="39"/>
  <c r="C19" i="39"/>
  <c r="AE18" i="39"/>
  <c r="V18" i="39"/>
  <c r="C18" i="39"/>
  <c r="AE17" i="39"/>
  <c r="C17" i="39"/>
  <c r="AE15" i="39"/>
  <c r="V15" i="39"/>
  <c r="AE14" i="39"/>
  <c r="V14" i="39"/>
  <c r="C14" i="39"/>
  <c r="BP13" i="39"/>
  <c r="AE13" i="39"/>
  <c r="V13" i="39"/>
  <c r="C13" i="39"/>
  <c r="BP12" i="39"/>
  <c r="BP21" i="39" s="1"/>
  <c r="AE12" i="39"/>
  <c r="V12" i="39"/>
  <c r="C12" i="39"/>
  <c r="BP11" i="39"/>
  <c r="AE11" i="39"/>
  <c r="V11" i="39"/>
  <c r="C11" i="39"/>
  <c r="BP10" i="39"/>
  <c r="AE10" i="39"/>
  <c r="V10" i="39"/>
  <c r="C10" i="39"/>
  <c r="BP9" i="39"/>
  <c r="AE9" i="39"/>
  <c r="V9" i="39"/>
  <c r="BP8" i="39"/>
  <c r="AE8" i="39"/>
  <c r="V8" i="39"/>
  <c r="BP7" i="39"/>
  <c r="BP6" i="39"/>
  <c r="AE5" i="39"/>
  <c r="V5" i="39"/>
  <c r="C5" i="39"/>
  <c r="AE4" i="39"/>
  <c r="V4" i="39"/>
  <c r="C4" i="39"/>
  <c r="BH5" i="39"/>
  <c r="BH13" i="39"/>
  <c r="BT18" i="39"/>
  <c r="BS18" i="39"/>
  <c r="E44" i="39"/>
  <c r="E43" i="39"/>
  <c r="E41" i="39"/>
  <c r="E37" i="39"/>
  <c r="E19" i="39"/>
  <c r="E18" i="39"/>
  <c r="E17" i="39"/>
  <c r="AG15" i="39"/>
  <c r="AG14" i="39"/>
  <c r="E14" i="39"/>
  <c r="BR13" i="39"/>
  <c r="AG13" i="39"/>
  <c r="E13" i="39"/>
  <c r="BR12" i="39"/>
  <c r="AG12" i="39"/>
  <c r="E12" i="39"/>
  <c r="BR11" i="39"/>
  <c r="AG11" i="39"/>
  <c r="BR10" i="39"/>
  <c r="AG10" i="39"/>
  <c r="E10" i="39"/>
  <c r="BR9" i="39"/>
  <c r="BR8" i="39"/>
  <c r="AG8" i="39"/>
  <c r="BR7" i="39"/>
  <c r="BR6" i="39"/>
  <c r="BR21" i="39" s="1"/>
  <c r="AG5" i="39"/>
  <c r="X5" i="39"/>
  <c r="E5" i="39"/>
  <c r="BT14" i="39"/>
  <c r="BS14" i="39" s="1"/>
  <c r="BR14" i="39" s="1"/>
  <c r="BT15" i="39"/>
  <c r="BS15" i="39" s="1"/>
  <c r="BR15" i="39" s="1"/>
  <c r="BQ15" i="39" s="1"/>
  <c r="BT16" i="39"/>
  <c r="BS16" i="39" s="1"/>
  <c r="BR16" i="39" s="1"/>
  <c r="BQ16" i="39" s="1"/>
  <c r="BT17" i="39"/>
  <c r="BS17" i="39" s="1"/>
  <c r="BR17" i="39" s="1"/>
  <c r="BQ17" i="39" s="1"/>
  <c r="BT19" i="39"/>
  <c r="BS19" i="39" s="1"/>
  <c r="BR19" i="39" s="1"/>
  <c r="BQ19" i="39" s="1"/>
  <c r="BT20" i="39"/>
  <c r="BS20" i="39" s="1"/>
  <c r="BR20" i="39" s="1"/>
  <c r="BQ20" i="39" s="1"/>
  <c r="BR4" i="39"/>
  <c r="BR5" i="39"/>
  <c r="BQ4" i="39"/>
  <c r="BQ5" i="39"/>
  <c r="H44" i="39"/>
  <c r="H43" i="39"/>
  <c r="H32" i="39"/>
  <c r="G44" i="39"/>
  <c r="G43" i="39"/>
  <c r="G37" i="39"/>
  <c r="F44" i="39"/>
  <c r="H41" i="39"/>
  <c r="G41" i="39"/>
  <c r="F41" i="39"/>
  <c r="D41" i="39"/>
  <c r="H5" i="39"/>
  <c r="Y7" i="39" l="1"/>
  <c r="BJ11" i="39"/>
  <c r="AS11" i="39"/>
  <c r="AK10" i="43"/>
  <c r="BJ6" i="39"/>
  <c r="AS6" i="39"/>
  <c r="AK5" i="43"/>
  <c r="BJ12" i="39"/>
  <c r="AK11" i="43"/>
  <c r="BJ8" i="39"/>
  <c r="AK7" i="43"/>
  <c r="BJ10" i="39"/>
  <c r="AS10" i="39"/>
  <c r="AK9" i="43"/>
  <c r="AA7" i="39"/>
  <c r="BJ5" i="39" s="1"/>
  <c r="AX21" i="39"/>
  <c r="AQ17" i="39"/>
  <c r="BQ14" i="39"/>
  <c r="H4" i="39" l="1"/>
  <c r="G4" i="39"/>
  <c r="B4" i="39"/>
  <c r="D44" i="39"/>
  <c r="D31" i="39"/>
  <c r="AD22" i="39"/>
  <c r="U22" i="39"/>
  <c r="B37" i="39"/>
  <c r="B33" i="39"/>
  <c r="B32" i="39"/>
  <c r="B31" i="39"/>
  <c r="B30" i="39"/>
  <c r="B29" i="39"/>
  <c r="B28" i="39"/>
  <c r="B23" i="43" l="1"/>
  <c r="B22" i="43"/>
  <c r="G17" i="43"/>
  <c r="Q16" i="43"/>
  <c r="G16" i="43"/>
  <c r="G15" i="43"/>
  <c r="G13" i="43"/>
  <c r="G12" i="43"/>
  <c r="G11" i="43"/>
  <c r="G10" i="43"/>
  <c r="G9" i="43"/>
  <c r="G8" i="43"/>
  <c r="G7" i="43"/>
  <c r="G6" i="43"/>
  <c r="G5" i="43"/>
  <c r="Q4" i="43"/>
  <c r="G4" i="43"/>
  <c r="E42" i="43"/>
  <c r="F42" i="43" s="1"/>
  <c r="G42" i="43" s="1"/>
  <c r="H42" i="43" s="1"/>
  <c r="I42" i="43" s="1"/>
  <c r="J42" i="43" s="1"/>
  <c r="K42" i="43" s="1"/>
  <c r="L42" i="43" s="1"/>
  <c r="M42" i="43" s="1"/>
  <c r="N42" i="43" s="1"/>
  <c r="O42" i="43" s="1"/>
  <c r="P42" i="43" s="1"/>
  <c r="Q42" i="43" s="1"/>
  <c r="R42" i="43" s="1"/>
  <c r="S42" i="43" s="1"/>
  <c r="T42" i="43" s="1"/>
  <c r="U42" i="43" s="1"/>
  <c r="V42" i="43" s="1"/>
  <c r="W42" i="43" s="1"/>
  <c r="X42" i="43" s="1"/>
  <c r="Y42" i="43" s="1"/>
  <c r="Z42" i="43" s="1"/>
  <c r="AA42" i="43" s="1"/>
  <c r="AB42" i="43" s="1"/>
  <c r="AC42" i="43" s="1"/>
  <c r="AD42" i="43" s="1"/>
  <c r="AE42" i="43" s="1"/>
  <c r="AF42" i="43" s="1"/>
  <c r="AG42" i="43" s="1"/>
  <c r="AH42" i="43" s="1"/>
  <c r="AI42" i="43" s="1"/>
  <c r="AJ42" i="43" s="1"/>
  <c r="AK42" i="43" s="1"/>
  <c r="D42" i="43"/>
  <c r="C42" i="43"/>
  <c r="A41" i="43"/>
  <c r="A37" i="43"/>
  <c r="A36" i="43"/>
  <c r="A35" i="43"/>
  <c r="A34" i="43"/>
  <c r="A33" i="43"/>
  <c r="A32" i="43"/>
  <c r="A31" i="43"/>
  <c r="A30" i="43"/>
  <c r="A29" i="43"/>
  <c r="A28" i="43"/>
  <c r="A27" i="43"/>
  <c r="A26" i="43"/>
  <c r="A25" i="43"/>
  <c r="A24" i="43"/>
  <c r="A23" i="43"/>
  <c r="A22" i="43"/>
  <c r="A21" i="43"/>
  <c r="A18" i="43"/>
  <c r="A58" i="43" s="1"/>
  <c r="A17" i="43"/>
  <c r="A57" i="43" s="1"/>
  <c r="A16" i="43"/>
  <c r="A56" i="43" s="1"/>
  <c r="A15" i="43"/>
  <c r="A55" i="43" s="1"/>
  <c r="A14" i="43"/>
  <c r="A54" i="43" s="1"/>
  <c r="A13" i="43"/>
  <c r="A53" i="43" s="1"/>
  <c r="A12" i="43"/>
  <c r="A52" i="43" s="1"/>
  <c r="A11" i="43"/>
  <c r="A51" i="43" s="1"/>
  <c r="A10" i="43"/>
  <c r="A50" i="43" s="1"/>
  <c r="A9" i="43"/>
  <c r="A49" i="43" s="1"/>
  <c r="A8" i="43"/>
  <c r="A48" i="43" s="1"/>
  <c r="A7" i="43"/>
  <c r="A47" i="43" s="1"/>
  <c r="A6" i="43"/>
  <c r="A46" i="43" s="1"/>
  <c r="A5" i="43"/>
  <c r="A45" i="43" s="1"/>
  <c r="A4" i="43"/>
  <c r="A44" i="43" s="1"/>
  <c r="A3" i="43"/>
  <c r="A43" i="43" s="1"/>
  <c r="A2" i="43"/>
  <c r="A42" i="43" s="1"/>
  <c r="AK1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AJ1" i="43" s="1"/>
  <c r="Q1" i="43"/>
  <c r="R1" i="43" s="1"/>
  <c r="S1" i="43" s="1"/>
  <c r="T1" i="43" s="1"/>
  <c r="U1" i="43" s="1"/>
  <c r="L1" i="43"/>
  <c r="M1" i="43" s="1"/>
  <c r="N1" i="43" s="1"/>
  <c r="O1" i="43" s="1"/>
  <c r="P1" i="43" s="1"/>
  <c r="G1" i="43"/>
  <c r="H1" i="43" s="1"/>
  <c r="I1" i="43" s="1"/>
  <c r="J1" i="43" s="1"/>
  <c r="K1" i="43" s="1"/>
  <c r="B1" i="43"/>
  <c r="C1" i="43" s="1"/>
  <c r="D1" i="43" s="1"/>
  <c r="E1" i="43" s="1"/>
  <c r="F1" i="43" s="1"/>
  <c r="E51" i="40"/>
  <c r="E49" i="40"/>
  <c r="U46" i="40"/>
  <c r="G46" i="40"/>
  <c r="C46" i="40"/>
  <c r="G45" i="40"/>
  <c r="E52" i="40" s="1"/>
  <c r="E53" i="40" s="1"/>
  <c r="G44" i="40"/>
  <c r="G43" i="40"/>
  <c r="G42" i="40"/>
  <c r="W41" i="40"/>
  <c r="V41" i="40"/>
  <c r="U41" i="40"/>
  <c r="R41" i="40"/>
  <c r="P41" i="40"/>
  <c r="G41" i="40"/>
  <c r="W40" i="40" s="1"/>
  <c r="P40" i="40"/>
  <c r="G40" i="40"/>
  <c r="G39" i="40"/>
  <c r="U38" i="40"/>
  <c r="R37" i="40" s="1"/>
  <c r="G38" i="40"/>
  <c r="G37" i="40"/>
  <c r="C37" i="40"/>
  <c r="G36" i="40"/>
  <c r="H36" i="40" s="1"/>
  <c r="E32" i="40"/>
  <c r="G32" i="40" s="1"/>
  <c r="E31" i="40"/>
  <c r="G31" i="40" s="1"/>
  <c r="E30" i="40"/>
  <c r="G30" i="40" s="1"/>
  <c r="S29" i="40"/>
  <c r="E29" i="40"/>
  <c r="G29" i="40" s="1"/>
  <c r="G28" i="40"/>
  <c r="C27" i="40"/>
  <c r="G26" i="40"/>
  <c r="D26" i="40"/>
  <c r="E24" i="40"/>
  <c r="C24" i="40"/>
  <c r="D21" i="40" s="1"/>
  <c r="N23" i="40"/>
  <c r="G23" i="40"/>
  <c r="G22" i="40"/>
  <c r="G21" i="40"/>
  <c r="G19" i="40"/>
  <c r="E19" i="40"/>
  <c r="C19" i="40"/>
  <c r="O23" i="40" s="1"/>
  <c r="G18" i="40"/>
  <c r="E18" i="40"/>
  <c r="G17" i="40"/>
  <c r="C17" i="40"/>
  <c r="E17" i="40" s="1"/>
  <c r="E16" i="40"/>
  <c r="C15" i="40"/>
  <c r="E15" i="40" s="1"/>
  <c r="E14" i="40"/>
  <c r="W13" i="40"/>
  <c r="V13" i="40"/>
  <c r="R13" i="40" s="1"/>
  <c r="U13" i="40"/>
  <c r="T13" i="40"/>
  <c r="I13" i="40"/>
  <c r="E13" i="40"/>
  <c r="L12" i="40"/>
  <c r="G12" i="40"/>
  <c r="E12" i="40" s="1"/>
  <c r="C12" i="40"/>
  <c r="G11" i="40"/>
  <c r="E10" i="40"/>
  <c r="C10" i="40"/>
  <c r="C9" i="40"/>
  <c r="G9" i="40" s="1"/>
  <c r="G7" i="40"/>
  <c r="C7" i="40"/>
  <c r="S5" i="40"/>
  <c r="S6" i="40" s="1"/>
  <c r="P46" i="40" l="1"/>
  <c r="T46" i="40" s="1"/>
  <c r="U23" i="39" s="1"/>
  <c r="AD23" i="39"/>
  <c r="G45" i="43"/>
  <c r="G46" i="43"/>
  <c r="G47" i="43"/>
  <c r="R46" i="40"/>
  <c r="F20" i="40"/>
  <c r="G51" i="43"/>
  <c r="G48" i="43"/>
  <c r="G49" i="43"/>
  <c r="G50" i="43"/>
  <c r="G52" i="43"/>
  <c r="W5" i="40"/>
  <c r="W6" i="40" s="1"/>
  <c r="R40" i="40"/>
  <c r="P43" i="40"/>
  <c r="T43" i="40" s="1"/>
  <c r="R43" i="40" s="1"/>
  <c r="G10" i="40"/>
  <c r="H20" i="40"/>
  <c r="C8" i="40"/>
  <c r="P37" i="40"/>
  <c r="C42" i="40"/>
  <c r="G24" i="40"/>
  <c r="H21" i="40" s="1"/>
  <c r="J21" i="40" s="1"/>
  <c r="P23" i="40" s="1"/>
  <c r="E27" i="40"/>
  <c r="E47" i="40" s="1"/>
  <c r="P25" i="40" l="1"/>
  <c r="V23" i="40"/>
  <c r="U23" i="40"/>
  <c r="T23" i="40"/>
  <c r="T29" i="40"/>
  <c r="V29" i="40"/>
  <c r="U29" i="40"/>
  <c r="G27" i="40"/>
  <c r="E42" i="40"/>
  <c r="E48" i="40" s="1"/>
  <c r="D36" i="40"/>
  <c r="G8" i="40"/>
  <c r="H7" i="40" s="1"/>
  <c r="J7" i="40" s="1"/>
  <c r="D7" i="40"/>
  <c r="E8" i="40"/>
  <c r="F7" i="40" s="1"/>
  <c r="C5" i="40"/>
  <c r="C6" i="40" s="1"/>
  <c r="D20" i="40"/>
  <c r="P35" i="40" l="1"/>
  <c r="H26" i="40"/>
  <c r="J26" i="40" s="1"/>
  <c r="P26" i="40" s="1"/>
  <c r="T5" i="40"/>
  <c r="T6" i="40" s="1"/>
  <c r="R23" i="40"/>
  <c r="K12" i="40"/>
  <c r="K20" i="40" s="1"/>
  <c r="X35" i="40"/>
  <c r="U5" i="40"/>
  <c r="V5" i="40"/>
  <c r="R29" i="40"/>
  <c r="V6" i="40" l="1"/>
  <c r="N38" i="40"/>
  <c r="R5" i="40"/>
  <c r="R6" i="40" s="1"/>
  <c r="P7" i="40"/>
  <c r="P20" i="40" l="1"/>
  <c r="P5" i="40"/>
  <c r="P6" i="40" s="1"/>
  <c r="AK44" i="43" l="1"/>
  <c r="AK52" i="43"/>
  <c r="AK43" i="43"/>
  <c r="AK49" i="43" l="1"/>
  <c r="AK46" i="43"/>
  <c r="AK48" i="43"/>
  <c r="AK45" i="43"/>
  <c r="AK50" i="43"/>
  <c r="AK47" i="43"/>
  <c r="AK51" i="43"/>
  <c r="AD21" i="39" l="1"/>
  <c r="U21" i="39"/>
  <c r="AV20" i="39"/>
  <c r="AD20" i="39"/>
  <c r="U20" i="39"/>
  <c r="AV19" i="39"/>
  <c r="AD19" i="39"/>
  <c r="U19" i="39"/>
  <c r="R15" i="39"/>
  <c r="G19" i="39"/>
  <c r="Q15" i="39" s="1"/>
  <c r="M15" i="39"/>
  <c r="B19" i="39"/>
  <c r="L15" i="39" s="1"/>
  <c r="AV18" i="39"/>
  <c r="AD18" i="39"/>
  <c r="U18" i="39"/>
  <c r="H18" i="39"/>
  <c r="G18" i="39"/>
  <c r="O14" i="39"/>
  <c r="B18" i="39"/>
  <c r="AD17" i="39"/>
  <c r="U17" i="39"/>
  <c r="H17" i="39"/>
  <c r="R13" i="39" s="1"/>
  <c r="G17" i="39"/>
  <c r="O13" i="39"/>
  <c r="B17" i="39"/>
  <c r="L13" i="39" s="1"/>
  <c r="AV15" i="39"/>
  <c r="AV14" i="39"/>
  <c r="AJ14" i="39"/>
  <c r="BF12" i="39"/>
  <c r="H14" i="39"/>
  <c r="G14" i="39"/>
  <c r="Q12" i="39" s="1"/>
  <c r="O12" i="39"/>
  <c r="M12" i="39"/>
  <c r="BF13" i="39"/>
  <c r="AV13" i="39"/>
  <c r="AJ13" i="39"/>
  <c r="BF11" i="39"/>
  <c r="Q11" i="39"/>
  <c r="M11" i="39"/>
  <c r="B13" i="39"/>
  <c r="AV12" i="39"/>
  <c r="AJ12" i="39"/>
  <c r="H12" i="39"/>
  <c r="G12" i="39"/>
  <c r="Q10" i="39" s="1"/>
  <c r="B12" i="39"/>
  <c r="L10" i="39" s="1"/>
  <c r="R9" i="39"/>
  <c r="Q9" i="39"/>
  <c r="M9" i="39"/>
  <c r="B11" i="39"/>
  <c r="BF10" i="39"/>
  <c r="AJ10" i="39"/>
  <c r="AG7" i="39"/>
  <c r="H10" i="39"/>
  <c r="R8" i="39" s="1"/>
  <c r="G10" i="39"/>
  <c r="C9" i="39"/>
  <c r="B10" i="39"/>
  <c r="AV9" i="39"/>
  <c r="AV8" i="39"/>
  <c r="V7" i="39"/>
  <c r="AV7" i="39"/>
  <c r="I6" i="39"/>
  <c r="AI5" i="39"/>
  <c r="AD5" i="39"/>
  <c r="U5" i="39"/>
  <c r="R5" i="39"/>
  <c r="G5" i="39"/>
  <c r="G3" i="39" s="1"/>
  <c r="M5" i="39"/>
  <c r="B5" i="39"/>
  <c r="L5" i="39" s="1"/>
  <c r="AV4" i="39"/>
  <c r="AE3" i="39"/>
  <c r="AD4" i="39"/>
  <c r="L4" i="39"/>
  <c r="E51" i="41"/>
  <c r="AE23" i="39" s="1"/>
  <c r="U46" i="41"/>
  <c r="T46" i="41"/>
  <c r="R46" i="41"/>
  <c r="C46" i="41"/>
  <c r="G46" i="41" s="1"/>
  <c r="G45" i="41"/>
  <c r="E52" i="41" s="1"/>
  <c r="E53" i="41" s="1"/>
  <c r="G44" i="41"/>
  <c r="G43" i="41"/>
  <c r="P43" i="41" s="1"/>
  <c r="T43" i="41" s="1"/>
  <c r="R43" i="41" s="1"/>
  <c r="G42" i="41"/>
  <c r="C42" i="41"/>
  <c r="E42" i="41" s="1"/>
  <c r="W41" i="41"/>
  <c r="V41" i="41"/>
  <c r="U41" i="41"/>
  <c r="T41" i="41"/>
  <c r="R41" i="41"/>
  <c r="P41" i="41"/>
  <c r="C41" i="41"/>
  <c r="G41" i="41" s="1"/>
  <c r="G40" i="41"/>
  <c r="C40" i="41"/>
  <c r="G39" i="41"/>
  <c r="C38" i="41"/>
  <c r="G38" i="41" s="1"/>
  <c r="U38" i="41" s="1"/>
  <c r="G37" i="41"/>
  <c r="P38" i="41" s="1"/>
  <c r="C37" i="41"/>
  <c r="G36" i="41"/>
  <c r="D36" i="41"/>
  <c r="E32" i="41"/>
  <c r="G32" i="41" s="1"/>
  <c r="C31" i="41"/>
  <c r="E31" i="41" s="1"/>
  <c r="G31" i="41" s="1"/>
  <c r="E30" i="41"/>
  <c r="G30" i="41" s="1"/>
  <c r="E29" i="41"/>
  <c r="G29" i="41" s="1"/>
  <c r="C28" i="41"/>
  <c r="E26" i="41"/>
  <c r="G26" i="41" s="1"/>
  <c r="E24" i="41"/>
  <c r="C24" i="41"/>
  <c r="G24" i="41" s="1"/>
  <c r="O23" i="41"/>
  <c r="N23" i="41"/>
  <c r="G23" i="41"/>
  <c r="G22" i="41"/>
  <c r="G21" i="41"/>
  <c r="H21" i="41" s="1"/>
  <c r="J21" i="41" s="1"/>
  <c r="P23" i="41" s="1"/>
  <c r="P25" i="41" s="1"/>
  <c r="G19" i="41"/>
  <c r="E19" i="41"/>
  <c r="C19" i="41"/>
  <c r="G18" i="41"/>
  <c r="E18" i="41"/>
  <c r="G17" i="41"/>
  <c r="H20" i="41" s="1"/>
  <c r="C17" i="41"/>
  <c r="E17" i="41" s="1"/>
  <c r="E16" i="41"/>
  <c r="E15" i="41"/>
  <c r="E14" i="41"/>
  <c r="W13" i="41"/>
  <c r="V13" i="41"/>
  <c r="U13" i="41"/>
  <c r="R13" i="41" s="1"/>
  <c r="T13" i="41"/>
  <c r="I13" i="41"/>
  <c r="E13" i="41"/>
  <c r="L12" i="41"/>
  <c r="G12" i="41"/>
  <c r="E12" i="41"/>
  <c r="C12" i="41"/>
  <c r="C27" i="41" s="1"/>
  <c r="G11" i="41"/>
  <c r="E10" i="41"/>
  <c r="K12" i="41" s="1"/>
  <c r="C10" i="41"/>
  <c r="C9" i="41"/>
  <c r="G9" i="41" s="1"/>
  <c r="G8" i="41"/>
  <c r="C8" i="41"/>
  <c r="E8" i="41" s="1"/>
  <c r="F7" i="41" s="1"/>
  <c r="G7" i="41"/>
  <c r="D7" i="41"/>
  <c r="C7" i="41"/>
  <c r="D20" i="41" s="1"/>
  <c r="S5" i="41"/>
  <c r="S6" i="41" s="1"/>
  <c r="Q23" i="39"/>
  <c r="O23" i="39"/>
  <c r="M23" i="39"/>
  <c r="R22" i="39"/>
  <c r="Q21" i="39"/>
  <c r="M21" i="39"/>
  <c r="P20" i="39"/>
  <c r="L20" i="39"/>
  <c r="O19" i="39"/>
  <c r="M19" i="39"/>
  <c r="E27" i="39"/>
  <c r="C27" i="39"/>
  <c r="B27" i="39"/>
  <c r="R23" i="39"/>
  <c r="L23" i="39"/>
  <c r="G18" i="43"/>
  <c r="Q22" i="39"/>
  <c r="O22" i="39"/>
  <c r="M22" i="39"/>
  <c r="L22" i="39"/>
  <c r="R21" i="39"/>
  <c r="O21" i="39"/>
  <c r="L21" i="39"/>
  <c r="AN20" i="39"/>
  <c r="R20" i="39"/>
  <c r="Q20" i="39"/>
  <c r="O20" i="39"/>
  <c r="N20" i="39"/>
  <c r="M20" i="39"/>
  <c r="L19" i="39"/>
  <c r="S18" i="39"/>
  <c r="S19" i="39" s="1"/>
  <c r="S20" i="39" s="1"/>
  <c r="S21" i="39" s="1"/>
  <c r="S22" i="39" s="1"/>
  <c r="R18" i="39"/>
  <c r="Q18" i="39"/>
  <c r="O18" i="39"/>
  <c r="M18" i="39"/>
  <c r="L18" i="39"/>
  <c r="AN17" i="39"/>
  <c r="R17" i="39"/>
  <c r="O17" i="39"/>
  <c r="L17" i="39"/>
  <c r="O15" i="39"/>
  <c r="R14" i="39"/>
  <c r="Q14" i="39"/>
  <c r="M14" i="39"/>
  <c r="L14" i="39"/>
  <c r="Q13" i="39"/>
  <c r="M13" i="39"/>
  <c r="R12" i="39"/>
  <c r="R11" i="39"/>
  <c r="O11" i="39"/>
  <c r="S10" i="39"/>
  <c r="S11" i="39" s="1"/>
  <c r="S12" i="39" s="1"/>
  <c r="S13" i="39" s="1"/>
  <c r="S14" i="39" s="1"/>
  <c r="S15" i="39" s="1"/>
  <c r="R10" i="39"/>
  <c r="O10" i="39"/>
  <c r="M10" i="39"/>
  <c r="BF9" i="39"/>
  <c r="S9" i="39"/>
  <c r="L9" i="39"/>
  <c r="E9" i="39"/>
  <c r="BF8" i="39"/>
  <c r="O8" i="39"/>
  <c r="L8" i="39"/>
  <c r="BF7" i="39"/>
  <c r="AE7" i="39"/>
  <c r="BT5" i="39"/>
  <c r="BS5" i="39" s="1"/>
  <c r="Q5" i="39"/>
  <c r="O5" i="39"/>
  <c r="BT4" i="39"/>
  <c r="S4" i="39"/>
  <c r="S5" i="39" s="1"/>
  <c r="Q4" i="39"/>
  <c r="M4" i="39"/>
  <c r="H3" i="39"/>
  <c r="AD3" i="39"/>
  <c r="B3" i="39"/>
  <c r="G9" i="39" l="1"/>
  <c r="R7" i="39"/>
  <c r="R33" i="39" s="1"/>
  <c r="AJ7" i="39"/>
  <c r="AJ34" i="39" s="1"/>
  <c r="O16" i="39"/>
  <c r="O45" i="39" s="1"/>
  <c r="L16" i="39"/>
  <c r="Q2" i="43"/>
  <c r="R2" i="43" s="1"/>
  <c r="S2" i="43" s="1"/>
  <c r="T2" i="43" s="1"/>
  <c r="U2" i="43" s="1"/>
  <c r="V2" i="43" s="1"/>
  <c r="W2" i="43" s="1"/>
  <c r="X2" i="43" s="1"/>
  <c r="Y2" i="43" s="1"/>
  <c r="Z2" i="43" s="1"/>
  <c r="AA2" i="43" s="1"/>
  <c r="AB2" i="43" s="1"/>
  <c r="AC2" i="43" s="1"/>
  <c r="AD2" i="43" s="1"/>
  <c r="AE2" i="43" s="1"/>
  <c r="AF2" i="43" s="1"/>
  <c r="AG2" i="43" s="1"/>
  <c r="AH2" i="43" s="1"/>
  <c r="AI2" i="43" s="1"/>
  <c r="AJ2" i="43" s="1"/>
  <c r="G2" i="43"/>
  <c r="AN16" i="39"/>
  <c r="AN15" i="39"/>
  <c r="AN18" i="39"/>
  <c r="M17" i="39"/>
  <c r="M16" i="39" s="1"/>
  <c r="M43" i="39" s="1"/>
  <c r="P46" i="41"/>
  <c r="AD16" i="39"/>
  <c r="B14" i="39"/>
  <c r="L12" i="39" s="1"/>
  <c r="U16" i="39"/>
  <c r="U43" i="39" s="1"/>
  <c r="AE16" i="39"/>
  <c r="AE2" i="39" s="1"/>
  <c r="AN19" i="39"/>
  <c r="O7" i="39"/>
  <c r="O37" i="39" s="1"/>
  <c r="M3" i="39"/>
  <c r="X7" i="39"/>
  <c r="X38" i="39" s="1"/>
  <c r="Q8" i="39"/>
  <c r="Q7" i="39" s="1"/>
  <c r="Q40" i="39" s="1"/>
  <c r="L11" i="39"/>
  <c r="V3" i="39"/>
  <c r="AJ3" i="39"/>
  <c r="AJ30" i="39" s="1"/>
  <c r="BF6" i="39"/>
  <c r="AA37" i="39"/>
  <c r="Q3" i="39"/>
  <c r="M8" i="39"/>
  <c r="M7" i="39" s="1"/>
  <c r="M38" i="39" s="1"/>
  <c r="H9" i="39"/>
  <c r="C3" i="39"/>
  <c r="C2" i="39" s="1"/>
  <c r="C38" i="39" s="1"/>
  <c r="AN14" i="39"/>
  <c r="V16" i="39"/>
  <c r="V43" i="39" s="1"/>
  <c r="R20" i="41"/>
  <c r="D26" i="41"/>
  <c r="C5" i="41"/>
  <c r="C6" i="41" s="1"/>
  <c r="E27" i="41"/>
  <c r="G27" i="41"/>
  <c r="T37" i="41" s="1"/>
  <c r="T29" i="41"/>
  <c r="U23" i="41"/>
  <c r="V23" i="41"/>
  <c r="T23" i="41"/>
  <c r="P40" i="41"/>
  <c r="W40" i="41"/>
  <c r="V37" i="41"/>
  <c r="F20" i="41"/>
  <c r="D21" i="41"/>
  <c r="G10" i="41"/>
  <c r="H7" i="41" s="1"/>
  <c r="J7" i="41" s="1"/>
  <c r="P7" i="41" s="1"/>
  <c r="H36" i="41"/>
  <c r="AV6" i="39"/>
  <c r="AV21" i="39" s="1"/>
  <c r="L3" i="39"/>
  <c r="R4" i="39"/>
  <c r="AA29" i="39"/>
  <c r="AA30" i="39"/>
  <c r="M33" i="39"/>
  <c r="AG33" i="39"/>
  <c r="M34" i="39"/>
  <c r="V34" i="39"/>
  <c r="AE35" i="39"/>
  <c r="R37" i="39"/>
  <c r="AG37" i="39"/>
  <c r="Q38" i="39"/>
  <c r="AD29" i="39"/>
  <c r="AD30" i="39"/>
  <c r="AG34" i="39"/>
  <c r="Q35" i="39"/>
  <c r="V35" i="39"/>
  <c r="AE36" i="39"/>
  <c r="AE29" i="39"/>
  <c r="BS4" i="39"/>
  <c r="AE30" i="39"/>
  <c r="AE33" i="39"/>
  <c r="R35" i="39"/>
  <c r="AG35" i="39"/>
  <c r="V36" i="39"/>
  <c r="AE37" i="39"/>
  <c r="M29" i="39"/>
  <c r="M30" i="39"/>
  <c r="V30" i="39"/>
  <c r="V33" i="39"/>
  <c r="AE34" i="39"/>
  <c r="R36" i="39"/>
  <c r="AG36" i="39"/>
  <c r="V37" i="39"/>
  <c r="V38" i="39"/>
  <c r="AE38" i="39"/>
  <c r="M40" i="39"/>
  <c r="V40" i="39"/>
  <c r="L44" i="39"/>
  <c r="U44" i="39"/>
  <c r="L46" i="39"/>
  <c r="AE39" i="39"/>
  <c r="R40" i="39"/>
  <c r="AG40" i="39"/>
  <c r="V44" i="39"/>
  <c r="AG38" i="39"/>
  <c r="M39" i="39"/>
  <c r="V39" i="39"/>
  <c r="U42" i="39"/>
  <c r="O43" i="39"/>
  <c r="L45" i="39"/>
  <c r="U45" i="39"/>
  <c r="O47" i="39"/>
  <c r="AG39" i="39"/>
  <c r="AE40" i="39"/>
  <c r="L42" i="39"/>
  <c r="L43" i="39"/>
  <c r="L47" i="39"/>
  <c r="U47" i="39"/>
  <c r="Q37" i="39" l="1"/>
  <c r="Q36" i="39"/>
  <c r="Q34" i="39"/>
  <c r="Q33" i="39"/>
  <c r="Q39" i="39"/>
  <c r="R38" i="39"/>
  <c r="R39" i="39"/>
  <c r="R34" i="39"/>
  <c r="AJ38" i="39"/>
  <c r="AJ40" i="39"/>
  <c r="AJ37" i="39"/>
  <c r="AJ36" i="39"/>
  <c r="AJ39" i="39"/>
  <c r="AJ33" i="39"/>
  <c r="O35" i="39"/>
  <c r="AJ35" i="39"/>
  <c r="O46" i="39"/>
  <c r="O42" i="39"/>
  <c r="O44" i="39"/>
  <c r="X36" i="39"/>
  <c r="X39" i="39"/>
  <c r="V46" i="39"/>
  <c r="AA38" i="39"/>
  <c r="AA34" i="39"/>
  <c r="AA33" i="39"/>
  <c r="AA39" i="39"/>
  <c r="X40" i="39"/>
  <c r="AA40" i="39"/>
  <c r="AA36" i="39"/>
  <c r="AA35" i="39"/>
  <c r="M47" i="39"/>
  <c r="M42" i="39"/>
  <c r="AE42" i="39"/>
  <c r="M46" i="39"/>
  <c r="V45" i="39"/>
  <c r="M45" i="39"/>
  <c r="M44" i="39"/>
  <c r="V42" i="39"/>
  <c r="V47" i="39"/>
  <c r="AE46" i="39"/>
  <c r="O36" i="39"/>
  <c r="O33" i="39"/>
  <c r="Q30" i="39"/>
  <c r="AE47" i="39"/>
  <c r="AE43" i="39"/>
  <c r="AE45" i="39"/>
  <c r="AE44" i="39"/>
  <c r="AD44" i="39"/>
  <c r="AD47" i="39"/>
  <c r="AD45" i="39"/>
  <c r="AD42" i="39"/>
  <c r="AD46" i="39"/>
  <c r="AD43" i="39"/>
  <c r="L7" i="39"/>
  <c r="L33" i="39" s="1"/>
  <c r="U46" i="39"/>
  <c r="U4" i="39"/>
  <c r="V2" i="39"/>
  <c r="V24" i="39" s="1"/>
  <c r="B9" i="39"/>
  <c r="B2" i="39" s="1"/>
  <c r="B40" i="39" s="1"/>
  <c r="O39" i="39"/>
  <c r="O40" i="39"/>
  <c r="V29" i="39"/>
  <c r="O38" i="39"/>
  <c r="M36" i="39"/>
  <c r="X34" i="39"/>
  <c r="X37" i="39"/>
  <c r="M2" i="39"/>
  <c r="M24" i="39" s="1"/>
  <c r="M37" i="39"/>
  <c r="X35" i="39"/>
  <c r="AJ29" i="39"/>
  <c r="Q29" i="39"/>
  <c r="O34" i="39"/>
  <c r="M35" i="39"/>
  <c r="X33" i="39"/>
  <c r="L29" i="39"/>
  <c r="P20" i="41"/>
  <c r="V5" i="41"/>
  <c r="R23" i="41"/>
  <c r="T5" i="41"/>
  <c r="T6" i="41" s="1"/>
  <c r="H26" i="41"/>
  <c r="J26" i="41" s="1"/>
  <c r="P26" i="41" s="1"/>
  <c r="P5" i="41" s="1"/>
  <c r="P6" i="41" s="1"/>
  <c r="R40" i="41"/>
  <c r="W5" i="41"/>
  <c r="W6" i="41" s="1"/>
  <c r="V29" i="41"/>
  <c r="U29" i="41"/>
  <c r="U5" i="41" s="1"/>
  <c r="V6" i="41" s="1"/>
  <c r="U37" i="41"/>
  <c r="R37" i="41" s="1"/>
  <c r="R3" i="39"/>
  <c r="R29" i="39" s="1"/>
  <c r="BP5" i="39"/>
  <c r="BF5" i="39" s="1"/>
  <c r="L30" i="39"/>
  <c r="L35" i="39" l="1"/>
  <c r="L37" i="39"/>
  <c r="L34" i="39"/>
  <c r="L38" i="39"/>
  <c r="L36" i="39"/>
  <c r="L40" i="39"/>
  <c r="L39" i="39"/>
  <c r="L2" i="39"/>
  <c r="L24" i="39" s="1"/>
  <c r="B38" i="39"/>
  <c r="AD12" i="39"/>
  <c r="AD11" i="39"/>
  <c r="AD10" i="39"/>
  <c r="U9" i="39"/>
  <c r="AD14" i="39"/>
  <c r="U8" i="39"/>
  <c r="U15" i="39"/>
  <c r="U14" i="39"/>
  <c r="AD9" i="39"/>
  <c r="BO13" i="39"/>
  <c r="AD13" i="39"/>
  <c r="U12" i="39"/>
  <c r="U11" i="39"/>
  <c r="U10" i="39"/>
  <c r="AD8" i="39"/>
  <c r="AD15" i="39"/>
  <c r="U13" i="39"/>
  <c r="BO8" i="39"/>
  <c r="BE8" i="39" s="1"/>
  <c r="U3" i="39"/>
  <c r="U30" i="39" s="1"/>
  <c r="AN4" i="39"/>
  <c r="R29" i="41"/>
  <c r="N38" i="41" s="1"/>
  <c r="R5" i="41"/>
  <c r="R6" i="41" s="1"/>
  <c r="BO7" i="39"/>
  <c r="BO5" i="39"/>
  <c r="BE5" i="39" s="1"/>
  <c r="R30" i="39"/>
  <c r="BP4" i="39"/>
  <c r="AV5" i="39"/>
  <c r="BE7" i="39" l="1"/>
  <c r="BE13" i="39"/>
  <c r="AN13" i="39"/>
  <c r="U29" i="39"/>
  <c r="AN12" i="39"/>
  <c r="AN8" i="39"/>
  <c r="BO11" i="39"/>
  <c r="BE11" i="39" s="1"/>
  <c r="BO10" i="39"/>
  <c r="BE10" i="39" s="1"/>
  <c r="BO12" i="39"/>
  <c r="BE12" i="39" s="1"/>
  <c r="AN11" i="39"/>
  <c r="AN9" i="39"/>
  <c r="BO6" i="39"/>
  <c r="BE6" i="39" s="1"/>
  <c r="U7" i="39"/>
  <c r="U2" i="39" s="1"/>
  <c r="U24" i="39" s="1"/>
  <c r="AN6" i="39"/>
  <c r="BO9" i="39"/>
  <c r="BE9" i="39" s="1"/>
  <c r="AN7" i="39"/>
  <c r="AN10" i="39"/>
  <c r="AD7" i="39"/>
  <c r="AD2" i="39" s="1"/>
  <c r="BF4" i="39"/>
  <c r="BO4" i="39"/>
  <c r="AD35" i="39" l="1"/>
  <c r="AD39" i="39"/>
  <c r="AD38" i="39"/>
  <c r="U37" i="39"/>
  <c r="U35" i="39"/>
  <c r="U40" i="39"/>
  <c r="AD36" i="39"/>
  <c r="AD33" i="39"/>
  <c r="U34" i="39"/>
  <c r="U38" i="39"/>
  <c r="AD34" i="39"/>
  <c r="AD40" i="39"/>
  <c r="U33" i="39"/>
  <c r="U36" i="39"/>
  <c r="AD37" i="39"/>
  <c r="U39" i="39"/>
  <c r="BE4" i="39"/>
  <c r="G19" i="1" l="1"/>
  <c r="E24" i="6"/>
  <c r="C19" i="5"/>
  <c r="G13" i="5"/>
  <c r="E13" i="5" s="1"/>
  <c r="G13" i="4"/>
  <c r="E13" i="4" s="1"/>
  <c r="G13" i="3"/>
  <c r="E13" i="3" s="1"/>
  <c r="G13" i="1"/>
  <c r="E13" i="1" s="1"/>
  <c r="C27" i="1"/>
  <c r="C12" i="1"/>
  <c r="C12" i="3"/>
  <c r="F19" i="39" s="1"/>
  <c r="P15" i="39" s="1"/>
  <c r="C12" i="4"/>
  <c r="E24" i="5"/>
  <c r="G19" i="5" l="1"/>
  <c r="D12" i="39"/>
  <c r="N10" i="39" s="1"/>
  <c r="O23" i="5"/>
  <c r="E42" i="5"/>
  <c r="E37" i="5"/>
  <c r="E24" i="4"/>
  <c r="E37" i="1"/>
  <c r="E24" i="3"/>
  <c r="E24" i="1"/>
  <c r="E37" i="6"/>
  <c r="C19" i="3"/>
  <c r="F12" i="39" s="1"/>
  <c r="P10" i="39" s="1"/>
  <c r="E27" i="6" l="1"/>
  <c r="E31" i="6"/>
  <c r="C34" i="6"/>
  <c r="E34" i="6" s="1"/>
  <c r="C33" i="6"/>
  <c r="E33" i="6" s="1"/>
  <c r="C32" i="6"/>
  <c r="E32" i="6" s="1"/>
  <c r="C30" i="6"/>
  <c r="C29" i="6" s="1"/>
  <c r="E29" i="6" s="1"/>
  <c r="C28" i="6"/>
  <c r="E28" i="6" s="1"/>
  <c r="C26" i="6"/>
  <c r="E26" i="6" s="1"/>
  <c r="E27" i="1"/>
  <c r="E31" i="1"/>
  <c r="C33" i="1"/>
  <c r="E33" i="1" s="1"/>
  <c r="C32" i="1"/>
  <c r="E32" i="1" s="1"/>
  <c r="C30" i="1"/>
  <c r="C29" i="1" s="1"/>
  <c r="E29" i="1" s="1"/>
  <c r="C28" i="1"/>
  <c r="E28" i="1" s="1"/>
  <c r="C26" i="1"/>
  <c r="E26" i="1" s="1"/>
  <c r="E27" i="3"/>
  <c r="E31" i="3"/>
  <c r="C34" i="3"/>
  <c r="E34" i="3" s="1"/>
  <c r="C33" i="3"/>
  <c r="C32" i="3"/>
  <c r="E32" i="3" s="1"/>
  <c r="C30" i="3"/>
  <c r="C28" i="3"/>
  <c r="E28" i="3" s="1"/>
  <c r="C26" i="3"/>
  <c r="E27" i="4"/>
  <c r="E31" i="4"/>
  <c r="K26" i="4"/>
  <c r="C34" i="4"/>
  <c r="E34" i="4" s="1"/>
  <c r="C33" i="4"/>
  <c r="E33" i="4" s="1"/>
  <c r="C32" i="4"/>
  <c r="E32" i="4" s="1"/>
  <c r="C30" i="4"/>
  <c r="C29" i="4" s="1"/>
  <c r="E29" i="4" s="1"/>
  <c r="C28" i="4"/>
  <c r="E28" i="4" s="1"/>
  <c r="G28" i="4" s="1"/>
  <c r="C26" i="4"/>
  <c r="E26" i="4" s="1"/>
  <c r="I85" i="15"/>
  <c r="I129" i="13"/>
  <c r="E26" i="3" l="1"/>
  <c r="F43" i="39"/>
  <c r="E33" i="3"/>
  <c r="C29" i="3"/>
  <c r="P21" i="39"/>
  <c r="E30" i="1"/>
  <c r="E30" i="3"/>
  <c r="E30" i="4"/>
  <c r="E30" i="6"/>
  <c r="C10" i="6"/>
  <c r="E10" i="6" s="1"/>
  <c r="C26" i="5"/>
  <c r="C30" i="5"/>
  <c r="E29" i="3" l="1"/>
  <c r="G29" i="3" s="1"/>
  <c r="C29" i="5"/>
  <c r="D32" i="39"/>
  <c r="N21" i="39" s="1"/>
  <c r="D43" i="39"/>
  <c r="D30" i="39"/>
  <c r="N19" i="39" s="1"/>
  <c r="E53" i="6"/>
  <c r="E51" i="6"/>
  <c r="V46" i="6"/>
  <c r="U46" i="6"/>
  <c r="T46" i="6"/>
  <c r="S46" i="6"/>
  <c r="V43" i="6"/>
  <c r="U43" i="6"/>
  <c r="T43" i="6"/>
  <c r="S43" i="6"/>
  <c r="W42" i="6"/>
  <c r="C43" i="6" s="1"/>
  <c r="G43" i="6" s="1"/>
  <c r="P43" i="6" s="1"/>
  <c r="W41" i="6"/>
  <c r="V39" i="6"/>
  <c r="U39" i="6"/>
  <c r="S39" i="6"/>
  <c r="V38" i="6"/>
  <c r="U38" i="6"/>
  <c r="T37" i="6"/>
  <c r="H35" i="6"/>
  <c r="W29" i="6"/>
  <c r="V29" i="6"/>
  <c r="U29" i="6"/>
  <c r="T29" i="6"/>
  <c r="S29" i="6"/>
  <c r="K26" i="6"/>
  <c r="C24" i="6"/>
  <c r="G24" i="6" s="1"/>
  <c r="W23" i="6"/>
  <c r="V23" i="6"/>
  <c r="U23" i="6"/>
  <c r="T23" i="6"/>
  <c r="S23" i="6"/>
  <c r="L21" i="6"/>
  <c r="K21" i="6"/>
  <c r="H20" i="6"/>
  <c r="C18" i="6"/>
  <c r="C17" i="6"/>
  <c r="G17" i="6" s="1"/>
  <c r="W13" i="6"/>
  <c r="V13" i="6"/>
  <c r="U13" i="6"/>
  <c r="T13" i="6"/>
  <c r="S13" i="6"/>
  <c r="K12" i="6"/>
  <c r="C12" i="6"/>
  <c r="G12" i="6" s="1"/>
  <c r="C11" i="6"/>
  <c r="G11" i="6" s="1"/>
  <c r="C9" i="6"/>
  <c r="G9" i="6" s="1"/>
  <c r="C8" i="6"/>
  <c r="C7" i="6"/>
  <c r="G7" i="6" s="1"/>
  <c r="G44" i="6"/>
  <c r="G40" i="6"/>
  <c r="G36" i="6"/>
  <c r="G32" i="6"/>
  <c r="G31" i="6"/>
  <c r="G29" i="6"/>
  <c r="G28" i="6"/>
  <c r="R23" i="6"/>
  <c r="N23" i="6"/>
  <c r="G23" i="6"/>
  <c r="G22" i="6"/>
  <c r="E53" i="1"/>
  <c r="G28" i="39"/>
  <c r="Q17" i="39" s="1"/>
  <c r="E51" i="1"/>
  <c r="V46" i="1"/>
  <c r="U46" i="1"/>
  <c r="T46" i="1"/>
  <c r="S46" i="1"/>
  <c r="V43" i="1"/>
  <c r="U43" i="1"/>
  <c r="T43" i="1"/>
  <c r="S43" i="1"/>
  <c r="W42" i="1"/>
  <c r="E43" i="1"/>
  <c r="W41" i="1"/>
  <c r="C41" i="1" s="1"/>
  <c r="G41" i="1" s="1"/>
  <c r="V39" i="1"/>
  <c r="U39" i="1"/>
  <c r="S39" i="1"/>
  <c r="V38" i="1"/>
  <c r="U38" i="1"/>
  <c r="C38" i="1" s="1"/>
  <c r="T37" i="1"/>
  <c r="H35" i="1"/>
  <c r="C34" i="1"/>
  <c r="E34" i="1" s="1"/>
  <c r="W29" i="1"/>
  <c r="V29" i="1"/>
  <c r="U29" i="1"/>
  <c r="T29" i="1"/>
  <c r="S29" i="1"/>
  <c r="K26" i="1"/>
  <c r="W23" i="1"/>
  <c r="V23" i="1"/>
  <c r="U23" i="1"/>
  <c r="T23" i="1"/>
  <c r="S23" i="1"/>
  <c r="K21" i="1"/>
  <c r="C21" i="1"/>
  <c r="H20" i="1"/>
  <c r="C18" i="1"/>
  <c r="C17" i="1"/>
  <c r="G17" i="1" s="1"/>
  <c r="W13" i="1"/>
  <c r="V13" i="1"/>
  <c r="U13" i="1"/>
  <c r="T13" i="1"/>
  <c r="S13" i="1"/>
  <c r="L12" i="1"/>
  <c r="K12" i="1"/>
  <c r="G12" i="1"/>
  <c r="C11" i="1"/>
  <c r="G11" i="1" s="1"/>
  <c r="C10" i="1"/>
  <c r="C9" i="1"/>
  <c r="G9" i="1" s="1"/>
  <c r="C8" i="1"/>
  <c r="C7" i="1"/>
  <c r="G7" i="1" s="1"/>
  <c r="G45" i="1"/>
  <c r="G44" i="1"/>
  <c r="G40" i="1"/>
  <c r="G36" i="1"/>
  <c r="G31" i="1"/>
  <c r="G29" i="1"/>
  <c r="G28" i="1"/>
  <c r="G23" i="1"/>
  <c r="G22" i="1"/>
  <c r="G10" i="1"/>
  <c r="H35" i="5"/>
  <c r="H20" i="5"/>
  <c r="H35" i="3"/>
  <c r="H20" i="3"/>
  <c r="E53" i="3"/>
  <c r="F28" i="39"/>
  <c r="E51" i="3"/>
  <c r="V46" i="3"/>
  <c r="U46" i="3"/>
  <c r="T46" i="3"/>
  <c r="S46" i="3"/>
  <c r="V43" i="3"/>
  <c r="U43" i="3"/>
  <c r="T43" i="3"/>
  <c r="S43" i="3"/>
  <c r="W42" i="3"/>
  <c r="E43" i="3"/>
  <c r="W41" i="3"/>
  <c r="C41" i="3" s="1"/>
  <c r="G41" i="3" s="1"/>
  <c r="V39" i="3"/>
  <c r="U39" i="3"/>
  <c r="S39" i="3"/>
  <c r="V38" i="3"/>
  <c r="U38" i="3"/>
  <c r="T37" i="3"/>
  <c r="E37" i="3"/>
  <c r="W37" i="3" s="1"/>
  <c r="G32" i="3"/>
  <c r="W29" i="3"/>
  <c r="V29" i="3"/>
  <c r="U29" i="3"/>
  <c r="T29" i="3"/>
  <c r="S29" i="3"/>
  <c r="G28" i="3"/>
  <c r="K26" i="3"/>
  <c r="W23" i="3"/>
  <c r="V23" i="3"/>
  <c r="U23" i="3"/>
  <c r="T23" i="3"/>
  <c r="S23" i="3"/>
  <c r="K21" i="3"/>
  <c r="C21" i="3"/>
  <c r="C18" i="3"/>
  <c r="C17" i="3"/>
  <c r="P9" i="39" s="1"/>
  <c r="W13" i="3"/>
  <c r="V13" i="3"/>
  <c r="U13" i="3"/>
  <c r="T13" i="3"/>
  <c r="S13" i="3"/>
  <c r="L12" i="3"/>
  <c r="K12" i="3"/>
  <c r="G12" i="3"/>
  <c r="E12" i="3" s="1"/>
  <c r="C11" i="3"/>
  <c r="G11" i="3" s="1"/>
  <c r="C10" i="3"/>
  <c r="C9" i="3"/>
  <c r="C8" i="3"/>
  <c r="C7" i="3"/>
  <c r="G45" i="3"/>
  <c r="G44" i="3"/>
  <c r="G40" i="3"/>
  <c r="G36" i="3"/>
  <c r="G31" i="3"/>
  <c r="G23" i="3"/>
  <c r="G22" i="3"/>
  <c r="O23" i="3"/>
  <c r="H35" i="4"/>
  <c r="H20" i="4"/>
  <c r="E53" i="4"/>
  <c r="E52" i="4"/>
  <c r="C45" i="4" s="1"/>
  <c r="C24" i="4" s="1"/>
  <c r="G24" i="4" s="1"/>
  <c r="E51" i="4"/>
  <c r="V46" i="4"/>
  <c r="U46" i="4"/>
  <c r="T46" i="4"/>
  <c r="S46" i="4"/>
  <c r="V43" i="4"/>
  <c r="U43" i="4"/>
  <c r="T43" i="4"/>
  <c r="S43" i="4"/>
  <c r="W42" i="4"/>
  <c r="E43" i="4"/>
  <c r="W41" i="4"/>
  <c r="C41" i="4" s="1"/>
  <c r="G41" i="4" s="1"/>
  <c r="V39" i="4"/>
  <c r="U39" i="4"/>
  <c r="S39" i="4"/>
  <c r="V38" i="4"/>
  <c r="U38" i="4"/>
  <c r="V37" i="4"/>
  <c r="T37" i="4"/>
  <c r="S37" i="4"/>
  <c r="E37" i="4"/>
  <c r="W37" i="4" s="1"/>
  <c r="N23" i="4"/>
  <c r="W29" i="4"/>
  <c r="V29" i="4"/>
  <c r="U29" i="4"/>
  <c r="T29" i="4"/>
  <c r="S29" i="4"/>
  <c r="R29" i="4" s="1"/>
  <c r="W23" i="4"/>
  <c r="V23" i="4"/>
  <c r="U23" i="4"/>
  <c r="T23" i="4"/>
  <c r="R23" i="4" s="1"/>
  <c r="S23" i="4"/>
  <c r="K21" i="4"/>
  <c r="C21" i="4"/>
  <c r="C19" i="4"/>
  <c r="C18" i="4"/>
  <c r="C17" i="4"/>
  <c r="W13" i="4"/>
  <c r="V13" i="4"/>
  <c r="V5" i="4" s="1"/>
  <c r="U13" i="4"/>
  <c r="T13" i="4"/>
  <c r="R13" i="4" s="1"/>
  <c r="S13" i="4"/>
  <c r="I13" i="4"/>
  <c r="L12" i="4"/>
  <c r="K12" i="4"/>
  <c r="G12" i="4"/>
  <c r="C11" i="4"/>
  <c r="C10" i="4"/>
  <c r="E10" i="4" s="1"/>
  <c r="C9" i="4"/>
  <c r="G9" i="4" s="1"/>
  <c r="C8" i="4"/>
  <c r="C7" i="4"/>
  <c r="D7" i="4" s="1"/>
  <c r="G44" i="4"/>
  <c r="G40" i="4"/>
  <c r="G36" i="4"/>
  <c r="G31" i="4"/>
  <c r="G29" i="4"/>
  <c r="G23" i="4"/>
  <c r="G22" i="4"/>
  <c r="G11" i="4"/>
  <c r="G8" i="4"/>
  <c r="E8" i="4" s="1"/>
  <c r="E53" i="5"/>
  <c r="E52" i="5"/>
  <c r="C45" i="5" s="1"/>
  <c r="C24" i="5" s="1"/>
  <c r="C21" i="5"/>
  <c r="I41" i="16"/>
  <c r="I173" i="14"/>
  <c r="C18" i="5"/>
  <c r="C17" i="5"/>
  <c r="C12" i="5"/>
  <c r="D19" i="39" s="1"/>
  <c r="N15" i="39" s="1"/>
  <c r="C34" i="5"/>
  <c r="C33" i="5"/>
  <c r="C32" i="5"/>
  <c r="C28" i="5"/>
  <c r="E28" i="5" s="1"/>
  <c r="L12" i="5"/>
  <c r="I13" i="5"/>
  <c r="W42" i="5"/>
  <c r="C42" i="5" s="1"/>
  <c r="G42" i="5" s="1"/>
  <c r="C11" i="5"/>
  <c r="C10" i="5"/>
  <c r="C9" i="5"/>
  <c r="D17" i="39" s="1"/>
  <c r="N13" i="39" s="1"/>
  <c r="C8" i="5"/>
  <c r="D18" i="39" s="1"/>
  <c r="N14" i="39" s="1"/>
  <c r="C7" i="5"/>
  <c r="D14" i="39" s="1"/>
  <c r="N12" i="39" s="1"/>
  <c r="K26" i="5"/>
  <c r="K21" i="5"/>
  <c r="S37" i="5"/>
  <c r="S46" i="5"/>
  <c r="S43" i="5"/>
  <c r="S39" i="5"/>
  <c r="T46" i="5"/>
  <c r="T43" i="5"/>
  <c r="T37" i="5"/>
  <c r="U39" i="5"/>
  <c r="U46" i="5"/>
  <c r="U43" i="5"/>
  <c r="U38" i="5"/>
  <c r="V39" i="5"/>
  <c r="V38" i="5"/>
  <c r="V46" i="5"/>
  <c r="V43" i="5"/>
  <c r="W41" i="5"/>
  <c r="C41" i="5" s="1"/>
  <c r="G24" i="1" l="1"/>
  <c r="Z9" i="39"/>
  <c r="Z10" i="39"/>
  <c r="Z12" i="39"/>
  <c r="BS13" i="39"/>
  <c r="BS11" i="39"/>
  <c r="AI12" i="39"/>
  <c r="AI11" i="39"/>
  <c r="BS10" i="39"/>
  <c r="BI10" i="39" s="1"/>
  <c r="BS7" i="39"/>
  <c r="BI7" i="39" s="1"/>
  <c r="BJ7" i="39" s="1"/>
  <c r="BS9" i="39"/>
  <c r="BI9" i="39" s="1"/>
  <c r="BJ9" i="39" s="1"/>
  <c r="AI13" i="39"/>
  <c r="AI15" i="39"/>
  <c r="Z11" i="39"/>
  <c r="BS6" i="39"/>
  <c r="Z14" i="39"/>
  <c r="Z13" i="39"/>
  <c r="AI10" i="39"/>
  <c r="AI8" i="39"/>
  <c r="AI9" i="39"/>
  <c r="Z15" i="39"/>
  <c r="BS8" i="39"/>
  <c r="Z8" i="39"/>
  <c r="BS12" i="39"/>
  <c r="BI12" i="39" s="1"/>
  <c r="AI14" i="39"/>
  <c r="G8" i="3"/>
  <c r="F18" i="39"/>
  <c r="P14" i="39" s="1"/>
  <c r="G9" i="3"/>
  <c r="F17" i="39"/>
  <c r="P13" i="39" s="1"/>
  <c r="G18" i="3"/>
  <c r="E10" i="3"/>
  <c r="G10" i="3" s="1"/>
  <c r="F10" i="39"/>
  <c r="P8" i="39" s="1"/>
  <c r="AH5" i="39"/>
  <c r="F5" i="39"/>
  <c r="P5" i="39" s="1"/>
  <c r="G24" i="3"/>
  <c r="G7" i="3"/>
  <c r="F14" i="39"/>
  <c r="P12" i="39" s="1"/>
  <c r="D4" i="39"/>
  <c r="N4" i="39" s="1"/>
  <c r="N17" i="39"/>
  <c r="P41" i="5"/>
  <c r="BG4" i="39"/>
  <c r="C43" i="5"/>
  <c r="C39" i="5"/>
  <c r="D33" i="39" s="1"/>
  <c r="N22" i="39" s="1"/>
  <c r="G18" i="5"/>
  <c r="D13" i="39"/>
  <c r="N11" i="39" s="1"/>
  <c r="P46" i="5"/>
  <c r="E10" i="5"/>
  <c r="D10" i="39"/>
  <c r="N23" i="5"/>
  <c r="E32" i="5"/>
  <c r="G17" i="5"/>
  <c r="D11" i="39"/>
  <c r="N9" i="39" s="1"/>
  <c r="V37" i="1"/>
  <c r="C39" i="1"/>
  <c r="S37" i="1"/>
  <c r="G43" i="1"/>
  <c r="G42" i="1"/>
  <c r="R23" i="1"/>
  <c r="C38" i="3"/>
  <c r="G42" i="3"/>
  <c r="G43" i="3"/>
  <c r="Y4" i="39" s="1"/>
  <c r="C39" i="3"/>
  <c r="P22" i="39" s="1"/>
  <c r="S37" i="3"/>
  <c r="C39" i="4"/>
  <c r="C38" i="4"/>
  <c r="C41" i="6"/>
  <c r="G41" i="6" s="1"/>
  <c r="C38" i="6"/>
  <c r="C39" i="6"/>
  <c r="G37" i="6" s="1"/>
  <c r="S37" i="6"/>
  <c r="G45" i="6"/>
  <c r="AJ17" i="39" s="1"/>
  <c r="D21" i="6"/>
  <c r="I7" i="39" s="1"/>
  <c r="C38" i="5"/>
  <c r="G37" i="5" s="1"/>
  <c r="D7" i="5"/>
  <c r="G43" i="5"/>
  <c r="G12" i="5"/>
  <c r="E12" i="5" s="1"/>
  <c r="E17" i="4"/>
  <c r="G17" i="4"/>
  <c r="O23" i="4"/>
  <c r="G19" i="4"/>
  <c r="G7" i="4"/>
  <c r="C46" i="4"/>
  <c r="G18" i="4"/>
  <c r="G17" i="3"/>
  <c r="U5" i="3"/>
  <c r="R51" i="3"/>
  <c r="O23" i="1"/>
  <c r="E19" i="1"/>
  <c r="AZ8" i="39" s="1"/>
  <c r="R13" i="1"/>
  <c r="G18" i="1"/>
  <c r="E18" i="1" s="1"/>
  <c r="R29" i="1"/>
  <c r="R51" i="1"/>
  <c r="G18" i="6"/>
  <c r="E18" i="6" s="1"/>
  <c r="R13" i="6"/>
  <c r="E19" i="6"/>
  <c r="BA8" i="39" s="1"/>
  <c r="AS8" i="39" s="1"/>
  <c r="V37" i="6"/>
  <c r="S5" i="6"/>
  <c r="R29" i="6"/>
  <c r="R13" i="3"/>
  <c r="C46" i="3"/>
  <c r="D21" i="3"/>
  <c r="S5" i="4"/>
  <c r="R51" i="4"/>
  <c r="R51" i="5"/>
  <c r="D7" i="6"/>
  <c r="D7" i="1"/>
  <c r="D7" i="3"/>
  <c r="C46" i="6"/>
  <c r="G46" i="6" s="1"/>
  <c r="P46" i="6" s="1"/>
  <c r="T5" i="6"/>
  <c r="U5" i="6"/>
  <c r="R51" i="6"/>
  <c r="S5" i="1"/>
  <c r="D21" i="1"/>
  <c r="T5" i="1"/>
  <c r="U5" i="1"/>
  <c r="C46" i="1"/>
  <c r="G46" i="1" s="1"/>
  <c r="P46" i="1" s="1"/>
  <c r="V37" i="3"/>
  <c r="V5" i="3" s="1"/>
  <c r="R23" i="3"/>
  <c r="R29" i="3"/>
  <c r="G38" i="4"/>
  <c r="U5" i="4"/>
  <c r="W5" i="4"/>
  <c r="G32" i="1"/>
  <c r="N23" i="1"/>
  <c r="N23" i="3"/>
  <c r="G34" i="3"/>
  <c r="G42" i="6"/>
  <c r="P41" i="6" s="1"/>
  <c r="G38" i="6"/>
  <c r="E8" i="6"/>
  <c r="BA12" i="39" s="1"/>
  <c r="E12" i="6"/>
  <c r="E17" i="6"/>
  <c r="G21" i="6"/>
  <c r="H21" i="6" s="1"/>
  <c r="J21" i="6" s="1"/>
  <c r="P23" i="6" s="1"/>
  <c r="G26" i="6"/>
  <c r="G27" i="6"/>
  <c r="G30" i="6"/>
  <c r="G33" i="6"/>
  <c r="W37" i="6"/>
  <c r="W5" i="6" s="1"/>
  <c r="D26" i="6"/>
  <c r="G34" i="6"/>
  <c r="V5" i="6"/>
  <c r="G39" i="1"/>
  <c r="G38" i="1"/>
  <c r="G8" i="1"/>
  <c r="E8" i="1" s="1"/>
  <c r="E12" i="1"/>
  <c r="E17" i="1"/>
  <c r="G21" i="1"/>
  <c r="H21" i="1" s="1"/>
  <c r="J21" i="1" s="1"/>
  <c r="P23" i="1" s="1"/>
  <c r="G26" i="1"/>
  <c r="G27" i="1"/>
  <c r="G30" i="1"/>
  <c r="G33" i="1"/>
  <c r="W37" i="1"/>
  <c r="W5" i="1" s="1"/>
  <c r="D26" i="1"/>
  <c r="G34" i="1"/>
  <c r="V5" i="1"/>
  <c r="T5" i="3"/>
  <c r="W5" i="3"/>
  <c r="G21" i="3"/>
  <c r="H21" i="3" s="1"/>
  <c r="J21" i="3" s="1"/>
  <c r="G26" i="3"/>
  <c r="G27" i="3"/>
  <c r="G30" i="3"/>
  <c r="G33" i="3"/>
  <c r="E19" i="3"/>
  <c r="D26" i="3"/>
  <c r="T5" i="4"/>
  <c r="G39" i="4"/>
  <c r="G42" i="4"/>
  <c r="R42" i="4"/>
  <c r="R5" i="4" s="1"/>
  <c r="G10" i="4"/>
  <c r="E18" i="4"/>
  <c r="G21" i="4"/>
  <c r="G26" i="4"/>
  <c r="G27" i="4"/>
  <c r="G30" i="4"/>
  <c r="G32" i="4"/>
  <c r="G33" i="4"/>
  <c r="G34" i="4"/>
  <c r="E12" i="4"/>
  <c r="E19" i="4"/>
  <c r="D26" i="4"/>
  <c r="E27" i="5"/>
  <c r="E30" i="5"/>
  <c r="G30" i="5" s="1"/>
  <c r="E33" i="5"/>
  <c r="G33" i="5" s="1"/>
  <c r="G28" i="5"/>
  <c r="V37" i="5"/>
  <c r="W29" i="5"/>
  <c r="V29" i="5"/>
  <c r="U29" i="5"/>
  <c r="T29" i="5"/>
  <c r="S29" i="5"/>
  <c r="W23" i="5"/>
  <c r="V23" i="5"/>
  <c r="U23" i="5"/>
  <c r="T23" i="5"/>
  <c r="S23" i="5"/>
  <c r="W13" i="5"/>
  <c r="V13" i="5"/>
  <c r="U13" i="5"/>
  <c r="T13" i="5"/>
  <c r="S13" i="5"/>
  <c r="W37" i="5"/>
  <c r="K12" i="5"/>
  <c r="G45" i="5"/>
  <c r="G44" i="5"/>
  <c r="G41" i="5"/>
  <c r="G40" i="5"/>
  <c r="G36" i="5"/>
  <c r="E31" i="5"/>
  <c r="E29" i="5"/>
  <c r="E26" i="5"/>
  <c r="G23" i="5"/>
  <c r="G22" i="5"/>
  <c r="G21" i="5"/>
  <c r="G11" i="5"/>
  <c r="G9" i="5"/>
  <c r="G8" i="5"/>
  <c r="AH17" i="39" l="1"/>
  <c r="F30" i="39"/>
  <c r="P19" i="39" s="1"/>
  <c r="Y19" i="39"/>
  <c r="BH17" i="39" s="1"/>
  <c r="Y22" i="39"/>
  <c r="BH20" i="39" s="1"/>
  <c r="Y17" i="39"/>
  <c r="Y21" i="39"/>
  <c r="BH19" i="39" s="1"/>
  <c r="BI8" i="39"/>
  <c r="BI11" i="39"/>
  <c r="Q8" i="43"/>
  <c r="Q6" i="43"/>
  <c r="Z34" i="39"/>
  <c r="Q12" i="43"/>
  <c r="AR13" i="39"/>
  <c r="AS13" i="39" s="1"/>
  <c r="Q10" i="43"/>
  <c r="AR11" i="39"/>
  <c r="BI13" i="39"/>
  <c r="BJ13" i="39" s="1"/>
  <c r="AR12" i="39"/>
  <c r="Q11" i="43"/>
  <c r="AR10" i="39"/>
  <c r="Q9" i="43"/>
  <c r="Z7" i="39"/>
  <c r="BI5" i="39" s="1"/>
  <c r="Q5" i="43"/>
  <c r="AR6" i="39"/>
  <c r="AI7" i="39"/>
  <c r="AI37" i="39" s="1"/>
  <c r="BI6" i="39"/>
  <c r="BS21" i="39"/>
  <c r="Q7" i="43"/>
  <c r="AR8" i="39"/>
  <c r="AZ21" i="39"/>
  <c r="AI17" i="39"/>
  <c r="G30" i="39"/>
  <c r="Z17" i="39"/>
  <c r="Z19" i="39"/>
  <c r="Z22" i="39"/>
  <c r="Z21" i="39"/>
  <c r="AA19" i="39"/>
  <c r="AS16" i="39" s="1"/>
  <c r="AA22" i="39"/>
  <c r="AK18" i="43" s="1"/>
  <c r="AA17" i="39"/>
  <c r="AS14" i="39" s="1"/>
  <c r="AA21" i="39"/>
  <c r="AK17" i="43" s="1"/>
  <c r="H30" i="39"/>
  <c r="R19" i="39" s="1"/>
  <c r="AS18" i="39"/>
  <c r="H27" i="39"/>
  <c r="H2" i="39" s="1"/>
  <c r="AK15" i="43"/>
  <c r="BJ17" i="39"/>
  <c r="AJ19" i="39"/>
  <c r="AS12" i="39"/>
  <c r="BA21" i="39"/>
  <c r="AJ18" i="39"/>
  <c r="P37" i="6"/>
  <c r="AA18" i="39"/>
  <c r="AF18" i="39"/>
  <c r="W18" i="39"/>
  <c r="AI3" i="39"/>
  <c r="P43" i="1"/>
  <c r="Z4" i="39" s="1"/>
  <c r="Y3" i="39"/>
  <c r="P41" i="4"/>
  <c r="P23" i="3"/>
  <c r="R42" i="3"/>
  <c r="R5" i="3" s="1"/>
  <c r="L15" i="43"/>
  <c r="F4" i="39"/>
  <c r="P4" i="39" s="1"/>
  <c r="P3" i="39" s="1"/>
  <c r="F9" i="39"/>
  <c r="P11" i="39"/>
  <c r="E8" i="3"/>
  <c r="S5" i="3"/>
  <c r="G46" i="3"/>
  <c r="P46" i="3" s="1"/>
  <c r="F37" i="39"/>
  <c r="P23" i="39" s="1"/>
  <c r="E17" i="3"/>
  <c r="L4" i="43"/>
  <c r="L13" i="43"/>
  <c r="P17" i="39"/>
  <c r="E18" i="3"/>
  <c r="G39" i="3"/>
  <c r="L2" i="43"/>
  <c r="D29" i="39"/>
  <c r="D5" i="39"/>
  <c r="G38" i="5"/>
  <c r="G39" i="5"/>
  <c r="D37" i="39"/>
  <c r="N23" i="39" s="1"/>
  <c r="B2" i="43"/>
  <c r="C2" i="43" s="1"/>
  <c r="D2" i="43" s="1"/>
  <c r="E2" i="43" s="1"/>
  <c r="F2" i="43" s="1"/>
  <c r="B21" i="43"/>
  <c r="G31" i="5"/>
  <c r="E18" i="5"/>
  <c r="E8" i="5"/>
  <c r="G29" i="5"/>
  <c r="G27" i="5"/>
  <c r="N8" i="39"/>
  <c r="D9" i="39"/>
  <c r="G38" i="3"/>
  <c r="P18" i="39"/>
  <c r="P37" i="5"/>
  <c r="P5" i="5" s="1"/>
  <c r="H7" i="4"/>
  <c r="J7" i="4" s="1"/>
  <c r="P7" i="4" s="1"/>
  <c r="G39" i="6"/>
  <c r="F7" i="4"/>
  <c r="F7" i="6"/>
  <c r="H7" i="6"/>
  <c r="J7" i="6" s="1"/>
  <c r="P7" i="6" s="1"/>
  <c r="F7" i="1"/>
  <c r="H7" i="3"/>
  <c r="D36" i="5"/>
  <c r="H7" i="1"/>
  <c r="J7" i="1" s="1"/>
  <c r="P7" i="1" s="1"/>
  <c r="H26" i="6"/>
  <c r="J26" i="6" s="1"/>
  <c r="P26" i="6" s="1"/>
  <c r="D36" i="6"/>
  <c r="R42" i="6"/>
  <c r="R5" i="6" s="1"/>
  <c r="C5" i="6"/>
  <c r="H26" i="1"/>
  <c r="J26" i="1" s="1"/>
  <c r="P26" i="1" s="1"/>
  <c r="R42" i="1"/>
  <c r="R5" i="1" s="1"/>
  <c r="H26" i="3"/>
  <c r="J26" i="3" s="1"/>
  <c r="P26" i="3" s="1"/>
  <c r="H26" i="4"/>
  <c r="J26" i="4" s="1"/>
  <c r="P26" i="4" s="1"/>
  <c r="R42" i="5"/>
  <c r="C5" i="5"/>
  <c r="D47" i="39" s="1"/>
  <c r="D26" i="5"/>
  <c r="G32" i="5"/>
  <c r="E34" i="5"/>
  <c r="G34" i="5" s="1"/>
  <c r="R29" i="5"/>
  <c r="R13" i="5"/>
  <c r="G10" i="5"/>
  <c r="E17" i="5"/>
  <c r="E19" i="5"/>
  <c r="G7" i="5"/>
  <c r="BQ11" i="39" s="1"/>
  <c r="G26" i="5"/>
  <c r="AS19" i="39" l="1"/>
  <c r="Z35" i="39"/>
  <c r="AI40" i="39"/>
  <c r="AI35" i="39"/>
  <c r="AI33" i="39"/>
  <c r="Q45" i="43"/>
  <c r="R5" i="43"/>
  <c r="S5" i="43" s="1"/>
  <c r="T5" i="43" s="1"/>
  <c r="U5" i="43" s="1"/>
  <c r="V5" i="43" s="1"/>
  <c r="W5" i="43" s="1"/>
  <c r="X5" i="43" s="1"/>
  <c r="Y5" i="43" s="1"/>
  <c r="Z5" i="43" s="1"/>
  <c r="AA5" i="43" s="1"/>
  <c r="AB5" i="43" s="1"/>
  <c r="AC5" i="43" s="1"/>
  <c r="AD5" i="43" s="1"/>
  <c r="AE5" i="43" s="1"/>
  <c r="AF5" i="43" s="1"/>
  <c r="AG5" i="43" s="1"/>
  <c r="AH5" i="43" s="1"/>
  <c r="AI5" i="43" s="1"/>
  <c r="AJ5" i="43" s="1"/>
  <c r="R11" i="43"/>
  <c r="S11" i="43" s="1"/>
  <c r="T11" i="43" s="1"/>
  <c r="U11" i="43" s="1"/>
  <c r="V11" i="43" s="1"/>
  <c r="W11" i="43" s="1"/>
  <c r="X11" i="43" s="1"/>
  <c r="Y11" i="43" s="1"/>
  <c r="Z11" i="43" s="1"/>
  <c r="AA11" i="43" s="1"/>
  <c r="AB11" i="43" s="1"/>
  <c r="AC11" i="43" s="1"/>
  <c r="AD11" i="43" s="1"/>
  <c r="AE11" i="43" s="1"/>
  <c r="AF11" i="43" s="1"/>
  <c r="AG11" i="43" s="1"/>
  <c r="AH11" i="43" s="1"/>
  <c r="AI11" i="43" s="1"/>
  <c r="AJ11" i="43" s="1"/>
  <c r="Q51" i="43"/>
  <c r="R7" i="43"/>
  <c r="S7" i="43" s="1"/>
  <c r="T7" i="43" s="1"/>
  <c r="U7" i="43" s="1"/>
  <c r="V7" i="43" s="1"/>
  <c r="W7" i="43" s="1"/>
  <c r="X7" i="43" s="1"/>
  <c r="Y7" i="43" s="1"/>
  <c r="Z7" i="43" s="1"/>
  <c r="AA7" i="43" s="1"/>
  <c r="AB7" i="43" s="1"/>
  <c r="AC7" i="43" s="1"/>
  <c r="AD7" i="43" s="1"/>
  <c r="AE7" i="43" s="1"/>
  <c r="AF7" i="43" s="1"/>
  <c r="AG7" i="43" s="1"/>
  <c r="AH7" i="43" s="1"/>
  <c r="AI7" i="43" s="1"/>
  <c r="AJ7" i="43" s="1"/>
  <c r="Q47" i="43"/>
  <c r="AI36" i="39"/>
  <c r="Z40" i="39"/>
  <c r="R6" i="43"/>
  <c r="S6" i="43" s="1"/>
  <c r="T6" i="43" s="1"/>
  <c r="U6" i="43" s="1"/>
  <c r="V6" i="43" s="1"/>
  <c r="W6" i="43" s="1"/>
  <c r="X6" i="43" s="1"/>
  <c r="Y6" i="43" s="1"/>
  <c r="Z6" i="43" s="1"/>
  <c r="AA6" i="43" s="1"/>
  <c r="AB6" i="43" s="1"/>
  <c r="AC6" i="43" s="1"/>
  <c r="AD6" i="43" s="1"/>
  <c r="AE6" i="43" s="1"/>
  <c r="AF6" i="43" s="1"/>
  <c r="AG6" i="43" s="1"/>
  <c r="AH6" i="43" s="1"/>
  <c r="AI6" i="43" s="1"/>
  <c r="AJ6" i="43" s="1"/>
  <c r="Q46" i="43"/>
  <c r="Z37" i="39"/>
  <c r="AI38" i="39"/>
  <c r="AI34" i="39"/>
  <c r="Z38" i="39"/>
  <c r="Q52" i="43"/>
  <c r="R12" i="43"/>
  <c r="S12" i="43" s="1"/>
  <c r="T12" i="43" s="1"/>
  <c r="U12" i="43" s="1"/>
  <c r="V12" i="43" s="1"/>
  <c r="W12" i="43" s="1"/>
  <c r="X12" i="43" s="1"/>
  <c r="Y12" i="43" s="1"/>
  <c r="Z12" i="43" s="1"/>
  <c r="AA12" i="43" s="1"/>
  <c r="AB12" i="43" s="1"/>
  <c r="AC12" i="43" s="1"/>
  <c r="AD12" i="43" s="1"/>
  <c r="AE12" i="43" s="1"/>
  <c r="AF12" i="43" s="1"/>
  <c r="AG12" i="43" s="1"/>
  <c r="AH12" i="43" s="1"/>
  <c r="AI12" i="43" s="1"/>
  <c r="AJ12" i="43" s="1"/>
  <c r="Z36" i="39"/>
  <c r="Z33" i="39"/>
  <c r="R9" i="43"/>
  <c r="S9" i="43" s="1"/>
  <c r="T9" i="43" s="1"/>
  <c r="U9" i="43" s="1"/>
  <c r="V9" i="43" s="1"/>
  <c r="W9" i="43" s="1"/>
  <c r="X9" i="43" s="1"/>
  <c r="Y9" i="43" s="1"/>
  <c r="Z9" i="43" s="1"/>
  <c r="AA9" i="43" s="1"/>
  <c r="AB9" i="43" s="1"/>
  <c r="AC9" i="43" s="1"/>
  <c r="AD9" i="43" s="1"/>
  <c r="AE9" i="43" s="1"/>
  <c r="AF9" i="43" s="1"/>
  <c r="AG9" i="43" s="1"/>
  <c r="AH9" i="43" s="1"/>
  <c r="AI9" i="43" s="1"/>
  <c r="AJ9" i="43" s="1"/>
  <c r="Q49" i="43"/>
  <c r="Z39" i="39"/>
  <c r="Q50" i="43"/>
  <c r="R10" i="43"/>
  <c r="S10" i="43" s="1"/>
  <c r="T10" i="43" s="1"/>
  <c r="U10" i="43" s="1"/>
  <c r="V10" i="43" s="1"/>
  <c r="W10" i="43" s="1"/>
  <c r="X10" i="43" s="1"/>
  <c r="Y10" i="43" s="1"/>
  <c r="Z10" i="43" s="1"/>
  <c r="AA10" i="43" s="1"/>
  <c r="AB10" i="43" s="1"/>
  <c r="AC10" i="43" s="1"/>
  <c r="AD10" i="43" s="1"/>
  <c r="AE10" i="43" s="1"/>
  <c r="AF10" i="43" s="1"/>
  <c r="AG10" i="43" s="1"/>
  <c r="AH10" i="43" s="1"/>
  <c r="AI10" i="43" s="1"/>
  <c r="AJ10" i="43" s="1"/>
  <c r="AI39" i="39"/>
  <c r="Q48" i="43"/>
  <c r="R8" i="43"/>
  <c r="S8" i="43" s="1"/>
  <c r="T8" i="43" s="1"/>
  <c r="U8" i="43" s="1"/>
  <c r="V8" i="43" s="1"/>
  <c r="W8" i="43" s="1"/>
  <c r="X8" i="43" s="1"/>
  <c r="Y8" i="43" s="1"/>
  <c r="Z8" i="43" s="1"/>
  <c r="AA8" i="43" s="1"/>
  <c r="AB8" i="43" s="1"/>
  <c r="AC8" i="43" s="1"/>
  <c r="AD8" i="43" s="1"/>
  <c r="AE8" i="43" s="1"/>
  <c r="AF8" i="43" s="1"/>
  <c r="AG8" i="43" s="1"/>
  <c r="AH8" i="43" s="1"/>
  <c r="AI8" i="43" s="1"/>
  <c r="AJ8" i="43" s="1"/>
  <c r="AR18" i="39"/>
  <c r="BI19" i="39"/>
  <c r="Q17" i="43"/>
  <c r="R17" i="43" s="1"/>
  <c r="S17" i="43" s="1"/>
  <c r="T17" i="43" s="1"/>
  <c r="U17" i="43" s="1"/>
  <c r="V17" i="43" s="1"/>
  <c r="W17" i="43" s="1"/>
  <c r="X17" i="43" s="1"/>
  <c r="Y17" i="43" s="1"/>
  <c r="Z17" i="43" s="1"/>
  <c r="AA17" i="43" s="1"/>
  <c r="AB17" i="43" s="1"/>
  <c r="AC17" i="43" s="1"/>
  <c r="AD17" i="43" s="1"/>
  <c r="AE17" i="43" s="1"/>
  <c r="AF17" i="43" s="1"/>
  <c r="AG17" i="43" s="1"/>
  <c r="AH17" i="43" s="1"/>
  <c r="AI17" i="43" s="1"/>
  <c r="AJ17" i="43" s="1"/>
  <c r="AR19" i="39"/>
  <c r="BI20" i="39"/>
  <c r="Q18" i="43"/>
  <c r="R18" i="43" s="1"/>
  <c r="S18" i="43" s="1"/>
  <c r="T18" i="43" s="1"/>
  <c r="U18" i="43" s="1"/>
  <c r="V18" i="43" s="1"/>
  <c r="W18" i="43" s="1"/>
  <c r="X18" i="43" s="1"/>
  <c r="Y18" i="43" s="1"/>
  <c r="Z18" i="43" s="1"/>
  <c r="AA18" i="43" s="1"/>
  <c r="AB18" i="43" s="1"/>
  <c r="AC18" i="43" s="1"/>
  <c r="AD18" i="43" s="1"/>
  <c r="AE18" i="43" s="1"/>
  <c r="AF18" i="43" s="1"/>
  <c r="AG18" i="43" s="1"/>
  <c r="AH18" i="43" s="1"/>
  <c r="AI18" i="43" s="1"/>
  <c r="AJ18" i="43" s="1"/>
  <c r="AR16" i="39"/>
  <c r="BI17" i="39"/>
  <c r="Q15" i="43"/>
  <c r="R15" i="43" s="1"/>
  <c r="S15" i="43" s="1"/>
  <c r="T15" i="43" s="1"/>
  <c r="U15" i="43" s="1"/>
  <c r="V15" i="43" s="1"/>
  <c r="W15" i="43" s="1"/>
  <c r="X15" i="43" s="1"/>
  <c r="Y15" i="43" s="1"/>
  <c r="Z15" i="43" s="1"/>
  <c r="AA15" i="43" s="1"/>
  <c r="AB15" i="43" s="1"/>
  <c r="AC15" i="43" s="1"/>
  <c r="AD15" i="43" s="1"/>
  <c r="AE15" i="43" s="1"/>
  <c r="AF15" i="43" s="1"/>
  <c r="AG15" i="43" s="1"/>
  <c r="AH15" i="43" s="1"/>
  <c r="AI15" i="43" s="1"/>
  <c r="AJ15" i="43" s="1"/>
  <c r="G27" i="39"/>
  <c r="G2" i="39" s="1"/>
  <c r="Q19" i="39"/>
  <c r="AR14" i="39"/>
  <c r="BI15" i="39"/>
  <c r="Q13" i="43"/>
  <c r="BJ20" i="39"/>
  <c r="BJ15" i="39"/>
  <c r="BJ19" i="39"/>
  <c r="AK13" i="43"/>
  <c r="R13" i="43" s="1"/>
  <c r="S13" i="43" s="1"/>
  <c r="T13" i="43" s="1"/>
  <c r="U13" i="43" s="1"/>
  <c r="V13" i="43" s="1"/>
  <c r="W13" i="43" s="1"/>
  <c r="X13" i="43" s="1"/>
  <c r="Y13" i="43" s="1"/>
  <c r="Z13" i="43" s="1"/>
  <c r="AA13" i="43" s="1"/>
  <c r="AB13" i="43" s="1"/>
  <c r="AC13" i="43" s="1"/>
  <c r="AD13" i="43" s="1"/>
  <c r="AE13" i="43" s="1"/>
  <c r="AF13" i="43" s="1"/>
  <c r="AG13" i="43" s="1"/>
  <c r="AH13" i="43" s="1"/>
  <c r="AI13" i="43" s="1"/>
  <c r="AJ13" i="43" s="1"/>
  <c r="R16" i="39"/>
  <c r="R44" i="39" s="1"/>
  <c r="H46" i="39"/>
  <c r="H40" i="39"/>
  <c r="H47" i="39"/>
  <c r="H38" i="39"/>
  <c r="AS15" i="39"/>
  <c r="AK14" i="43"/>
  <c r="BJ16" i="39"/>
  <c r="AA16" i="39"/>
  <c r="AJ16" i="39"/>
  <c r="AJ43" i="39" s="1"/>
  <c r="AP15" i="39"/>
  <c r="W16" i="39"/>
  <c r="W2" i="39" s="1"/>
  <c r="AI29" i="39"/>
  <c r="Z3" i="39"/>
  <c r="Q3" i="43"/>
  <c r="AI30" i="39"/>
  <c r="G43" i="4"/>
  <c r="E4" i="39"/>
  <c r="F7" i="3"/>
  <c r="F3" i="39"/>
  <c r="H2" i="43"/>
  <c r="I2" i="43" s="1"/>
  <c r="J2" i="43" s="1"/>
  <c r="K2" i="43" s="1"/>
  <c r="M2" i="43"/>
  <c r="N2" i="43" s="1"/>
  <c r="O2" i="43" s="1"/>
  <c r="P2" i="43" s="1"/>
  <c r="L12" i="43"/>
  <c r="P7" i="39"/>
  <c r="P36" i="39" s="1"/>
  <c r="L9" i="43"/>
  <c r="F27" i="39"/>
  <c r="H13" i="43"/>
  <c r="M13" i="43"/>
  <c r="P29" i="39"/>
  <c r="L11" i="43"/>
  <c r="AH7" i="39"/>
  <c r="AH33" i="39" s="1"/>
  <c r="L3" i="43"/>
  <c r="P16" i="39"/>
  <c r="P42" i="39" s="1"/>
  <c r="H4" i="43"/>
  <c r="M4" i="43"/>
  <c r="L7" i="43"/>
  <c r="L5" i="43"/>
  <c r="Y35" i="39"/>
  <c r="L10" i="43"/>
  <c r="AH3" i="39"/>
  <c r="AH29" i="39" s="1"/>
  <c r="L8" i="43"/>
  <c r="L6" i="43"/>
  <c r="P30" i="39"/>
  <c r="L16" i="43"/>
  <c r="H15" i="43"/>
  <c r="BQ6" i="39"/>
  <c r="BQ8" i="39"/>
  <c r="BQ7" i="39"/>
  <c r="BG11" i="39"/>
  <c r="BQ12" i="39"/>
  <c r="H36" i="5"/>
  <c r="B36" i="43"/>
  <c r="BQ9" i="39"/>
  <c r="BQ13" i="39"/>
  <c r="BQ10" i="39"/>
  <c r="BG15" i="39"/>
  <c r="BG5" i="39"/>
  <c r="B4" i="43"/>
  <c r="C4" i="43" s="1"/>
  <c r="D4" i="43" s="1"/>
  <c r="E4" i="43" s="1"/>
  <c r="F4" i="43" s="1"/>
  <c r="N18" i="39"/>
  <c r="D27" i="39"/>
  <c r="BG9" i="39"/>
  <c r="B17" i="43"/>
  <c r="AF3" i="39"/>
  <c r="AF29" i="39" s="1"/>
  <c r="B34" i="43"/>
  <c r="B15" i="43"/>
  <c r="B14" i="43"/>
  <c r="N7" i="39"/>
  <c r="N33" i="39" s="1"/>
  <c r="B3" i="43"/>
  <c r="W30" i="39"/>
  <c r="N5" i="39"/>
  <c r="D3" i="39"/>
  <c r="D36" i="1"/>
  <c r="G37" i="1"/>
  <c r="G37" i="4"/>
  <c r="J7" i="3"/>
  <c r="P7" i="3" s="1"/>
  <c r="C5" i="1"/>
  <c r="F7" i="5"/>
  <c r="H7" i="5"/>
  <c r="P5" i="6"/>
  <c r="H36" i="6"/>
  <c r="H36" i="1"/>
  <c r="H26" i="5"/>
  <c r="J26" i="5" s="1"/>
  <c r="P26" i="5" s="1"/>
  <c r="G24" i="5"/>
  <c r="D21" i="5"/>
  <c r="G40" i="39" l="1"/>
  <c r="G46" i="39"/>
  <c r="M15" i="43"/>
  <c r="Q16" i="39"/>
  <c r="Q44" i="39" s="1"/>
  <c r="R45" i="39"/>
  <c r="R46" i="39"/>
  <c r="R42" i="39"/>
  <c r="R43" i="39"/>
  <c r="R47" i="39"/>
  <c r="R2" i="39"/>
  <c r="R24" i="39" s="1"/>
  <c r="AK55" i="43"/>
  <c r="AK54" i="43"/>
  <c r="AK53" i="43"/>
  <c r="AK56" i="43"/>
  <c r="AK57" i="43"/>
  <c r="AK58" i="43"/>
  <c r="AA2" i="39"/>
  <c r="AA24" i="39" s="1"/>
  <c r="BJ14" i="39"/>
  <c r="AA45" i="39"/>
  <c r="AA42" i="39"/>
  <c r="AA47" i="39"/>
  <c r="AA44" i="39"/>
  <c r="AA46" i="39"/>
  <c r="AJ46" i="39"/>
  <c r="AJ44" i="39"/>
  <c r="AJ2" i="39"/>
  <c r="AJ24" i="39" s="1"/>
  <c r="AJ45" i="39"/>
  <c r="AJ42" i="39"/>
  <c r="AJ47" i="39"/>
  <c r="AA43" i="39"/>
  <c r="P37" i="1"/>
  <c r="P5" i="1" s="1"/>
  <c r="AI18" i="39"/>
  <c r="Z18" i="39"/>
  <c r="AG18" i="39"/>
  <c r="X18" i="39"/>
  <c r="AH36" i="39"/>
  <c r="G47" i="39"/>
  <c r="G38" i="39"/>
  <c r="Q44" i="43"/>
  <c r="Q43" i="43"/>
  <c r="Z30" i="39"/>
  <c r="Z29" i="39"/>
  <c r="O4" i="39"/>
  <c r="E3" i="39"/>
  <c r="E2" i="39" s="1"/>
  <c r="P43" i="4"/>
  <c r="X4" i="39" s="1"/>
  <c r="AH34" i="39"/>
  <c r="F2" i="39"/>
  <c r="F46" i="39" s="1"/>
  <c r="Y38" i="39"/>
  <c r="P2" i="39"/>
  <c r="Y34" i="39"/>
  <c r="AH38" i="39"/>
  <c r="H8" i="43"/>
  <c r="L48" i="43"/>
  <c r="M8" i="43"/>
  <c r="M7" i="43"/>
  <c r="H7" i="43"/>
  <c r="L47" i="43"/>
  <c r="L43" i="43"/>
  <c r="M3" i="43"/>
  <c r="M44" i="43" s="1"/>
  <c r="I13" i="43"/>
  <c r="Y37" i="39"/>
  <c r="AH39" i="39"/>
  <c r="I15" i="43"/>
  <c r="M16" i="43"/>
  <c r="H16" i="43"/>
  <c r="H6" i="43"/>
  <c r="M6" i="43"/>
  <c r="L46" i="43"/>
  <c r="L50" i="43"/>
  <c r="H10" i="43"/>
  <c r="M10" i="43"/>
  <c r="L45" i="43"/>
  <c r="M5" i="43"/>
  <c r="H5" i="43"/>
  <c r="N4" i="43"/>
  <c r="Y39" i="39"/>
  <c r="M9" i="43"/>
  <c r="L49" i="43"/>
  <c r="H9" i="43"/>
  <c r="AH40" i="39"/>
  <c r="Y40" i="39"/>
  <c r="AH37" i="39"/>
  <c r="N15" i="43"/>
  <c r="I4" i="43"/>
  <c r="P45" i="39"/>
  <c r="P46" i="39"/>
  <c r="P44" i="39"/>
  <c r="P47" i="39"/>
  <c r="Y30" i="39"/>
  <c r="L18" i="43"/>
  <c r="M11" i="43"/>
  <c r="L51" i="43"/>
  <c r="H11" i="43"/>
  <c r="L52" i="43"/>
  <c r="M12" i="43"/>
  <c r="H12" i="43"/>
  <c r="Y36" i="39"/>
  <c r="AH30" i="39"/>
  <c r="Y33" i="39"/>
  <c r="L44" i="43"/>
  <c r="Y29" i="39"/>
  <c r="AH35" i="39"/>
  <c r="N13" i="43"/>
  <c r="L17" i="43"/>
  <c r="P43" i="39"/>
  <c r="P40" i="39"/>
  <c r="P35" i="39"/>
  <c r="P34" i="39"/>
  <c r="P37" i="39"/>
  <c r="P38" i="39"/>
  <c r="P39" i="39"/>
  <c r="P33" i="39"/>
  <c r="AF30" i="39"/>
  <c r="N16" i="39"/>
  <c r="BG10" i="39"/>
  <c r="B37" i="43"/>
  <c r="B18" i="43"/>
  <c r="C18" i="43" s="1"/>
  <c r="D18" i="43" s="1"/>
  <c r="E18" i="43" s="1"/>
  <c r="F18" i="43" s="1"/>
  <c r="BG12" i="39"/>
  <c r="BG8" i="39"/>
  <c r="BG6" i="39"/>
  <c r="BQ21" i="39"/>
  <c r="H21" i="5"/>
  <c r="AF16" i="39"/>
  <c r="AF45" i="39" s="1"/>
  <c r="BG13" i="39"/>
  <c r="D2" i="39"/>
  <c r="D38" i="39" s="1"/>
  <c r="B33" i="43"/>
  <c r="BG7" i="39"/>
  <c r="N3" i="39"/>
  <c r="B12" i="43"/>
  <c r="B31" i="43"/>
  <c r="B43" i="43"/>
  <c r="B44" i="43"/>
  <c r="B30" i="43"/>
  <c r="B11" i="43"/>
  <c r="B26" i="43"/>
  <c r="B7" i="43"/>
  <c r="C17" i="43"/>
  <c r="B5" i="43"/>
  <c r="B24" i="43"/>
  <c r="W39" i="39"/>
  <c r="B6" i="43"/>
  <c r="B25" i="43"/>
  <c r="B10" i="43"/>
  <c r="B29" i="43"/>
  <c r="B28" i="43"/>
  <c r="B9" i="43"/>
  <c r="C15" i="43"/>
  <c r="B8" i="43"/>
  <c r="B27" i="43"/>
  <c r="AF7" i="39"/>
  <c r="J7" i="5"/>
  <c r="P7" i="5" s="1"/>
  <c r="W29" i="39"/>
  <c r="N35" i="39"/>
  <c r="N37" i="39"/>
  <c r="N39" i="39"/>
  <c r="N40" i="39"/>
  <c r="N38" i="39"/>
  <c r="N34" i="39"/>
  <c r="N36" i="39"/>
  <c r="B16" i="43"/>
  <c r="B35" i="43"/>
  <c r="J21" i="5"/>
  <c r="P23" i="5" s="1"/>
  <c r="Q43" i="39" l="1"/>
  <c r="Q45" i="39"/>
  <c r="Q42" i="39"/>
  <c r="Q2" i="39"/>
  <c r="Q24" i="39" s="1"/>
  <c r="Q46" i="39"/>
  <c r="Q47" i="39"/>
  <c r="AR15" i="39"/>
  <c r="BI16" i="39"/>
  <c r="Z16" i="39"/>
  <c r="Z43" i="39" s="1"/>
  <c r="Q14" i="43"/>
  <c r="AI16" i="39"/>
  <c r="AI43" i="39" s="1"/>
  <c r="BG16" i="39"/>
  <c r="BH15" i="39"/>
  <c r="AQ15" i="39"/>
  <c r="X16" i="39"/>
  <c r="G14" i="43"/>
  <c r="AG16" i="39"/>
  <c r="AG43" i="39"/>
  <c r="F40" i="39"/>
  <c r="AF47" i="39"/>
  <c r="AF42" i="39"/>
  <c r="AF35" i="39"/>
  <c r="AF33" i="39"/>
  <c r="D46" i="39"/>
  <c r="D40" i="39"/>
  <c r="AG3" i="39"/>
  <c r="AG29" i="39" s="1"/>
  <c r="AQ4" i="39"/>
  <c r="BH4" i="39"/>
  <c r="G3" i="43"/>
  <c r="X3" i="39"/>
  <c r="X29" i="39" s="1"/>
  <c r="E40" i="39"/>
  <c r="E46" i="39"/>
  <c r="O3" i="39"/>
  <c r="O29" i="39" s="1"/>
  <c r="M17" i="43"/>
  <c r="H17" i="43"/>
  <c r="N11" i="43"/>
  <c r="M51" i="43"/>
  <c r="J4" i="43"/>
  <c r="M49" i="43"/>
  <c r="N9" i="43"/>
  <c r="O4" i="43"/>
  <c r="M50" i="43"/>
  <c r="N10" i="43"/>
  <c r="N6" i="43"/>
  <c r="M46" i="43"/>
  <c r="N16" i="43"/>
  <c r="N7" i="43"/>
  <c r="M47" i="43"/>
  <c r="H45" i="43"/>
  <c r="I5" i="43"/>
  <c r="I10" i="43"/>
  <c r="H50" i="43"/>
  <c r="I6" i="43"/>
  <c r="H46" i="43"/>
  <c r="J13" i="43"/>
  <c r="M48" i="43"/>
  <c r="N8" i="43"/>
  <c r="O13" i="43"/>
  <c r="H52" i="43"/>
  <c r="I12" i="43"/>
  <c r="H51" i="43"/>
  <c r="I11" i="43"/>
  <c r="H18" i="43"/>
  <c r="M18" i="43"/>
  <c r="O15" i="43"/>
  <c r="H49" i="43"/>
  <c r="I9" i="43"/>
  <c r="N5" i="43"/>
  <c r="M45" i="43"/>
  <c r="J15" i="43"/>
  <c r="M52" i="43"/>
  <c r="N12" i="43"/>
  <c r="I16" i="43"/>
  <c r="M43" i="43"/>
  <c r="N3" i="43"/>
  <c r="I7" i="43"/>
  <c r="H47" i="43"/>
  <c r="I8" i="43"/>
  <c r="H48" i="43"/>
  <c r="N42" i="39"/>
  <c r="N45" i="39"/>
  <c r="N44" i="39"/>
  <c r="N46" i="39"/>
  <c r="N47" i="39"/>
  <c r="BG14" i="39"/>
  <c r="B13" i="43"/>
  <c r="C13" i="43" s="1"/>
  <c r="D13" i="43" s="1"/>
  <c r="B32" i="43"/>
  <c r="W42" i="39"/>
  <c r="AF44" i="39"/>
  <c r="AF46" i="39"/>
  <c r="N43" i="39"/>
  <c r="AF43" i="39"/>
  <c r="W36" i="39"/>
  <c r="W37" i="39"/>
  <c r="W38" i="39"/>
  <c r="W34" i="39"/>
  <c r="W33" i="39"/>
  <c r="W40" i="39"/>
  <c r="B48" i="43"/>
  <c r="C8" i="43"/>
  <c r="D15" i="43"/>
  <c r="B50" i="43"/>
  <c r="C10" i="43"/>
  <c r="D17" i="43"/>
  <c r="AF36" i="39"/>
  <c r="AF40" i="39"/>
  <c r="AF38" i="39"/>
  <c r="W35" i="39"/>
  <c r="N2" i="39"/>
  <c r="N24" i="39" s="1"/>
  <c r="N29" i="39"/>
  <c r="C5" i="43"/>
  <c r="B45" i="43"/>
  <c r="AF37" i="39"/>
  <c r="C16" i="43"/>
  <c r="B56" i="43"/>
  <c r="AF39" i="39"/>
  <c r="AF2" i="39"/>
  <c r="AF24" i="39" s="1"/>
  <c r="C9" i="43"/>
  <c r="B49" i="43"/>
  <c r="C6" i="43"/>
  <c r="B46" i="43"/>
  <c r="AF34" i="39"/>
  <c r="C7" i="43"/>
  <c r="B47" i="43"/>
  <c r="B51" i="43"/>
  <c r="C11" i="43"/>
  <c r="B52" i="43"/>
  <c r="C12" i="43"/>
  <c r="N30" i="39"/>
  <c r="R14" i="43" l="1"/>
  <c r="S14" i="43" s="1"/>
  <c r="T14" i="43" s="1"/>
  <c r="U14" i="43" s="1"/>
  <c r="V14" i="43" s="1"/>
  <c r="W14" i="43" s="1"/>
  <c r="X14" i="43" s="1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Q58" i="43"/>
  <c r="Q54" i="43"/>
  <c r="Q57" i="43"/>
  <c r="Q56" i="43"/>
  <c r="Q53" i="43"/>
  <c r="Q55" i="43"/>
  <c r="BI14" i="39"/>
  <c r="Z44" i="39"/>
  <c r="Z45" i="39"/>
  <c r="Z46" i="39"/>
  <c r="Z47" i="39"/>
  <c r="Z42" i="39"/>
  <c r="Z2" i="39"/>
  <c r="Z24" i="39" s="1"/>
  <c r="AI46" i="39"/>
  <c r="AI42" i="39"/>
  <c r="AI45" i="39"/>
  <c r="AI47" i="39"/>
  <c r="AI44" i="39"/>
  <c r="AI2" i="39"/>
  <c r="AI24" i="39" s="1"/>
  <c r="X45" i="39"/>
  <c r="X47" i="39"/>
  <c r="X46" i="39"/>
  <c r="X42" i="39"/>
  <c r="X44" i="39"/>
  <c r="AG45" i="39"/>
  <c r="AG42" i="39"/>
  <c r="AG46" i="39"/>
  <c r="AG47" i="39"/>
  <c r="AG44" i="39"/>
  <c r="X43" i="39"/>
  <c r="G54" i="43"/>
  <c r="G55" i="43"/>
  <c r="G57" i="43"/>
  <c r="G53" i="43"/>
  <c r="G58" i="43"/>
  <c r="G56" i="43"/>
  <c r="C14" i="43"/>
  <c r="D14" i="43" s="1"/>
  <c r="E14" i="43" s="1"/>
  <c r="O2" i="39"/>
  <c r="O30" i="39"/>
  <c r="X30" i="39"/>
  <c r="X2" i="39"/>
  <c r="X24" i="39" s="1"/>
  <c r="G43" i="43"/>
  <c r="G44" i="43"/>
  <c r="H3" i="43"/>
  <c r="C3" i="43"/>
  <c r="AG30" i="39"/>
  <c r="AG2" i="39"/>
  <c r="J7" i="43"/>
  <c r="I47" i="43"/>
  <c r="J16" i="43"/>
  <c r="I49" i="43"/>
  <c r="J9" i="43"/>
  <c r="P13" i="43"/>
  <c r="I46" i="43"/>
  <c r="J6" i="43"/>
  <c r="O16" i="43"/>
  <c r="O11" i="43"/>
  <c r="N51" i="43"/>
  <c r="N43" i="43"/>
  <c r="O3" i="43"/>
  <c r="K15" i="43"/>
  <c r="N18" i="43"/>
  <c r="I52" i="43"/>
  <c r="J12" i="43"/>
  <c r="N48" i="43"/>
  <c r="O8" i="43"/>
  <c r="P4" i="43"/>
  <c r="J8" i="43"/>
  <c r="I48" i="43"/>
  <c r="O12" i="43"/>
  <c r="N52" i="43"/>
  <c r="I18" i="43"/>
  <c r="K13" i="43"/>
  <c r="J10" i="43"/>
  <c r="I50" i="43"/>
  <c r="O7" i="43"/>
  <c r="N47" i="43"/>
  <c r="N46" i="43"/>
  <c r="O6" i="43"/>
  <c r="N44" i="43"/>
  <c r="K4" i="43"/>
  <c r="I17" i="43"/>
  <c r="N45" i="43"/>
  <c r="O5" i="43"/>
  <c r="P15" i="43"/>
  <c r="I51" i="43"/>
  <c r="J11" i="43"/>
  <c r="I45" i="43"/>
  <c r="J5" i="43"/>
  <c r="N50" i="43"/>
  <c r="O10" i="43"/>
  <c r="O9" i="43"/>
  <c r="N49" i="43"/>
  <c r="N17" i="43"/>
  <c r="B53" i="43"/>
  <c r="B58" i="43"/>
  <c r="C53" i="43"/>
  <c r="B55" i="43"/>
  <c r="B54" i="43"/>
  <c r="B57" i="43"/>
  <c r="W47" i="39"/>
  <c r="W46" i="39"/>
  <c r="W43" i="39"/>
  <c r="W44" i="39"/>
  <c r="W45" i="39"/>
  <c r="D6" i="43"/>
  <c r="C46" i="43"/>
  <c r="E15" i="43"/>
  <c r="D7" i="43"/>
  <c r="E7" i="43" s="1"/>
  <c r="C47" i="43"/>
  <c r="D16" i="43"/>
  <c r="E17" i="43"/>
  <c r="D8" i="43"/>
  <c r="C48" i="43"/>
  <c r="C45" i="43"/>
  <c r="D5" i="43"/>
  <c r="C52" i="43"/>
  <c r="D12" i="43"/>
  <c r="C51" i="43"/>
  <c r="D11" i="43"/>
  <c r="D9" i="43"/>
  <c r="C49" i="43"/>
  <c r="C50" i="43"/>
  <c r="D10" i="43"/>
  <c r="E13" i="43"/>
  <c r="S5" i="5"/>
  <c r="T5" i="5"/>
  <c r="U5" i="5"/>
  <c r="V5" i="5"/>
  <c r="W5" i="5"/>
  <c r="R23" i="5"/>
  <c r="R5" i="5" s="1"/>
  <c r="W24" i="39" s="1"/>
  <c r="G37" i="3"/>
  <c r="AH18" i="39" l="1"/>
  <c r="P37" i="3"/>
  <c r="Y18" i="39"/>
  <c r="C57" i="43"/>
  <c r="C56" i="43"/>
  <c r="C54" i="43"/>
  <c r="C58" i="43"/>
  <c r="D57" i="43"/>
  <c r="C55" i="43"/>
  <c r="C43" i="43"/>
  <c r="C44" i="43"/>
  <c r="D3" i="43"/>
  <c r="H44" i="43"/>
  <c r="H43" i="43"/>
  <c r="I3" i="43"/>
  <c r="O17" i="43"/>
  <c r="J17" i="43"/>
  <c r="O46" i="43"/>
  <c r="P6" i="43"/>
  <c r="J18" i="43"/>
  <c r="O48" i="43"/>
  <c r="P8" i="43"/>
  <c r="O18" i="43"/>
  <c r="O43" i="43"/>
  <c r="P3" i="43"/>
  <c r="P43" i="43" s="1"/>
  <c r="J45" i="43"/>
  <c r="K5" i="43"/>
  <c r="J51" i="43"/>
  <c r="K11" i="43"/>
  <c r="P5" i="43"/>
  <c r="O45" i="43"/>
  <c r="K10" i="43"/>
  <c r="J50" i="43"/>
  <c r="K8" i="43"/>
  <c r="J48" i="43"/>
  <c r="P16" i="43"/>
  <c r="K16" i="43"/>
  <c r="O49" i="43"/>
  <c r="P9" i="43"/>
  <c r="K12" i="43"/>
  <c r="J52" i="43"/>
  <c r="J46" i="43"/>
  <c r="K6" i="43"/>
  <c r="J49" i="43"/>
  <c r="K9" i="43"/>
  <c r="O50" i="43"/>
  <c r="P10" i="43"/>
  <c r="P7" i="43"/>
  <c r="O47" i="43"/>
  <c r="O52" i="43"/>
  <c r="P12" i="43"/>
  <c r="O44" i="43"/>
  <c r="P11" i="43"/>
  <c r="O51" i="43"/>
  <c r="K7" i="43"/>
  <c r="J47" i="43"/>
  <c r="D58" i="43"/>
  <c r="D55" i="43"/>
  <c r="D51" i="43"/>
  <c r="E11" i="43"/>
  <c r="E16" i="43"/>
  <c r="E57" i="43" s="1"/>
  <c r="D56" i="43"/>
  <c r="F15" i="43"/>
  <c r="D53" i="43"/>
  <c r="D52" i="43"/>
  <c r="E12" i="43"/>
  <c r="F17" i="43"/>
  <c r="D50" i="43"/>
  <c r="E10" i="43"/>
  <c r="D47" i="43"/>
  <c r="D45" i="43"/>
  <c r="E5" i="43"/>
  <c r="F14" i="43"/>
  <c r="F13" i="43"/>
  <c r="D49" i="43"/>
  <c r="E9" i="43"/>
  <c r="E8" i="43"/>
  <c r="D48" i="43"/>
  <c r="D54" i="43"/>
  <c r="F7" i="43"/>
  <c r="D46" i="43"/>
  <c r="E6" i="43"/>
  <c r="C5" i="3"/>
  <c r="D36" i="3"/>
  <c r="BH16" i="39" l="1"/>
  <c r="Y16" i="39"/>
  <c r="Y2" i="39" s="1"/>
  <c r="Y24" i="39" s="1"/>
  <c r="E3" i="43"/>
  <c r="D43" i="43"/>
  <c r="D44" i="43"/>
  <c r="I44" i="43"/>
  <c r="I43" i="43"/>
  <c r="J3" i="43"/>
  <c r="P45" i="43"/>
  <c r="K46" i="43"/>
  <c r="P44" i="43"/>
  <c r="P47" i="43"/>
  <c r="P51" i="43"/>
  <c r="P50" i="43"/>
  <c r="P52" i="43"/>
  <c r="P49" i="43"/>
  <c r="K47" i="43"/>
  <c r="K50" i="43"/>
  <c r="F47" i="39"/>
  <c r="P24" i="39"/>
  <c r="F38" i="39"/>
  <c r="K45" i="43"/>
  <c r="P18" i="43"/>
  <c r="P17" i="43"/>
  <c r="K49" i="43"/>
  <c r="K48" i="43"/>
  <c r="K18" i="43"/>
  <c r="K17" i="43"/>
  <c r="AH16" i="39"/>
  <c r="K52" i="43"/>
  <c r="K51" i="43"/>
  <c r="P48" i="43"/>
  <c r="P46" i="43"/>
  <c r="L14" i="43"/>
  <c r="E58" i="43"/>
  <c r="F8" i="43"/>
  <c r="E48" i="43"/>
  <c r="E45" i="43"/>
  <c r="F5" i="43"/>
  <c r="E47" i="43"/>
  <c r="F16" i="43"/>
  <c r="F56" i="43" s="1"/>
  <c r="E56" i="43"/>
  <c r="E54" i="43"/>
  <c r="E55" i="43"/>
  <c r="F11" i="43"/>
  <c r="E51" i="43"/>
  <c r="F9" i="43"/>
  <c r="E49" i="43"/>
  <c r="F6" i="43"/>
  <c r="E46" i="43"/>
  <c r="E53" i="43"/>
  <c r="E50" i="43"/>
  <c r="F10" i="43"/>
  <c r="E52" i="43"/>
  <c r="F12" i="43"/>
  <c r="H36" i="3"/>
  <c r="P5" i="3"/>
  <c r="D21" i="4"/>
  <c r="H21" i="4"/>
  <c r="J21" i="4" s="1"/>
  <c r="F50" i="43" l="1"/>
  <c r="J44" i="43"/>
  <c r="J43" i="43"/>
  <c r="K3" i="43"/>
  <c r="E44" i="43"/>
  <c r="F3" i="43"/>
  <c r="E43" i="43"/>
  <c r="Y44" i="39"/>
  <c r="Y42" i="39"/>
  <c r="Y45" i="39"/>
  <c r="Y47" i="39"/>
  <c r="Y46" i="39"/>
  <c r="AH42" i="39"/>
  <c r="AH44" i="39"/>
  <c r="AH45" i="39"/>
  <c r="AH47" i="39"/>
  <c r="AH46" i="39"/>
  <c r="AH2" i="39"/>
  <c r="AH24" i="39" s="1"/>
  <c r="Y43" i="39"/>
  <c r="AH43" i="39"/>
  <c r="H14" i="43"/>
  <c r="M14" i="43"/>
  <c r="L54" i="43"/>
  <c r="L53" i="43"/>
  <c r="L55" i="43"/>
  <c r="L56" i="43"/>
  <c r="L57" i="43"/>
  <c r="L58" i="43"/>
  <c r="F55" i="43"/>
  <c r="F46" i="43"/>
  <c r="F57" i="43"/>
  <c r="F53" i="43"/>
  <c r="F52" i="43"/>
  <c r="F54" i="43"/>
  <c r="F58" i="43"/>
  <c r="F47" i="43"/>
  <c r="F45" i="43"/>
  <c r="F49" i="43"/>
  <c r="F51" i="43"/>
  <c r="F48" i="43"/>
  <c r="P5" i="4"/>
  <c r="AG24" i="39" s="1"/>
  <c r="K43" i="43" l="1"/>
  <c r="K44" i="43"/>
  <c r="F43" i="43"/>
  <c r="F44" i="43"/>
  <c r="N14" i="43"/>
  <c r="M54" i="43"/>
  <c r="M55" i="43"/>
  <c r="M53" i="43"/>
  <c r="M56" i="43"/>
  <c r="M57" i="43"/>
  <c r="M58" i="43"/>
  <c r="I14" i="43"/>
  <c r="H54" i="43"/>
  <c r="H55" i="43"/>
  <c r="H53" i="43"/>
  <c r="H56" i="43"/>
  <c r="H57" i="43"/>
  <c r="H58" i="43"/>
  <c r="D36" i="4"/>
  <c r="C5" i="4"/>
  <c r="G45" i="4"/>
  <c r="H36" i="4" s="1"/>
  <c r="BF17" i="39"/>
  <c r="BP17" i="39"/>
  <c r="BO14" i="39"/>
  <c r="BE14" i="39" s="1"/>
  <c r="BO15" i="39"/>
  <c r="BE15" i="39" s="1"/>
  <c r="BO16" i="39"/>
  <c r="BP16" i="39"/>
  <c r="BO17" i="39"/>
  <c r="BE17" i="39" s="1"/>
  <c r="BP14" i="39"/>
  <c r="BP19" i="39"/>
  <c r="BF19" i="39" s="1"/>
  <c r="BP20" i="39"/>
  <c r="BF20" i="39" s="1"/>
  <c r="BO19" i="39"/>
  <c r="BE19" i="39" s="1"/>
  <c r="BP15" i="39"/>
  <c r="BF15" i="39" s="1"/>
  <c r="BO20" i="39"/>
  <c r="BE20" i="39" s="1"/>
  <c r="E47" i="39" l="1"/>
  <c r="E38" i="39"/>
  <c r="O24" i="39"/>
  <c r="J14" i="43"/>
  <c r="I54" i="43"/>
  <c r="I53" i="43"/>
  <c r="I55" i="43"/>
  <c r="I56" i="43"/>
  <c r="I57" i="43"/>
  <c r="I58" i="43"/>
  <c r="O14" i="43"/>
  <c r="N54" i="43"/>
  <c r="N53" i="43"/>
  <c r="N55" i="43"/>
  <c r="N56" i="43"/>
  <c r="N58" i="43"/>
  <c r="N57" i="43"/>
  <c r="BF14" i="39"/>
  <c r="BO21" i="39"/>
  <c r="P14" i="43" l="1"/>
  <c r="O54" i="43"/>
  <c r="O55" i="43"/>
  <c r="O53" i="43"/>
  <c r="O56" i="43"/>
  <c r="O57" i="43"/>
  <c r="O58" i="43"/>
  <c r="K14" i="43"/>
  <c r="J54" i="43"/>
  <c r="J55" i="43"/>
  <c r="J53" i="43"/>
  <c r="J56" i="43"/>
  <c r="J57" i="43"/>
  <c r="J58" i="43"/>
  <c r="K54" i="43" l="1"/>
  <c r="K53" i="43"/>
  <c r="K55" i="43"/>
  <c r="K56" i="43"/>
  <c r="K57" i="43"/>
  <c r="K58" i="43"/>
  <c r="P54" i="43"/>
  <c r="P55" i="43"/>
  <c r="P53" i="43"/>
  <c r="P56" i="43"/>
  <c r="P57" i="43"/>
  <c r="P58" i="43"/>
  <c r="R48" i="43" l="1"/>
  <c r="R52" i="43"/>
  <c r="R45" i="43"/>
  <c r="R51" i="43"/>
  <c r="R47" i="43"/>
  <c r="R44" i="43"/>
  <c r="R46" i="43"/>
  <c r="R43" i="43"/>
  <c r="R49" i="43"/>
  <c r="R50" i="43"/>
  <c r="R53" i="43"/>
  <c r="R55" i="43"/>
  <c r="R58" i="43"/>
  <c r="R56" i="43"/>
  <c r="R54" i="43"/>
  <c r="R57" i="43"/>
  <c r="W57" i="43"/>
  <c r="AF50" i="43"/>
  <c r="V44" i="43"/>
  <c r="AA45" i="43"/>
  <c r="V50" i="43"/>
  <c r="T46" i="43"/>
  <c r="Y46" i="43"/>
  <c r="AC51" i="43"/>
  <c r="Z54" i="43"/>
  <c r="AD50" i="43"/>
  <c r="AB51" i="43"/>
  <c r="AI43" i="43"/>
  <c r="V47" i="43"/>
  <c r="AC50" i="43"/>
  <c r="AF53" i="43"/>
  <c r="AG57" i="43"/>
  <c r="Z43" i="43"/>
  <c r="AJ55" i="43"/>
  <c r="S58" i="43"/>
  <c r="Y55" i="43"/>
  <c r="AI58" i="43"/>
  <c r="AE53" i="43"/>
  <c r="AA56" i="43"/>
  <c r="Y57" i="43"/>
  <c r="AE51" i="43"/>
  <c r="U49" i="43"/>
  <c r="T54" i="43"/>
  <c r="AI50" i="43"/>
  <c r="T48" i="43"/>
  <c r="Y54" i="43"/>
  <c r="AH48" i="43"/>
  <c r="AI53" i="43"/>
  <c r="AH44" i="43"/>
  <c r="AI47" i="43"/>
  <c r="AC55" i="43"/>
  <c r="AI46" i="43"/>
  <c r="AH47" i="43"/>
  <c r="S57" i="43"/>
  <c r="Z48" i="43"/>
  <c r="AG50" i="43"/>
  <c r="AD51" i="43"/>
  <c r="Z50" i="43"/>
  <c r="W52" i="43"/>
  <c r="S50" i="43"/>
  <c r="AH55" i="43"/>
  <c r="W58" i="43"/>
  <c r="AA58" i="43"/>
  <c r="AE58" i="43"/>
  <c r="AA57" i="43"/>
  <c r="Y44" i="43"/>
  <c r="AC44" i="43"/>
  <c r="AA51" i="43"/>
  <c r="W56" i="43"/>
  <c r="AG54" i="43"/>
  <c r="AI45" i="43"/>
  <c r="AE55" i="43"/>
  <c r="T58" i="43"/>
  <c r="X57" i="43"/>
  <c r="T55" i="43"/>
  <c r="AH43" i="43"/>
  <c r="AG43" i="43"/>
  <c r="AE56" i="43"/>
  <c r="AI56" i="43"/>
  <c r="W44" i="43"/>
  <c r="AD52" i="43"/>
  <c r="Z52" i="43"/>
  <c r="AD53" i="43"/>
  <c r="Y53" i="43"/>
  <c r="AC53" i="43"/>
  <c r="Y50" i="43"/>
  <c r="Z44" i="43"/>
  <c r="AE45" i="43"/>
  <c r="AC47" i="43"/>
  <c r="AC48" i="43"/>
  <c r="Y47" i="43"/>
  <c r="AJ47" i="43"/>
  <c r="AC56" i="43"/>
  <c r="AC52" i="43"/>
  <c r="AI48" i="43"/>
  <c r="AI51" i="43"/>
  <c r="AB57" i="43"/>
  <c r="AJ43" i="43"/>
  <c r="AG58" i="43"/>
  <c r="AB46" i="43"/>
  <c r="W53" i="43"/>
  <c r="AH54" i="43"/>
  <c r="AG47" i="43"/>
  <c r="Z45" i="43"/>
  <c r="W46" i="43"/>
  <c r="AD44" i="43"/>
  <c r="U46" i="43"/>
  <c r="AD58" i="43"/>
  <c r="U50" i="43"/>
  <c r="AD57" i="43"/>
  <c r="AH45" i="43"/>
  <c r="X49" i="43"/>
  <c r="S49" i="43"/>
  <c r="AC49" i="43"/>
  <c r="AG44" i="43"/>
  <c r="V57" i="43"/>
  <c r="AF46" i="43"/>
  <c r="AJ58" i="43"/>
  <c r="AB49" i="43"/>
  <c r="AF57" i="43"/>
  <c r="V51" i="43"/>
  <c r="S56" i="43"/>
  <c r="AH53" i="43"/>
  <c r="AA48" i="43"/>
  <c r="AH46" i="43"/>
  <c r="AH58" i="43"/>
  <c r="AB58" i="43"/>
  <c r="AB45" i="43"/>
  <c r="AG56" i="43"/>
  <c r="AG51" i="43"/>
  <c r="AI54" i="43"/>
  <c r="AA53" i="43"/>
  <c r="S54" i="43"/>
  <c r="AC54" i="43"/>
  <c r="AE49" i="43"/>
  <c r="AF43" i="43"/>
  <c r="AF56" i="43"/>
  <c r="AI57" i="43"/>
  <c r="AA43" i="43"/>
  <c r="W50" i="43"/>
  <c r="AB53" i="43"/>
  <c r="AE50" i="43"/>
  <c r="AJ50" i="43"/>
  <c r="AD45" i="43"/>
  <c r="W47" i="43"/>
  <c r="U55" i="43"/>
  <c r="W51" i="43"/>
  <c r="AB56" i="43"/>
  <c r="U57" i="43"/>
  <c r="AA54" i="43"/>
  <c r="AH57" i="43"/>
  <c r="U43" i="43"/>
  <c r="AF47" i="43"/>
  <c r="T57" i="43"/>
  <c r="X50" i="43"/>
  <c r="AE48" i="43"/>
  <c r="U44" i="43"/>
  <c r="S55" i="43"/>
  <c r="W55" i="43"/>
  <c r="AA55" i="43"/>
  <c r="AI55" i="43"/>
  <c r="T53" i="43"/>
  <c r="S45" i="43"/>
  <c r="W45" i="43"/>
  <c r="V43" i="43"/>
  <c r="AB47" i="43"/>
  <c r="U47" i="43"/>
  <c r="T56" i="43"/>
  <c r="X46" i="43"/>
  <c r="V54" i="43"/>
  <c r="AF49" i="43"/>
  <c r="AJ49" i="43"/>
  <c r="T49" i="43"/>
  <c r="V48" i="43"/>
  <c r="Z56" i="43"/>
  <c r="AA52" i="43"/>
  <c r="AE52" i="43"/>
  <c r="V52" i="43"/>
  <c r="Y56" i="43"/>
  <c r="U56" i="43"/>
  <c r="U51" i="43"/>
  <c r="Y51" i="43"/>
  <c r="W43" i="43"/>
  <c r="AG45" i="43"/>
  <c r="AF48" i="43"/>
  <c r="AB50" i="43"/>
  <c r="AF55" i="43"/>
  <c r="X52" i="43"/>
  <c r="AF58" i="43"/>
  <c r="AF44" i="43"/>
  <c r="X53" i="43"/>
  <c r="AD43" i="43"/>
  <c r="X55" i="43"/>
  <c r="AE46" i="43"/>
  <c r="AG49" i="43"/>
  <c r="AI44" i="43"/>
  <c r="X44" i="43"/>
  <c r="U54" i="43"/>
  <c r="AD47" i="43"/>
  <c r="S51" i="43"/>
  <c r="Y43" i="43"/>
  <c r="AJ46" i="43"/>
  <c r="S53" i="43"/>
  <c r="V53" i="43"/>
  <c r="S48" i="43"/>
  <c r="U58" i="43"/>
  <c r="V55" i="43"/>
  <c r="X58" i="43"/>
  <c r="AC58" i="43"/>
  <c r="AA47" i="43"/>
  <c r="Y52" i="43"/>
  <c r="AD54" i="43"/>
  <c r="AB54" i="43"/>
  <c r="V49" i="43"/>
  <c r="AH56" i="43"/>
  <c r="S43" i="43"/>
  <c r="AD56" i="43"/>
  <c r="Y58" i="43"/>
  <c r="T50" i="43"/>
  <c r="AB55" i="43"/>
  <c r="AC46" i="43"/>
  <c r="AE54" i="43"/>
  <c r="Z49" i="43"/>
  <c r="AA50" i="43"/>
  <c r="T47" i="43"/>
  <c r="AG53" i="43"/>
  <c r="U48" i="43"/>
  <c r="AH49" i="43"/>
  <c r="V58" i="43"/>
  <c r="AJ57" i="43"/>
  <c r="Z51" i="43"/>
  <c r="AG48" i="43"/>
  <c r="X51" i="43"/>
  <c r="AI52" i="43"/>
  <c r="AE47" i="43"/>
  <c r="Z57" i="43"/>
  <c r="AE57" i="43"/>
  <c r="AD48" i="43"/>
  <c r="U53" i="43"/>
  <c r="U45" i="43"/>
  <c r="X43" i="43"/>
  <c r="AF52" i="43"/>
  <c r="S46" i="43"/>
  <c r="AD46" i="43"/>
  <c r="W54" i="43"/>
  <c r="AD49" i="43"/>
  <c r="AI49" i="43"/>
  <c r="AG52" i="43"/>
  <c r="T52" i="43"/>
  <c r="AH51" i="43"/>
  <c r="T44" i="43"/>
  <c r="AE44" i="43"/>
  <c r="AJ44" i="43"/>
  <c r="X45" i="43"/>
  <c r="AB44" i="43"/>
  <c r="AH50" i="43"/>
  <c r="S44" i="43"/>
  <c r="AH52" i="43"/>
  <c r="S52" i="43"/>
  <c r="AJ53" i="43"/>
  <c r="X54" i="43"/>
  <c r="T45" i="43"/>
  <c r="Z55" i="43"/>
  <c r="AJ45" i="43"/>
  <c r="AE43" i="43"/>
  <c r="AA44" i="43"/>
  <c r="AF45" i="43"/>
  <c r="X48" i="43"/>
  <c r="AA49" i="43"/>
  <c r="AC43" i="43"/>
  <c r="AJ52" i="43"/>
  <c r="AD55" i="43"/>
  <c r="AC45" i="43"/>
  <c r="V45" i="43"/>
  <c r="T43" i="43"/>
  <c r="Z46" i="43"/>
  <c r="Y49" i="43"/>
  <c r="AB48" i="43"/>
  <c r="W48" i="43"/>
  <c r="AB52" i="43"/>
  <c r="U52" i="43"/>
  <c r="V56" i="43"/>
  <c r="AJ54" i="43"/>
  <c r="X47" i="43"/>
  <c r="Y45" i="43"/>
  <c r="AG55" i="43"/>
  <c r="AF54" i="43"/>
  <c r="Z53" i="43"/>
  <c r="W49" i="43"/>
  <c r="S47" i="43"/>
  <c r="AC57" i="43"/>
  <c r="AG46" i="43"/>
  <c r="V46" i="43"/>
  <c r="AA46" i="43"/>
  <c r="T51" i="43"/>
  <c r="AJ51" i="43"/>
  <c r="Z58" i="43"/>
  <c r="AF51" i="43"/>
  <c r="Z47" i="43"/>
  <c r="AJ56" i="43"/>
  <c r="AJ48" i="43"/>
  <c r="Y48" i="43"/>
  <c r="AB43" i="43"/>
  <c r="X56" i="43"/>
</calcChain>
</file>

<file path=xl/comments1.xml><?xml version="1.0" encoding="utf-8"?>
<comments xmlns="http://schemas.openxmlformats.org/spreadsheetml/2006/main">
  <authors>
    <author>MEUNIER Laurent</author>
    <author>CALLONNEC Gaël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énergétiques incluses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conso non énergétiques incluses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Ecart lié aux im
portations de biocarburants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AC29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Hors conso non énergétiques 
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C32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pertes réseaux T&amp;D incluses
viser ces quantités majorées de 5% pour tenir compte de la consommation d'électricité utilisée pour la production d'énergie (raffineries, enrichissement de l'uranium…) hors auto-consommation du secteur électricité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T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  <comment ref="AC48" authorId="0" shapeId="0">
      <text>
        <r>
          <rPr>
            <b/>
            <sz val="9"/>
            <color indexed="81"/>
            <rFont val="Tahoma"/>
            <family val="2"/>
          </rPr>
          <t>MEUNIER Laurent:</t>
        </r>
        <r>
          <rPr>
            <sz val="9"/>
            <color indexed="81"/>
            <rFont val="Tahoma"/>
            <family val="2"/>
          </rPr>
          <t xml:space="preserve">
coke inclus</t>
        </r>
      </text>
    </comment>
  </commentList>
</comments>
</file>

<file path=xl/comments2.xml><?xml version="1.0" encoding="utf-8"?>
<comments xmlns="http://schemas.openxmlformats.org/spreadsheetml/2006/main">
  <authors>
    <author>CALLONNEC Gaël</author>
    <author>Gaël CALLONNEC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4.8 = trafic aérien international
2.5 = soutes maritimes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4.8=aérien international
2.5= soutes maritimes
1.23 = combustibles à double usage estimé par le CITEPA
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11.9 = 13.68 Mtep de conso finale non énergétique moins les 1.77 de combustibles à doubleusage estimé par le citepa
1.23 = charbon à double usage estimé par le citepa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répartition voir p49 tableau retrospectif bilan énergie pour 2010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3.xml><?xml version="1.0" encoding="utf-8"?>
<comments xmlns="http://schemas.openxmlformats.org/spreadsheetml/2006/main">
  <authors>
    <author>CALLONNEC Gaël</author>
    <author>NAULEAU Marie-Laure</author>
    <author>Gaël CALLONNEC</author>
  </authors>
  <commentList>
    <comment ref="R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8= bois domestique
2 : charbon
 à double usage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 de gaz industriel (égal à la différnece netre la production et l'injection dans le reseau élec)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gaz consommé par les rafineries
</t>
        </r>
      </text>
    </comment>
    <comment ref="P41" authorId="1" shapeId="0">
      <text>
        <r>
          <rPr>
            <b/>
            <sz val="9"/>
            <color indexed="81"/>
            <rFont val="Tahoma"/>
            <family val="2"/>
          </rPr>
          <t>NAULEAU Marie-Laure:</t>
        </r>
        <r>
          <rPr>
            <sz val="9"/>
            <color indexed="81"/>
            <rFont val="Tahoma"/>
            <family val="2"/>
          </rPr>
          <t xml:space="preserve">
On retire des conso finales les consommations de combustibles non énergétiques : le fioul lourd (plasturgie, chimie) et le gaz dans l'industrie (engrais)</t>
        </r>
      </text>
    </comment>
    <comment ref="C47" authorId="2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4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5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6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7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comments8.xml><?xml version="1.0" encoding="utf-8"?>
<comments xmlns="http://schemas.openxmlformats.org/spreadsheetml/2006/main">
  <authors>
    <author>CALLONNEC Gaël</author>
    <author>Gaël CALLONNEC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correction de 0.4 correspond à la variation saisonnière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autoconsommation de gaz industriel de la siderurgie
égal à la production de gaz indistriel moins l'injection de gaz industriel dans les centrales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conso de gaz des raffineries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Hors
 bois domestique 
la correction de 0.4 correspond à la variation saisonnière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Les PAC ne sont pas comprises dans le bbilan complet...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+0.4 d'import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retirer soutes aériennes</t>
        </r>
      </text>
    </comment>
    <comment ref="C47" authorId="1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la différence avec le bilan complet s'explique par l'écart de production d'élec avec les centrales au fioul dans le bilan de 0.1
. </t>
        </r>
      </text>
    </comment>
  </commentList>
</comments>
</file>

<file path=xl/sharedStrings.xml><?xml version="1.0" encoding="utf-8"?>
<sst xmlns="http://schemas.openxmlformats.org/spreadsheetml/2006/main" count="4553" uniqueCount="381">
  <si>
    <t>Production énergie pour injection réseau</t>
  </si>
  <si>
    <t>Flux réseaux</t>
  </si>
  <si>
    <t>Bilan primaire</t>
  </si>
  <si>
    <t>Utilisation</t>
  </si>
  <si>
    <t>Injections</t>
  </si>
  <si>
    <t>Soutirages</t>
  </si>
  <si>
    <t>Usage interne</t>
  </si>
  <si>
    <t>Production</t>
  </si>
  <si>
    <t>Réseau</t>
  </si>
  <si>
    <t>source</t>
  </si>
  <si>
    <t>Total</t>
  </si>
  <si>
    <t>Pertes</t>
  </si>
  <si>
    <t>Exports</t>
  </si>
  <si>
    <t>RG</t>
  </si>
  <si>
    <t>RC</t>
  </si>
  <si>
    <t>RE</t>
  </si>
  <si>
    <t>Conso fin.nat. (hors combsustibles 2usages)</t>
  </si>
  <si>
    <t>Eolien</t>
  </si>
  <si>
    <t>Hydroélectricité</t>
  </si>
  <si>
    <t>PV</t>
  </si>
  <si>
    <t>Nucléaire</t>
  </si>
  <si>
    <t>Méthanisation</t>
  </si>
  <si>
    <t>UIOM</t>
  </si>
  <si>
    <t>Bois énergie</t>
  </si>
  <si>
    <t>Géothermie</t>
  </si>
  <si>
    <t>Energies marines</t>
  </si>
  <si>
    <t>Chaleur fatale</t>
  </si>
  <si>
    <t>fioul</t>
  </si>
  <si>
    <t>charbon</t>
  </si>
  <si>
    <t>Réseau de gaz</t>
  </si>
  <si>
    <t>BtG</t>
  </si>
  <si>
    <t>Hydrogène</t>
  </si>
  <si>
    <t>Gaz naturel</t>
  </si>
  <si>
    <t>Solaire thermique</t>
  </si>
  <si>
    <t>Usage direct</t>
  </si>
  <si>
    <t>Chaleur PAC géothermiques</t>
  </si>
  <si>
    <t>Chaleur PAC aérothermiques</t>
  </si>
  <si>
    <t>Biocarburants liquides</t>
  </si>
  <si>
    <t>Ess/Dies/Jet</t>
  </si>
  <si>
    <t>Autres PP</t>
  </si>
  <si>
    <t>Déchets</t>
  </si>
  <si>
    <t>gaz</t>
  </si>
  <si>
    <t>Charbon</t>
  </si>
  <si>
    <t xml:space="preserve">dont combustibles à double usage </t>
  </si>
  <si>
    <t xml:space="preserve">charbon </t>
  </si>
  <si>
    <t>Projections France AME AMS 2018</t>
  </si>
  <si>
    <t xml:space="preserve">Scenario: </t>
  </si>
  <si>
    <t>AMS</t>
  </si>
  <si>
    <t>Version :</t>
  </si>
  <si>
    <t>Date :</t>
  </si>
  <si>
    <t>Bilans énergétiques (format SDES)</t>
  </si>
  <si>
    <t>Mtep</t>
  </si>
  <si>
    <t>Pétrole brut</t>
  </si>
  <si>
    <t>Produits pétroliers raffinés</t>
  </si>
  <si>
    <t>Gaz</t>
  </si>
  <si>
    <t>EnR électriques</t>
  </si>
  <si>
    <t>EnR thermiques et déchets</t>
  </si>
  <si>
    <t>Électricité</t>
  </si>
  <si>
    <t>Chaleur vendue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</si>
  <si>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</si>
  <si>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</si>
  <si>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</si>
  <si>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</si>
  <si>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</si>
  <si>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</si>
  <si>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</si>
  <si>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Transferts</t>
  </si>
  <si>
    <t>Écart statistique</t>
  </si>
  <si>
    <t>Production d'électricité seule</t>
  </si>
  <si>
    <t>Production d'électricité et de chaleur cogénérées</t>
  </si>
  <si>
    <t>Production de chaleur seule</t>
  </si>
  <si>
    <t>Injections de biométhane</t>
  </si>
  <si>
    <t>Raffinage de pétrole</t>
  </si>
  <si>
    <t>Production d'hydrogène</t>
  </si>
  <si>
    <t>Autres transformations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</si>
  <si>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</si>
  <si>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</si>
  <si>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</si>
  <si>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</si>
  <si>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</si>
  <si>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</si>
  <si>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</si>
  <si>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</si>
  <si>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Consommation finale énergétique</t>
  </si>
  <si>
    <t>Consommation finale non énergétique</t>
  </si>
  <si>
    <t>Consommation finale</t>
  </si>
  <si>
    <t>Bilan 2020</t>
  </si>
  <si>
    <t>Bilan 2025</t>
  </si>
  <si>
    <t>Bilan 2030</t>
  </si>
  <si>
    <t>Bilan 2050</t>
  </si>
  <si>
    <t>Conso finale   (entrée ThreeME)</t>
  </si>
  <si>
    <t>Agr</t>
  </si>
  <si>
    <t>Ind</t>
  </si>
  <si>
    <t>Rés</t>
  </si>
  <si>
    <t>Ter</t>
  </si>
  <si>
    <t>Tra</t>
  </si>
  <si>
    <t>1 - Demande d'énergie finale de l'industrie</t>
  </si>
  <si>
    <t>1.1 Ensemble des branches, usages énergétiques</t>
  </si>
  <si>
    <t>2000-2015</t>
  </si>
  <si>
    <t>2015-2020</t>
  </si>
  <si>
    <t>2020-2025</t>
  </si>
  <si>
    <t>2025-2030</t>
  </si>
  <si>
    <t>2030-2050</t>
  </si>
  <si>
    <t>Combustible liquide</t>
  </si>
  <si>
    <t>Electricité</t>
  </si>
  <si>
    <t>Réseau de chaleur</t>
  </si>
  <si>
    <t>Biomasse, déchets</t>
  </si>
  <si>
    <t>1.2 Ensemble des branches, usages non énergétiques</t>
  </si>
  <si>
    <t>Pétrole</t>
  </si>
  <si>
    <t>H2</t>
  </si>
  <si>
    <t>1.3 Total énergie, par branche</t>
  </si>
  <si>
    <t>métaux-primaires</t>
  </si>
  <si>
    <t xml:space="preserve">      sidérurgie</t>
  </si>
  <si>
    <t xml:space="preserve">      aluminium</t>
  </si>
  <si>
    <t>chimie</t>
  </si>
  <si>
    <t xml:space="preserve">       ammoniac</t>
  </si>
  <si>
    <t xml:space="preserve">       pétrochimie base</t>
  </si>
  <si>
    <t xml:space="preserve">        chlore</t>
  </si>
  <si>
    <t>non_metalliques</t>
  </si>
  <si>
    <t xml:space="preserve">        ciment</t>
  </si>
  <si>
    <t xml:space="preserve">         verre</t>
  </si>
  <si>
    <t>iaa</t>
  </si>
  <si>
    <t xml:space="preserve">        sucre</t>
  </si>
  <si>
    <t>équipement</t>
  </si>
  <si>
    <t>autres</t>
  </si>
  <si>
    <t xml:space="preserve">         papier-pâtes</t>
  </si>
  <si>
    <t>Total IGCE</t>
  </si>
  <si>
    <t>1.4 Electricité, par branche</t>
  </si>
  <si>
    <t>TWh</t>
  </si>
  <si>
    <t>1.5 Combustibles, par branche</t>
  </si>
  <si>
    <t>1.6 Indicateurs</t>
  </si>
  <si>
    <t>Intensité énergétique de la VA (kep/€2005)</t>
  </si>
  <si>
    <t>2 - Demande d'énergie finale du résidentiel</t>
  </si>
  <si>
    <t>2.1 Demande d'énergie finale par énergie</t>
  </si>
  <si>
    <t>Biomasse</t>
  </si>
  <si>
    <t>Solaire</t>
  </si>
  <si>
    <t>Chaleur environnement</t>
  </si>
  <si>
    <t>2.2 Demande d'énergie finale par usage</t>
  </si>
  <si>
    <t>Chauffage</t>
  </si>
  <si>
    <t>Eau chaude</t>
  </si>
  <si>
    <t>Cuisson</t>
  </si>
  <si>
    <t>Eclairage</t>
  </si>
  <si>
    <t>Electricité specifique</t>
  </si>
  <si>
    <t>Climatisation</t>
  </si>
  <si>
    <t>2.3 Usages thermiques</t>
  </si>
  <si>
    <t>2.4 Chauffage</t>
  </si>
  <si>
    <t>2.5 Eau chaude</t>
  </si>
  <si>
    <t>2.6 Cuisson</t>
  </si>
  <si>
    <t>2.7 Indicateurs</t>
  </si>
  <si>
    <t>Logements</t>
  </si>
  <si>
    <t>Energie/capita (tep)</t>
  </si>
  <si>
    <t>Electricité/capita (kWh)</t>
  </si>
  <si>
    <t>Intensité énergétique de la consommation privée des ménages (kep/€2005)</t>
  </si>
  <si>
    <t>3 - Demande d'énergie finale du tertiaire</t>
  </si>
  <si>
    <t>3.1 Demande d'énergie finale par énergie</t>
  </si>
  <si>
    <t>3.2 Demande d'énergie finale par usage</t>
  </si>
  <si>
    <t>Autres usages thermiques</t>
  </si>
  <si>
    <t>3.3 Usages thermiques</t>
  </si>
  <si>
    <t>3.4 Chauffage</t>
  </si>
  <si>
    <t>3.5 Autres usages thermiques</t>
  </si>
  <si>
    <t>3.6 Indicateurs</t>
  </si>
  <si>
    <t>Intensité énergétique de la VA (ktep/€2005)</t>
  </si>
  <si>
    <t>Employés (millions)</t>
  </si>
  <si>
    <t>Energie/employé (tep)</t>
  </si>
  <si>
    <t>Electricité/employé (kWh)</t>
  </si>
  <si>
    <t>4 - Demande d'énergie finale des transports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</si>
  <si>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</si>
  <si>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</si>
  <si>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</si>
  <si>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</si>
  <si>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</si>
  <si>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</si>
  <si>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</si>
  <si>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Camions et VUL</t>
  </si>
  <si>
    <t xml:space="preserve">  Fluvial</t>
  </si>
  <si>
    <t xml:space="preserve">  Voitures   Gvkm</t>
  </si>
  <si>
    <t>4.2 Demande d'énergie finale par énergie</t>
  </si>
  <si>
    <t>Essence (yc carb. subst.)</t>
  </si>
  <si>
    <t>Gazole (yc carb. subs)</t>
  </si>
  <si>
    <t>Carburéacteurs</t>
  </si>
  <si>
    <t>GPL</t>
  </si>
  <si>
    <t>GNV</t>
  </si>
  <si>
    <t>4.3 Demande d'énergie finale par infrastructure</t>
  </si>
  <si>
    <t>Routier</t>
  </si>
  <si>
    <t>Ferroviaire</t>
  </si>
  <si>
    <t>Fluvial</t>
  </si>
  <si>
    <t>Aérien domestique</t>
  </si>
  <si>
    <t>4.4 Transports routiers</t>
  </si>
  <si>
    <t>Voitures particulières</t>
  </si>
  <si>
    <t>Camions et VUL</t>
  </si>
  <si>
    <t>Bus et autocars</t>
  </si>
  <si>
    <t>2 roues</t>
  </si>
  <si>
    <t>Essence</t>
  </si>
  <si>
    <t xml:space="preserve">Total </t>
  </si>
  <si>
    <t>4.5 Indicateurs</t>
  </si>
  <si>
    <t>Parcs VP (Millions)</t>
  </si>
  <si>
    <t>Intensité énergétique du PIB (kep/€2005)</t>
  </si>
  <si>
    <t>5 - Demande d'énergie finale de l'agriculture</t>
  </si>
  <si>
    <t>5.1 Demande d'énergie finale par énergie</t>
  </si>
  <si>
    <t>6 - Demande d'énergie finale de l'ensemble des secteurs</t>
  </si>
  <si>
    <t>6.1 Demande d'énergie finale par énergie</t>
  </si>
  <si>
    <t>Carburant liquide</t>
  </si>
  <si>
    <t>Combustible gazeux</t>
  </si>
  <si>
    <t>Carburant gazeux</t>
  </si>
  <si>
    <t>6.2 Demande d'énergie finale par secteur</t>
  </si>
  <si>
    <t>6.3 Indicateurs</t>
  </si>
  <si>
    <t>Intensité électrique du PIB (kWh/k€2005)</t>
  </si>
  <si>
    <t>PAC/CET</t>
  </si>
  <si>
    <t>Pétrole/GPL</t>
  </si>
  <si>
    <t>Renouvelables thermiques</t>
  </si>
  <si>
    <t>Chaleur Environnement</t>
  </si>
  <si>
    <t>Total hors chaleur environnement</t>
  </si>
  <si>
    <t>ECS</t>
  </si>
  <si>
    <t>Electricité spécifique</t>
  </si>
  <si>
    <t>Autres consos (hors elec spé)</t>
  </si>
  <si>
    <t>Total modèle</t>
  </si>
  <si>
    <t>Autres (hors CEREN)</t>
  </si>
  <si>
    <t>Total (hors PAC)</t>
  </si>
  <si>
    <t>Mix approx</t>
  </si>
  <si>
    <t>Bilan de l'Energie 2015 (Sorties de modèles)</t>
  </si>
  <si>
    <t>Consommation finale énergétique (corrigée du climat)</t>
  </si>
  <si>
    <t>Corrections brutes</t>
  </si>
  <si>
    <t>Résultats modélisation MENFIS</t>
  </si>
  <si>
    <t>Tableau 1 : Consommations de chauffage (TWh) 2015</t>
  </si>
  <si>
    <t>Fioul</t>
  </si>
  <si>
    <t>Electricité joule</t>
  </si>
  <si>
    <t>Electricité PAC (hors ENR)</t>
  </si>
  <si>
    <t>Chauffage urbain et autre</t>
  </si>
  <si>
    <t>ENR PAC</t>
  </si>
  <si>
    <t>Nouveau total</t>
  </si>
  <si>
    <t>Consommation chauffage</t>
  </si>
  <si>
    <t>MI ex</t>
  </si>
  <si>
    <t>MI ne</t>
  </si>
  <si>
    <t>LC ex</t>
  </si>
  <si>
    <t>LC ne</t>
  </si>
  <si>
    <t>Tableau 1 : Consommations de chauffage (TWh) 2020</t>
  </si>
  <si>
    <t>Tableau 1 : Consommations de chauffage (TWh) 2025</t>
  </si>
  <si>
    <t>Tableau 1 : Consommations de chauffage (TWh) 2030</t>
  </si>
  <si>
    <t>Tableau 1 : Consommations de chauffage (TWh) 2040</t>
  </si>
  <si>
    <t>Tableau 1 : Consommations de chauffage (TWh) 2050</t>
  </si>
  <si>
    <t>Résultats hors modèles</t>
  </si>
  <si>
    <t>CET</t>
  </si>
  <si>
    <t>RCU</t>
  </si>
  <si>
    <t>Autres</t>
  </si>
  <si>
    <t>Consommations par vecteur (TWh)</t>
  </si>
  <si>
    <t>Consommation totale (TWh)</t>
  </si>
  <si>
    <t>PAC</t>
  </si>
  <si>
    <t>Consommation totale</t>
  </si>
  <si>
    <t>Mix énergétique des réseaux de chaleur</t>
  </si>
  <si>
    <t>Cogénération</t>
  </si>
  <si>
    <t>Combustibles solides décarbonés : biomasse + déchets</t>
  </si>
  <si>
    <t>Combustibles liquides décarbonés</t>
  </si>
  <si>
    <t>Combustibles gazeux décarbonés</t>
  </si>
  <si>
    <t>Chaleur de récupération industrielle</t>
  </si>
  <si>
    <t>Chaleur renouvelable (géothermie)</t>
  </si>
  <si>
    <t>Production totale (TWh)</t>
  </si>
  <si>
    <t>Mix énergétique de la production d’électricité</t>
  </si>
  <si>
    <t>Hydraulique</t>
  </si>
  <si>
    <t>Éolien</t>
  </si>
  <si>
    <t>Bioénergies</t>
  </si>
  <si>
    <t>Non-énergétique ?</t>
  </si>
  <si>
    <t xml:space="preserve">la différence va dans le non-énergétique. </t>
  </si>
  <si>
    <t>Gaz réseau</t>
  </si>
  <si>
    <t>Total primaire, export et conso non énergétique incluses</t>
  </si>
  <si>
    <t>Total final hors conso non énergétique</t>
  </si>
  <si>
    <t>Total final  conso non énergétique incluses</t>
  </si>
  <si>
    <t>Produits pétroliers et biocarburants</t>
  </si>
  <si>
    <t>Q_Mtep_int_uses</t>
  </si>
  <si>
    <t>Q_Mtep_losses_losses</t>
  </si>
  <si>
    <t>QMtep_losses_losses</t>
  </si>
  <si>
    <t>Produits pétroliers</t>
  </si>
  <si>
    <t>alpha_int_uses_2201</t>
  </si>
  <si>
    <t>Q_Mtep_int_uses_2201</t>
  </si>
  <si>
    <t>Alpha_losses_2201</t>
  </si>
  <si>
    <t>QMtep_losses_2201</t>
  </si>
  <si>
    <t>Biocarburants liquides et gazeux</t>
  </si>
  <si>
    <t>alpha_int_uses_2202</t>
  </si>
  <si>
    <t>Q_Mtep_int_uses_2202</t>
  </si>
  <si>
    <t>Alpha_losses_2202</t>
  </si>
  <si>
    <t>QMtep_losses_2202</t>
  </si>
  <si>
    <t xml:space="preserve">Biocarburants liquides </t>
  </si>
  <si>
    <t>alpha_int_uses_2301</t>
  </si>
  <si>
    <t>Q_Mtep_int_uses_2301</t>
  </si>
  <si>
    <t>Alpha_losses_2301</t>
  </si>
  <si>
    <t>QMtep_losses_2301</t>
  </si>
  <si>
    <t>Biocarburants gazeux</t>
  </si>
  <si>
    <t>alpha_int_uses_2302</t>
  </si>
  <si>
    <t>Q_Mtep_int_uses_2302</t>
  </si>
  <si>
    <t>Alpha_losses_2302</t>
  </si>
  <si>
    <t>QMtep_losses_2302</t>
  </si>
  <si>
    <t>alpha_int_uses_2303</t>
  </si>
  <si>
    <t>Q_Mtep_int_uses_2303</t>
  </si>
  <si>
    <t>Alpha_losses_2303</t>
  </si>
  <si>
    <t>QMtep_losses_2303</t>
  </si>
  <si>
    <t>alpha_int_uses_2304</t>
  </si>
  <si>
    <t>Q_Mtep_int_uses_2304</t>
  </si>
  <si>
    <t>Alpha_losses_2304</t>
  </si>
  <si>
    <t>QMtep_losses_2304</t>
  </si>
  <si>
    <t>alpha_int_uses_2305</t>
  </si>
  <si>
    <t>Q_Mtep_int_uses_2305</t>
  </si>
  <si>
    <t>Alpha_losses_2305</t>
  </si>
  <si>
    <t>QMtep_losses_2305</t>
  </si>
  <si>
    <t>alpha_int_uses_2306</t>
  </si>
  <si>
    <t>Q_Mtep_int_uses_2306</t>
  </si>
  <si>
    <t>Alpha_losses_2306</t>
  </si>
  <si>
    <t>QMtep_losses_2306</t>
  </si>
  <si>
    <t>Eolien &amp; énergie marine</t>
  </si>
  <si>
    <t>alpha_int_uses_2307</t>
  </si>
  <si>
    <t>Q_Mtep_int_uses_2307</t>
  </si>
  <si>
    <t>Alpha_losses_2307</t>
  </si>
  <si>
    <t>QMtep_losses_2307</t>
  </si>
  <si>
    <t>Photovoltaïque</t>
  </si>
  <si>
    <t>alpha_int_uses_2308</t>
  </si>
  <si>
    <t>Q_Mtep_int_uses_2308</t>
  </si>
  <si>
    <t>Alpha_losses_2308</t>
  </si>
  <si>
    <t>QMtep_losses_2308</t>
  </si>
  <si>
    <t>alpha_int_uses_2401</t>
  </si>
  <si>
    <t>Q_Mtep_int_uses_2401</t>
  </si>
  <si>
    <t>Alpha_losses_2401</t>
  </si>
  <si>
    <t>QMtep_losses_2401</t>
  </si>
  <si>
    <t>Autres (méthanisation, UIOM, bois, géothermie, énergie fatale)</t>
  </si>
  <si>
    <t>Autres (méthanisation, UIOM, bois, géothermie, énergie fatale, PAC aérothermique)</t>
  </si>
  <si>
    <t>alpha_int_uses_2402</t>
  </si>
  <si>
    <t>Q_Mtep_int_uses_2402</t>
  </si>
  <si>
    <t>Alpha_losses_2402</t>
  </si>
  <si>
    <t>QMtep_losses_2402</t>
  </si>
  <si>
    <t>Gaz et chaleur</t>
  </si>
  <si>
    <t>alpha_int_uses_2403</t>
  </si>
  <si>
    <t>Q_Mtep_int_uses_2403</t>
  </si>
  <si>
    <t>Alpha_losses_2403</t>
  </si>
  <si>
    <t>QMtep_losses_2403</t>
  </si>
  <si>
    <t>Gaz naturel (réseau de gaz et de chaleur)</t>
  </si>
  <si>
    <t>alpha_int_uses_2404</t>
  </si>
  <si>
    <t>Q_Mtep_int_uses_2404</t>
  </si>
  <si>
    <t>Alpha_losses_2404</t>
  </si>
  <si>
    <t>QMtep_losses_2404</t>
  </si>
  <si>
    <t>Bois énergie direct et réseau chaleur</t>
  </si>
  <si>
    <t>alpha_int_uses_2405</t>
  </si>
  <si>
    <t>Q_Mtep_int_uses_2405</t>
  </si>
  <si>
    <t>Alpha_losses_2405</t>
  </si>
  <si>
    <t>QMtep_losses_2405</t>
  </si>
  <si>
    <t>Biogaz, biométhane, BtG et H2 direct et réseau de chaleur</t>
  </si>
  <si>
    <t>alpha_int_uses_2406</t>
  </si>
  <si>
    <t>Q_Mtep_int_uses_2406</t>
  </si>
  <si>
    <t>Alpha_losses_2406</t>
  </si>
  <si>
    <t>QMtep_losses_2406</t>
  </si>
  <si>
    <t>UIOM et déchets directs</t>
  </si>
  <si>
    <t>alpha_int_uses_21</t>
  </si>
  <si>
    <t>Q_Mtep_int_uses_21</t>
  </si>
  <si>
    <t>Alpha_losses_21</t>
  </si>
  <si>
    <t>QMtep_losses_21</t>
  </si>
  <si>
    <t>Géothermie et PAC géothermique</t>
  </si>
  <si>
    <t>Géothermie et  PAC géothermique</t>
  </si>
  <si>
    <t>Bois</t>
  </si>
  <si>
    <t>Autres (solaire thermique, chaleur fatale)</t>
  </si>
  <si>
    <t>Autres (solaire thermique, chaleur fatale, pac AEROTHERMIQUE)</t>
  </si>
  <si>
    <t xml:space="preserve">Géothermie </t>
  </si>
  <si>
    <t>Energie fatale</t>
  </si>
  <si>
    <t>Biométhane</t>
  </si>
  <si>
    <t xml:space="preserve">Production énergétique en pourcentage de la production énergétique primaire de chaque vecteur </t>
  </si>
  <si>
    <t>Production énergétique en pourcentage de la production énergétique finale de chaque vecteur (hors consommation non énergétique)</t>
  </si>
  <si>
    <t>Production énergétique en pourcentage de la production énergétique finale de chaque vecteur ( conso non énergétique incluses)</t>
  </si>
  <si>
    <t>Bois énergie (direct et réseau chaleur)</t>
  </si>
  <si>
    <t>Biogaz, biométhane, BtG direct et réseau de chaleur</t>
  </si>
  <si>
    <t>Autres (solaire thermique, chaleur fatale, PAC aéro)</t>
  </si>
  <si>
    <t>Centrale au fioul</t>
  </si>
  <si>
    <t>Centrale au gaz naturel</t>
  </si>
  <si>
    <t>PAC aérothermiques</t>
  </si>
  <si>
    <t>Centrale au charbon</t>
  </si>
  <si>
    <t>Vérification</t>
  </si>
  <si>
    <t>Conso hors usages énergétiques</t>
  </si>
  <si>
    <t>Matière pour production biocarburants liquides</t>
  </si>
  <si>
    <t>Chaleur fatale - réseau chaleur</t>
  </si>
  <si>
    <t>Chaleur fatale -  élec</t>
  </si>
  <si>
    <t>Total calculé onglet flux</t>
  </si>
  <si>
    <t>Source bilan AMS2</t>
  </si>
  <si>
    <t xml:space="preserve">Primaire </t>
  </si>
  <si>
    <t xml:space="preserve">Pertes </t>
  </si>
  <si>
    <t>auto-consommation</t>
  </si>
  <si>
    <t>Conso fin.nat.</t>
  </si>
  <si>
    <t>PhiY_ener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</si>
</sst>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\ _€_-;\-* #,##0.00\ _€_-;_-* &quot;-&quot;??\ _€_-;_-@_-"/>
    <numFmt numFmtId="164" formatCode="0.0"/>
    <numFmt numFmtId="165" formatCode="#,##0.0_ ;\-#,##0.0\ "/>
    <numFmt numFmtId="166" formatCode="0.0%"/>
    <numFmt numFmtId="167" formatCode="dd/mm/yy;@"/>
    <numFmt numFmtId="168" formatCode="0.000000"/>
    <numFmt numFmtId="169" formatCode="#,##0.0"/>
    <numFmt numFmtId="170" formatCode="#,##0.000"/>
    <numFmt numFmtId="171" formatCode="0.00000"/>
    <numFmt numFmtId="172" formatCode="0.000"/>
    <numFmt numFmtId="173" formatCode="_-* #,##0.00\ _F_-;\-* #,##0.00\ _F_-;_-* &quot;-&quot;??\ _F_-;_-@_-"/>
    <numFmt numFmtId="174" formatCode="0.0000"/>
    <numFmt numFmtId="175" formatCode="#,##0.0000"/>
    <numFmt numFmtId="176" formatCode="0.00000000000000"/>
    <numFmt numFmtId="177" formatCode="0.0000000000000"/>
    <numFmt numFmtId="178" formatCode="_-* #,##0\ _€_-;\-* #,##0\ _€_-;_-* &quot;-&quot;??\ _€_-;_-@_-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22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33CC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Liberation Sans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8" fillId="0" borderId="0"/>
    <xf numFmtId="0" fontId="42" fillId="0" borderId="0"/>
  </cellStyleXfs>
  <cellXfs count="515">
    <xf numFmtId="0" fontId="0" fillId="0" borderId="0" xfId="0"/>
    <xf numFmtId="0" fontId="4" fillId="0" borderId="0" xfId="3" applyFont="1" applyBorder="1"/>
    <xf numFmtId="0" fontId="5" fillId="0" borderId="0" xfId="0" applyFont="1" applyBorder="1" applyAlignment="1">
      <alignment horizontal="center" vertical="center"/>
    </xf>
    <xf numFmtId="0" fontId="5" fillId="2" borderId="0" xfId="3" applyFont="1" applyFill="1" applyBorder="1"/>
    <xf numFmtId="0" fontId="4" fillId="0" borderId="0" xfId="3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2" fillId="2" borderId="1" xfId="3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3" borderId="0" xfId="3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2" fillId="2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center" vertical="center" wrapText="1"/>
    </xf>
    <xf numFmtId="0" fontId="2" fillId="0" borderId="1" xfId="3" applyFont="1" applyBorder="1"/>
    <xf numFmtId="0" fontId="2" fillId="0" borderId="3" xfId="3" applyFont="1" applyBorder="1"/>
    <xf numFmtId="0" fontId="2" fillId="0" borderId="2" xfId="3" applyFont="1" applyBorder="1"/>
    <xf numFmtId="164" fontId="4" fillId="0" borderId="0" xfId="3" applyNumberFormat="1" applyFont="1" applyBorder="1"/>
    <xf numFmtId="0" fontId="5" fillId="0" borderId="0" xfId="3" applyFont="1" applyBorder="1" applyAlignment="1">
      <alignment horizontal="right"/>
    </xf>
    <xf numFmtId="164" fontId="5" fillId="0" borderId="0" xfId="3" applyNumberFormat="1" applyFont="1" applyBorder="1" applyAlignment="1">
      <alignment horizontal="right"/>
    </xf>
    <xf numFmtId="0" fontId="5" fillId="0" borderId="1" xfId="3" applyFont="1" applyBorder="1" applyAlignment="1">
      <alignment horizontal="right"/>
    </xf>
    <xf numFmtId="0" fontId="4" fillId="0" borderId="0" xfId="3" applyFont="1" applyBorder="1" applyAlignment="1">
      <alignment horizontal="right"/>
    </xf>
    <xf numFmtId="0" fontId="4" fillId="0" borderId="0" xfId="0" applyFont="1" applyBorder="1"/>
    <xf numFmtId="164" fontId="2" fillId="0" borderId="1" xfId="3" applyNumberFormat="1" applyFont="1" applyBorder="1"/>
    <xf numFmtId="164" fontId="2" fillId="0" borderId="0" xfId="3" applyNumberFormat="1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164" fontId="6" fillId="0" borderId="2" xfId="3" applyNumberFormat="1" applyFont="1" applyBorder="1"/>
    <xf numFmtId="164" fontId="7" fillId="0" borderId="0" xfId="3" applyNumberFormat="1" applyFont="1" applyBorder="1"/>
    <xf numFmtId="0" fontId="8" fillId="0" borderId="0" xfId="3" applyFont="1" applyBorder="1"/>
    <xf numFmtId="164" fontId="9" fillId="0" borderId="0" xfId="3" applyNumberFormat="1" applyFont="1" applyBorder="1"/>
    <xf numFmtId="164" fontId="4" fillId="0" borderId="1" xfId="3" applyNumberFormat="1" applyFont="1" applyBorder="1"/>
    <xf numFmtId="164" fontId="4" fillId="4" borderId="1" xfId="3" applyNumberFormat="1" applyFont="1" applyFill="1" applyBorder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2" fontId="4" fillId="0" borderId="0" xfId="0" applyNumberFormat="1" applyFont="1" applyBorder="1"/>
    <xf numFmtId="1" fontId="4" fillId="0" borderId="0" xfId="3" applyNumberFormat="1" applyFont="1" applyBorder="1"/>
    <xf numFmtId="164" fontId="10" fillId="0" borderId="0" xfId="3" applyNumberFormat="1" applyFont="1" applyBorder="1"/>
    <xf numFmtId="164" fontId="11" fillId="0" borderId="0" xfId="3" applyNumberFormat="1" applyFont="1" applyBorder="1"/>
    <xf numFmtId="0" fontId="4" fillId="5" borderId="1" xfId="0" applyFont="1" applyFill="1" applyBorder="1"/>
    <xf numFmtId="164" fontId="4" fillId="5" borderId="3" xfId="3" applyNumberFormat="1" applyFont="1" applyFill="1" applyBorder="1" applyAlignment="1">
      <alignment horizontal="center" vertical="center"/>
    </xf>
    <xf numFmtId="164" fontId="4" fillId="5" borderId="2" xfId="3" applyNumberFormat="1" applyFont="1" applyFill="1" applyBorder="1" applyAlignment="1">
      <alignment horizontal="center" vertical="center"/>
    </xf>
    <xf numFmtId="164" fontId="4" fillId="0" borderId="0" xfId="0" applyNumberFormat="1" applyFont="1" applyBorder="1"/>
    <xf numFmtId="164" fontId="5" fillId="0" borderId="0" xfId="3" applyNumberFormat="1" applyFont="1" applyBorder="1"/>
    <xf numFmtId="2" fontId="4" fillId="0" borderId="1" xfId="0" applyNumberFormat="1" applyFont="1" applyBorder="1"/>
    <xf numFmtId="164" fontId="12" fillId="0" borderId="0" xfId="3" applyNumberFormat="1" applyFont="1" applyBorder="1"/>
    <xf numFmtId="2" fontId="11" fillId="0" borderId="0" xfId="3" applyNumberFormat="1" applyFont="1" applyBorder="1"/>
    <xf numFmtId="165" fontId="11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164" fontId="13" fillId="0" borderId="0" xfId="3" applyNumberFormat="1" applyFont="1" applyBorder="1"/>
    <xf numFmtId="2" fontId="10" fillId="0" borderId="0" xfId="3" applyNumberFormat="1" applyFont="1" applyBorder="1"/>
    <xf numFmtId="1" fontId="8" fillId="0" borderId="0" xfId="3" applyNumberFormat="1" applyFont="1" applyFill="1" applyBorder="1"/>
    <xf numFmtId="164" fontId="5" fillId="0" borderId="0" xfId="3" applyNumberFormat="1" applyFont="1" applyFill="1" applyBorder="1"/>
    <xf numFmtId="0" fontId="4" fillId="0" borderId="0" xfId="3" applyFont="1" applyFill="1" applyBorder="1"/>
    <xf numFmtId="2" fontId="10" fillId="0" borderId="0" xfId="3" applyNumberFormat="1" applyFont="1" applyFill="1" applyBorder="1"/>
    <xf numFmtId="164" fontId="5" fillId="0" borderId="0" xfId="3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" fontId="8" fillId="0" borderId="0" xfId="3" applyNumberFormat="1" applyFont="1" applyBorder="1"/>
    <xf numFmtId="0" fontId="5" fillId="0" borderId="0" xfId="3" quotePrefix="1" applyFont="1" applyFill="1" applyBorder="1"/>
    <xf numFmtId="164" fontId="4" fillId="0" borderId="0" xfId="3" applyNumberFormat="1" applyFont="1" applyFill="1" applyBorder="1"/>
    <xf numFmtId="2" fontId="5" fillId="0" borderId="0" xfId="3" applyNumberFormat="1" applyFont="1" applyFill="1" applyBorder="1"/>
    <xf numFmtId="2" fontId="4" fillId="0" borderId="0" xfId="3" applyNumberFormat="1" applyFont="1" applyBorder="1"/>
    <xf numFmtId="164" fontId="4" fillId="0" borderId="0" xfId="4" applyNumberFormat="1" applyFont="1" applyFill="1" applyBorder="1" applyAlignment="1">
      <alignment horizontal="right"/>
    </xf>
    <xf numFmtId="164" fontId="4" fillId="0" borderId="0" xfId="5" applyNumberFormat="1" applyFont="1" applyFill="1" applyBorder="1"/>
    <xf numFmtId="0" fontId="19" fillId="8" borderId="0" xfId="6" applyFont="1" applyFill="1" applyAlignment="1">
      <alignment horizontal="left"/>
    </xf>
    <xf numFmtId="0" fontId="20" fillId="8" borderId="0" xfId="6" applyFont="1" applyFill="1" applyAlignment="1">
      <alignment horizontal="center"/>
    </xf>
    <xf numFmtId="0" fontId="21" fillId="8" borderId="0" xfId="6" applyFont="1" applyFill="1" applyAlignment="1">
      <alignment horizontal="right"/>
    </xf>
    <xf numFmtId="0" fontId="21" fillId="8" borderId="0" xfId="6" applyFont="1" applyFill="1" applyAlignment="1">
      <alignment horizontal="left"/>
    </xf>
    <xf numFmtId="167" fontId="21" fillId="8" borderId="0" xfId="6" applyNumberFormat="1" applyFont="1" applyFill="1" applyAlignment="1">
      <alignment horizontal="left"/>
    </xf>
    <xf numFmtId="0" fontId="0" fillId="9" borderId="0" xfId="0" applyFill="1"/>
    <xf numFmtId="0" fontId="22" fillId="8" borderId="0" xfId="6" applyFont="1" applyFill="1"/>
    <xf numFmtId="0" fontId="23" fillId="10" borderId="0" xfId="6" applyFont="1" applyFill="1" applyAlignment="1">
      <alignment horizontal="left"/>
    </xf>
    <xf numFmtId="0" fontId="4" fillId="10" borderId="0" xfId="6" applyFont="1" applyFill="1" applyAlignment="1">
      <alignment horizontal="center"/>
    </xf>
    <xf numFmtId="0" fontId="24" fillId="10" borderId="0" xfId="6" applyFont="1" applyFill="1" applyAlignment="1">
      <alignment horizontal="center"/>
    </xf>
    <xf numFmtId="168" fontId="0" fillId="9" borderId="0" xfId="0" applyNumberFormat="1" applyFill="1"/>
    <xf numFmtId="0" fontId="23" fillId="0" borderId="6" xfId="0" applyFont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left" vertical="center"/>
    </xf>
    <xf numFmtId="4" fontId="2" fillId="0" borderId="7" xfId="0" applyNumberFormat="1" applyFont="1" applyFill="1" applyBorder="1"/>
    <xf numFmtId="169" fontId="0" fillId="0" borderId="6" xfId="0" applyNumberFormat="1" applyBorder="1"/>
    <xf numFmtId="169" fontId="2" fillId="6" borderId="6" xfId="0" applyNumberFormat="1" applyFont="1" applyFill="1" applyBorder="1"/>
    <xf numFmtId="169" fontId="2" fillId="0" borderId="7" xfId="0" applyNumberFormat="1" applyFont="1" applyFill="1" applyBorder="1"/>
    <xf numFmtId="170" fontId="0" fillId="0" borderId="6" xfId="0" applyNumberFormat="1" applyBorder="1"/>
    <xf numFmtId="170" fontId="2" fillId="6" borderId="6" xfId="0" applyNumberFormat="1" applyFont="1" applyFill="1" applyBorder="1"/>
    <xf numFmtId="0" fontId="23" fillId="10" borderId="0" xfId="6" applyFont="1" applyFill="1"/>
    <xf numFmtId="0" fontId="25" fillId="0" borderId="8" xfId="0" applyFont="1" applyFill="1" applyBorder="1" applyAlignment="1">
      <alignment horizontal="left" vertical="center"/>
    </xf>
    <xf numFmtId="4" fontId="2" fillId="0" borderId="8" xfId="0" applyNumberFormat="1" applyFont="1" applyFill="1" applyBorder="1"/>
    <xf numFmtId="164" fontId="0" fillId="9" borderId="6" xfId="0" applyNumberFormat="1" applyFont="1" applyFill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2" fontId="0" fillId="9" borderId="0" xfId="0" applyNumberFormat="1" applyFill="1"/>
    <xf numFmtId="164" fontId="2" fillId="6" borderId="6" xfId="0" applyNumberFormat="1" applyFont="1" applyFill="1" applyBorder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9" borderId="0" xfId="0" applyNumberFormat="1" applyFill="1"/>
    <xf numFmtId="164" fontId="2" fillId="9" borderId="6" xfId="0" applyNumberFormat="1" applyFont="1" applyFill="1" applyBorder="1" applyAlignment="1">
      <alignment horizontal="right"/>
    </xf>
    <xf numFmtId="2" fontId="0" fillId="9" borderId="6" xfId="0" applyNumberFormat="1" applyFont="1" applyFill="1" applyBorder="1" applyAlignment="1">
      <alignment horizontal="right"/>
    </xf>
    <xf numFmtId="171" fontId="0" fillId="9" borderId="6" xfId="0" applyNumberFormat="1" applyFont="1" applyFill="1" applyBorder="1" applyAlignment="1">
      <alignment horizontal="right"/>
    </xf>
    <xf numFmtId="164" fontId="27" fillId="9" borderId="6" xfId="0" applyNumberFormat="1" applyFont="1" applyFill="1" applyBorder="1" applyAlignment="1">
      <alignment horizontal="right"/>
    </xf>
    <xf numFmtId="164" fontId="0" fillId="6" borderId="6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>
      <alignment horizontal="right"/>
    </xf>
    <xf numFmtId="2" fontId="0" fillId="0" borderId="6" xfId="0" applyNumberFormat="1" applyFont="1" applyBorder="1" applyAlignment="1">
      <alignment horizontal="right"/>
    </xf>
    <xf numFmtId="172" fontId="0" fillId="0" borderId="6" xfId="0" applyNumberFormat="1" applyFont="1" applyBorder="1" applyAlignment="1">
      <alignment horizontal="right"/>
    </xf>
    <xf numFmtId="0" fontId="4" fillId="12" borderId="0" xfId="0" applyFont="1" applyFill="1" applyBorder="1"/>
    <xf numFmtId="0" fontId="4" fillId="12" borderId="0" xfId="0" applyFont="1" applyFill="1" applyBorder="1" applyAlignment="1">
      <alignment horizontal="center" vertical="center"/>
    </xf>
    <xf numFmtId="0" fontId="2" fillId="12" borderId="1" xfId="3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2" fillId="12" borderId="1" xfId="3" applyFont="1" applyFill="1" applyBorder="1"/>
    <xf numFmtId="0" fontId="2" fillId="12" borderId="3" xfId="3" applyFont="1" applyFill="1" applyBorder="1"/>
    <xf numFmtId="0" fontId="2" fillId="12" borderId="2" xfId="3" applyFont="1" applyFill="1" applyBorder="1"/>
    <xf numFmtId="164" fontId="6" fillId="0" borderId="1" xfId="3" applyNumberFormat="1" applyFont="1" applyBorder="1"/>
    <xf numFmtId="165" fontId="9" fillId="0" borderId="0" xfId="4" applyNumberFormat="1" applyFont="1" applyBorder="1"/>
    <xf numFmtId="0" fontId="4" fillId="4" borderId="4" xfId="0" applyFont="1" applyFill="1" applyBorder="1"/>
    <xf numFmtId="0" fontId="4" fillId="4" borderId="9" xfId="3" applyFont="1" applyFill="1" applyBorder="1"/>
    <xf numFmtId="164" fontId="4" fillId="4" borderId="4" xfId="3" applyNumberFormat="1" applyFont="1" applyFill="1" applyBorder="1"/>
    <xf numFmtId="0" fontId="4" fillId="4" borderId="4" xfId="3" applyFont="1" applyFill="1" applyBorder="1"/>
    <xf numFmtId="164" fontId="5" fillId="4" borderId="3" xfId="3" applyNumberFormat="1" applyFont="1" applyFill="1" applyBorder="1" applyAlignment="1">
      <alignment horizontal="center" vertical="center"/>
    </xf>
    <xf numFmtId="0" fontId="4" fillId="4" borderId="2" xfId="3" applyFont="1" applyFill="1" applyBorder="1"/>
    <xf numFmtId="164" fontId="4" fillId="4" borderId="3" xfId="3" applyNumberFormat="1" applyFont="1" applyFill="1" applyBorder="1"/>
    <xf numFmtId="0" fontId="4" fillId="4" borderId="3" xfId="3" applyFont="1" applyFill="1" applyBorder="1"/>
    <xf numFmtId="164" fontId="4" fillId="4" borderId="2" xfId="3" applyNumberFormat="1" applyFont="1" applyFill="1" applyBorder="1"/>
    <xf numFmtId="164" fontId="5" fillId="4" borderId="5" xfId="3" applyNumberFormat="1" applyFont="1" applyFill="1" applyBorder="1" applyAlignment="1">
      <alignment horizontal="center" vertical="center"/>
    </xf>
    <xf numFmtId="0" fontId="4" fillId="4" borderId="10" xfId="3" applyFont="1" applyFill="1" applyBorder="1"/>
    <xf numFmtId="164" fontId="4" fillId="4" borderId="5" xfId="3" applyNumberFormat="1" applyFont="1" applyFill="1" applyBorder="1"/>
    <xf numFmtId="0" fontId="4" fillId="4" borderId="5" xfId="3" applyFont="1" applyFill="1" applyBorder="1"/>
    <xf numFmtId="164" fontId="4" fillId="0" borderId="0" xfId="0" applyNumberFormat="1" applyFont="1" applyFill="1" applyBorder="1"/>
    <xf numFmtId="0" fontId="4" fillId="7" borderId="1" xfId="0" applyFont="1" applyFill="1" applyBorder="1"/>
    <xf numFmtId="164" fontId="4" fillId="7" borderId="1" xfId="0" applyNumberFormat="1" applyFont="1" applyFill="1" applyBorder="1"/>
    <xf numFmtId="164" fontId="4" fillId="7" borderId="3" xfId="0" applyNumberFormat="1" applyFont="1" applyFill="1" applyBorder="1"/>
    <xf numFmtId="0" fontId="4" fillId="7" borderId="3" xfId="0" applyFont="1" applyFill="1" applyBorder="1"/>
    <xf numFmtId="0" fontId="4" fillId="5" borderId="4" xfId="0" applyFont="1" applyFill="1" applyBorder="1"/>
    <xf numFmtId="164" fontId="4" fillId="5" borderId="9" xfId="3" applyNumberFormat="1" applyFont="1" applyFill="1" applyBorder="1" applyAlignment="1">
      <alignment horizontal="center" vertical="center"/>
    </xf>
    <xf numFmtId="164" fontId="4" fillId="5" borderId="4" xfId="3" applyNumberFormat="1" applyFont="1" applyFill="1" applyBorder="1" applyAlignment="1">
      <alignment horizontal="center" vertical="center"/>
    </xf>
    <xf numFmtId="164" fontId="5" fillId="5" borderId="3" xfId="3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/>
    <xf numFmtId="164" fontId="5" fillId="5" borderId="5" xfId="3" applyNumberFormat="1" applyFont="1" applyFill="1" applyBorder="1" applyAlignment="1">
      <alignment horizontal="center" vertical="center"/>
    </xf>
    <xf numFmtId="164" fontId="4" fillId="5" borderId="10" xfId="3" applyNumberFormat="1" applyFont="1" applyFill="1" applyBorder="1" applyAlignment="1">
      <alignment horizontal="center" vertical="center"/>
    </xf>
    <xf numFmtId="164" fontId="4" fillId="5" borderId="5" xfId="3" applyNumberFormat="1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8" xfId="0" applyFont="1" applyFill="1" applyBorder="1" applyAlignment="1">
      <alignment horizontal="center"/>
    </xf>
    <xf numFmtId="164" fontId="5" fillId="6" borderId="3" xfId="3" applyNumberFormat="1" applyFont="1" applyFill="1" applyBorder="1" applyAlignment="1">
      <alignment horizontal="center"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64" fontId="5" fillId="6" borderId="5" xfId="3" applyNumberFormat="1" applyFont="1" applyFill="1" applyBorder="1" applyAlignment="1">
      <alignment horizontal="center" vertical="center"/>
    </xf>
    <xf numFmtId="164" fontId="4" fillId="6" borderId="5" xfId="3" applyNumberFormat="1" applyFont="1" applyFill="1" applyBorder="1" applyAlignment="1">
      <alignment horizontal="center" vertical="center"/>
    </xf>
    <xf numFmtId="164" fontId="4" fillId="6" borderId="10" xfId="3" applyNumberFormat="1" applyFont="1" applyFill="1" applyBorder="1" applyAlignment="1">
      <alignment horizontal="center" vertical="center"/>
    </xf>
    <xf numFmtId="0" fontId="4" fillId="7" borderId="0" xfId="0" applyFont="1" applyFill="1" applyBorder="1"/>
    <xf numFmtId="0" fontId="4" fillId="7" borderId="2" xfId="0" applyFont="1" applyFill="1" applyBorder="1"/>
    <xf numFmtId="164" fontId="5" fillId="7" borderId="0" xfId="3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/>
    <xf numFmtId="164" fontId="4" fillId="7" borderId="0" xfId="0" applyNumberFormat="1" applyFont="1" applyFill="1" applyBorder="1"/>
    <xf numFmtId="0" fontId="5" fillId="7" borderId="0" xfId="0" applyFont="1" applyFill="1" applyBorder="1" applyAlignment="1"/>
    <xf numFmtId="0" fontId="4" fillId="7" borderId="3" xfId="3" applyFont="1" applyFill="1" applyBorder="1"/>
    <xf numFmtId="164" fontId="4" fillId="7" borderId="1" xfId="3" applyNumberFormat="1" applyFont="1" applyFill="1" applyBorder="1"/>
    <xf numFmtId="2" fontId="4" fillId="7" borderId="3" xfId="3" applyNumberFormat="1" applyFont="1" applyFill="1" applyBorder="1"/>
    <xf numFmtId="2" fontId="4" fillId="7" borderId="0" xfId="3" applyNumberFormat="1" applyFont="1" applyFill="1" applyBorder="1"/>
    <xf numFmtId="0" fontId="4" fillId="7" borderId="1" xfId="3" applyFont="1" applyFill="1" applyBorder="1"/>
    <xf numFmtId="167" fontId="21" fillId="8" borderId="0" xfId="6" applyNumberFormat="1" applyFont="1" applyFill="1" applyAlignment="1">
      <alignment horizontal="center"/>
    </xf>
    <xf numFmtId="0" fontId="4" fillId="9" borderId="0" xfId="6" applyFont="1" applyFill="1"/>
    <xf numFmtId="0" fontId="29" fillId="9" borderId="0" xfId="6" applyFont="1" applyFill="1" applyAlignment="1">
      <alignment horizontal="center"/>
    </xf>
    <xf numFmtId="0" fontId="24" fillId="9" borderId="0" xfId="6" applyFont="1" applyFill="1" applyAlignment="1">
      <alignment horizontal="center"/>
    </xf>
    <xf numFmtId="0" fontId="4" fillId="9" borderId="0" xfId="6" applyFont="1" applyFill="1" applyAlignment="1">
      <alignment horizontal="center"/>
    </xf>
    <xf numFmtId="0" fontId="30" fillId="9" borderId="0" xfId="6" applyFont="1" applyFill="1"/>
    <xf numFmtId="0" fontId="31" fillId="9" borderId="0" xfId="6" applyFont="1" applyFill="1" applyAlignment="1">
      <alignment horizontal="center"/>
    </xf>
    <xf numFmtId="0" fontId="30" fillId="9" borderId="0" xfId="0" applyFont="1" applyFill="1"/>
    <xf numFmtId="167" fontId="31" fillId="9" borderId="0" xfId="6" applyNumberFormat="1" applyFont="1" applyFill="1" applyAlignment="1">
      <alignment horizontal="center"/>
    </xf>
    <xf numFmtId="0" fontId="4" fillId="8" borderId="0" xfId="6" applyFont="1" applyFill="1" applyAlignment="1">
      <alignment horizontal="center"/>
    </xf>
    <xf numFmtId="0" fontId="4" fillId="9" borderId="11" xfId="6" applyFont="1" applyFill="1" applyBorder="1"/>
    <xf numFmtId="0" fontId="5" fillId="9" borderId="12" xfId="6" applyFont="1" applyFill="1" applyBorder="1" applyAlignment="1">
      <alignment horizontal="center"/>
    </xf>
    <xf numFmtId="0" fontId="5" fillId="9" borderId="13" xfId="6" applyFont="1" applyFill="1" applyBorder="1" applyAlignment="1">
      <alignment horizontal="center"/>
    </xf>
    <xf numFmtId="0" fontId="5" fillId="9" borderId="14" xfId="6" applyFont="1" applyFill="1" applyBorder="1" applyAlignment="1">
      <alignment horizontal="center"/>
    </xf>
    <xf numFmtId="0" fontId="4" fillId="9" borderId="15" xfId="6" applyFont="1" applyFill="1" applyBorder="1"/>
    <xf numFmtId="164" fontId="4" fillId="9" borderId="0" xfId="6" applyNumberFormat="1" applyFont="1" applyFill="1" applyBorder="1" applyAlignment="1">
      <alignment horizontal="center"/>
    </xf>
    <xf numFmtId="166" fontId="4" fillId="9" borderId="16" xfId="7" applyNumberFormat="1" applyFont="1" applyFill="1" applyBorder="1" applyAlignment="1">
      <alignment horizontal="center"/>
    </xf>
    <xf numFmtId="166" fontId="4" fillId="9" borderId="17" xfId="7" applyNumberFormat="1" applyFont="1" applyFill="1" applyBorder="1" applyAlignment="1">
      <alignment horizontal="center"/>
    </xf>
    <xf numFmtId="166" fontId="4" fillId="9" borderId="18" xfId="7" applyNumberFormat="1" applyFont="1" applyFill="1" applyBorder="1" applyAlignment="1">
      <alignment horizontal="center"/>
    </xf>
    <xf numFmtId="164" fontId="4" fillId="9" borderId="0" xfId="6" applyNumberFormat="1" applyFont="1" applyFill="1"/>
    <xf numFmtId="166" fontId="4" fillId="9" borderId="19" xfId="7" applyNumberFormat="1" applyFont="1" applyFill="1" applyBorder="1" applyAlignment="1">
      <alignment horizontal="center"/>
    </xf>
    <xf numFmtId="166" fontId="4" fillId="9" borderId="0" xfId="7" applyNumberFormat="1" applyFont="1" applyFill="1" applyBorder="1" applyAlignment="1">
      <alignment horizontal="center"/>
    </xf>
    <xf numFmtId="166" fontId="4" fillId="9" borderId="20" xfId="7" applyNumberFormat="1" applyFont="1" applyFill="1" applyBorder="1" applyAlignment="1">
      <alignment horizontal="center"/>
    </xf>
    <xf numFmtId="0" fontId="4" fillId="9" borderId="21" xfId="6" applyFont="1" applyFill="1" applyBorder="1"/>
    <xf numFmtId="164" fontId="32" fillId="9" borderId="22" xfId="6" applyNumberFormat="1" applyFont="1" applyFill="1" applyBorder="1" applyAlignment="1">
      <alignment horizontal="center"/>
    </xf>
    <xf numFmtId="166" fontId="4" fillId="9" borderId="23" xfId="7" applyNumberFormat="1" applyFont="1" applyFill="1" applyBorder="1" applyAlignment="1">
      <alignment horizontal="center"/>
    </xf>
    <xf numFmtId="166" fontId="4" fillId="9" borderId="22" xfId="7" applyNumberFormat="1" applyFont="1" applyFill="1" applyBorder="1" applyAlignment="1">
      <alignment horizontal="center"/>
    </xf>
    <xf numFmtId="166" fontId="4" fillId="9" borderId="24" xfId="7" applyNumberFormat="1" applyFont="1" applyFill="1" applyBorder="1" applyAlignment="1">
      <alignment horizontal="center"/>
    </xf>
    <xf numFmtId="14" fontId="4" fillId="9" borderId="0" xfId="6" applyNumberFormat="1" applyFont="1" applyFill="1"/>
    <xf numFmtId="2" fontId="24" fillId="9" borderId="0" xfId="6" applyNumberFormat="1" applyFont="1" applyFill="1" applyAlignment="1">
      <alignment horizontal="center"/>
    </xf>
    <xf numFmtId="0" fontId="33" fillId="9" borderId="13" xfId="6" applyFont="1" applyFill="1" applyBorder="1" applyAlignment="1">
      <alignment horizontal="center"/>
    </xf>
    <xf numFmtId="0" fontId="33" fillId="9" borderId="12" xfId="6" applyFont="1" applyFill="1" applyBorder="1" applyAlignment="1">
      <alignment horizontal="center"/>
    </xf>
    <xf numFmtId="0" fontId="33" fillId="9" borderId="14" xfId="6" applyFont="1" applyFill="1" applyBorder="1" applyAlignment="1">
      <alignment horizontal="center"/>
    </xf>
    <xf numFmtId="164" fontId="32" fillId="9" borderId="16" xfId="6" applyNumberFormat="1" applyFont="1" applyFill="1" applyBorder="1" applyAlignment="1">
      <alignment horizontal="center"/>
    </xf>
    <xf numFmtId="164" fontId="32" fillId="9" borderId="17" xfId="6" applyNumberFormat="1" applyFont="1" applyFill="1" applyBorder="1" applyAlignment="1">
      <alignment horizontal="center"/>
    </xf>
    <xf numFmtId="164" fontId="32" fillId="9" borderId="18" xfId="6" applyNumberFormat="1" applyFont="1" applyFill="1" applyBorder="1" applyAlignment="1">
      <alignment horizontal="center"/>
    </xf>
    <xf numFmtId="166" fontId="33" fillId="9" borderId="16" xfId="7" applyNumberFormat="1" applyFont="1" applyFill="1" applyBorder="1" applyAlignment="1">
      <alignment horizontal="center"/>
    </xf>
    <xf numFmtId="166" fontId="33" fillId="9" borderId="17" xfId="7" applyNumberFormat="1" applyFont="1" applyFill="1" applyBorder="1" applyAlignment="1">
      <alignment horizontal="center"/>
    </xf>
    <xf numFmtId="166" fontId="33" fillId="9" borderId="18" xfId="7" applyNumberFormat="1" applyFont="1" applyFill="1" applyBorder="1" applyAlignment="1">
      <alignment horizontal="center"/>
    </xf>
    <xf numFmtId="172" fontId="4" fillId="9" borderId="0" xfId="6" applyNumberFormat="1" applyFont="1" applyFill="1"/>
    <xf numFmtId="2" fontId="4" fillId="9" borderId="0" xfId="6" applyNumberFormat="1" applyFont="1" applyFill="1"/>
    <xf numFmtId="164" fontId="32" fillId="9" borderId="19" xfId="6" applyNumberFormat="1" applyFont="1" applyFill="1" applyBorder="1" applyAlignment="1">
      <alignment horizontal="center"/>
    </xf>
    <xf numFmtId="164" fontId="32" fillId="9" borderId="0" xfId="6" applyNumberFormat="1" applyFont="1" applyFill="1" applyBorder="1" applyAlignment="1">
      <alignment horizontal="center"/>
    </xf>
    <xf numFmtId="164" fontId="32" fillId="9" borderId="20" xfId="6" applyNumberFormat="1" applyFont="1" applyFill="1" applyBorder="1" applyAlignment="1">
      <alignment horizontal="center"/>
    </xf>
    <xf numFmtId="166" fontId="33" fillId="9" borderId="19" xfId="7" applyNumberFormat="1" applyFont="1" applyFill="1" applyBorder="1" applyAlignment="1">
      <alignment horizontal="center"/>
    </xf>
    <xf numFmtId="166" fontId="33" fillId="9" borderId="0" xfId="7" applyNumberFormat="1" applyFont="1" applyFill="1" applyBorder="1" applyAlignment="1">
      <alignment horizontal="center"/>
    </xf>
    <xf numFmtId="166" fontId="33" fillId="9" borderId="20" xfId="7" applyNumberFormat="1" applyFont="1" applyFill="1" applyBorder="1" applyAlignment="1">
      <alignment horizontal="center"/>
    </xf>
    <xf numFmtId="164" fontId="4" fillId="9" borderId="19" xfId="6" applyNumberFormat="1" applyFont="1" applyFill="1" applyBorder="1" applyAlignment="1">
      <alignment horizontal="center"/>
    </xf>
    <xf numFmtId="164" fontId="4" fillId="9" borderId="23" xfId="6" applyNumberFormat="1" applyFont="1" applyFill="1" applyBorder="1" applyAlignment="1">
      <alignment horizontal="center"/>
    </xf>
    <xf numFmtId="164" fontId="32" fillId="9" borderId="24" xfId="6" applyNumberFormat="1" applyFont="1" applyFill="1" applyBorder="1" applyAlignment="1">
      <alignment horizontal="center"/>
    </xf>
    <xf numFmtId="166" fontId="33" fillId="9" borderId="23" xfId="7" applyNumberFormat="1" applyFont="1" applyFill="1" applyBorder="1" applyAlignment="1">
      <alignment horizontal="center"/>
    </xf>
    <xf numFmtId="166" fontId="33" fillId="9" borderId="22" xfId="7" applyNumberFormat="1" applyFont="1" applyFill="1" applyBorder="1" applyAlignment="1">
      <alignment horizontal="center"/>
    </xf>
    <xf numFmtId="166" fontId="33" fillId="9" borderId="24" xfId="7" applyNumberFormat="1" applyFont="1" applyFill="1" applyBorder="1" applyAlignment="1">
      <alignment horizontal="center"/>
    </xf>
    <xf numFmtId="173" fontId="4" fillId="9" borderId="15" xfId="8" applyFont="1" applyFill="1" applyBorder="1"/>
    <xf numFmtId="164" fontId="34" fillId="9" borderId="0" xfId="6" applyNumberFormat="1" applyFont="1" applyFill="1" applyBorder="1" applyAlignment="1">
      <alignment horizontal="center"/>
    </xf>
    <xf numFmtId="166" fontId="4" fillId="9" borderId="0" xfId="2" applyNumberFormat="1" applyFont="1" applyFill="1"/>
    <xf numFmtId="173" fontId="33" fillId="9" borderId="15" xfId="8" applyFont="1" applyFill="1" applyBorder="1"/>
    <xf numFmtId="164" fontId="35" fillId="9" borderId="0" xfId="6" applyNumberFormat="1" applyFont="1" applyFill="1" applyBorder="1" applyAlignment="1">
      <alignment horizontal="center"/>
    </xf>
    <xf numFmtId="164" fontId="33" fillId="9" borderId="0" xfId="6" applyNumberFormat="1" applyFont="1" applyFill="1" applyBorder="1" applyAlignment="1">
      <alignment horizontal="center"/>
    </xf>
    <xf numFmtId="164" fontId="4" fillId="9" borderId="22" xfId="6" applyNumberFormat="1" applyFont="1" applyFill="1" applyBorder="1" applyAlignment="1">
      <alignment horizontal="center"/>
    </xf>
    <xf numFmtId="14" fontId="4" fillId="9" borderId="11" xfId="9" applyNumberFormat="1" applyFont="1" applyFill="1" applyBorder="1"/>
    <xf numFmtId="164" fontId="36" fillId="9" borderId="12" xfId="9" applyNumberFormat="1" applyFont="1" applyFill="1" applyBorder="1" applyAlignment="1">
      <alignment horizontal="center"/>
    </xf>
    <xf numFmtId="166" fontId="33" fillId="9" borderId="13" xfId="7" applyNumberFormat="1" applyFont="1" applyFill="1" applyBorder="1" applyAlignment="1">
      <alignment horizontal="center"/>
    </xf>
    <xf numFmtId="166" fontId="33" fillId="9" borderId="12" xfId="7" applyNumberFormat="1" applyFont="1" applyFill="1" applyBorder="1" applyAlignment="1">
      <alignment horizontal="center"/>
    </xf>
    <xf numFmtId="166" fontId="33" fillId="9" borderId="14" xfId="7" applyNumberFormat="1" applyFont="1" applyFill="1" applyBorder="1" applyAlignment="1">
      <alignment horizontal="center"/>
    </xf>
    <xf numFmtId="14" fontId="4" fillId="9" borderId="0" xfId="9" applyNumberFormat="1" applyFont="1" applyFill="1" applyBorder="1"/>
    <xf numFmtId="164" fontId="36" fillId="9" borderId="0" xfId="9" applyNumberFormat="1" applyFont="1" applyFill="1" applyBorder="1" applyAlignment="1">
      <alignment horizontal="center"/>
    </xf>
    <xf numFmtId="1" fontId="24" fillId="9" borderId="0" xfId="6" applyNumberFormat="1" applyFont="1" applyFill="1" applyAlignment="1">
      <alignment horizontal="center"/>
    </xf>
    <xf numFmtId="0" fontId="4" fillId="9" borderId="11" xfId="6" applyFont="1" applyFill="1" applyBorder="1" applyAlignment="1">
      <alignment horizontal="left"/>
    </xf>
    <xf numFmtId="1" fontId="35" fillId="9" borderId="0" xfId="6" applyNumberFormat="1" applyFont="1" applyFill="1" applyBorder="1" applyAlignment="1">
      <alignment horizontal="center"/>
    </xf>
    <xf numFmtId="172" fontId="32" fillId="9" borderId="22" xfId="6" applyNumberFormat="1" applyFont="1" applyFill="1" applyBorder="1" applyAlignment="1">
      <alignment horizontal="center"/>
    </xf>
    <xf numFmtId="0" fontId="37" fillId="9" borderId="0" xfId="6" applyFont="1" applyFill="1"/>
    <xf numFmtId="0" fontId="38" fillId="8" borderId="0" xfId="6" applyFont="1" applyFill="1" applyAlignment="1">
      <alignment horizontal="center"/>
    </xf>
    <xf numFmtId="174" fontId="4" fillId="9" borderId="0" xfId="6" applyNumberFormat="1" applyFont="1" applyFill="1" applyBorder="1" applyAlignment="1">
      <alignment horizontal="center"/>
    </xf>
    <xf numFmtId="0" fontId="5" fillId="9" borderId="21" xfId="6" applyFont="1" applyFill="1" applyBorder="1"/>
    <xf numFmtId="164" fontId="5" fillId="9" borderId="22" xfId="6" applyNumberFormat="1" applyFont="1" applyFill="1" applyBorder="1" applyAlignment="1">
      <alignment horizontal="center"/>
    </xf>
    <xf numFmtId="2" fontId="4" fillId="9" borderId="0" xfId="6" applyNumberFormat="1" applyFont="1" applyFill="1" applyBorder="1" applyAlignment="1">
      <alignment horizontal="center"/>
    </xf>
    <xf numFmtId="164" fontId="4" fillId="9" borderId="20" xfId="6" applyNumberFormat="1" applyFont="1" applyFill="1" applyBorder="1" applyAlignment="1">
      <alignment horizontal="center"/>
    </xf>
    <xf numFmtId="2" fontId="4" fillId="9" borderId="0" xfId="6" applyNumberFormat="1" applyFont="1" applyFill="1" applyAlignment="1">
      <alignment horizontal="center"/>
    </xf>
    <xf numFmtId="0" fontId="4" fillId="9" borderId="11" xfId="0" applyFont="1" applyFill="1" applyBorder="1"/>
    <xf numFmtId="2" fontId="5" fillId="9" borderId="22" xfId="6" applyNumberFormat="1" applyFont="1" applyFill="1" applyBorder="1" applyAlignment="1">
      <alignment horizontal="center"/>
    </xf>
    <xf numFmtId="9" fontId="4" fillId="9" borderId="0" xfId="2" applyFont="1" applyFill="1"/>
    <xf numFmtId="164" fontId="0" fillId="9" borderId="0" xfId="0" applyNumberFormat="1" applyFill="1" applyAlignment="1">
      <alignment horizontal="center"/>
    </xf>
    <xf numFmtId="2" fontId="32" fillId="9" borderId="0" xfId="8" applyNumberFormat="1" applyFont="1" applyFill="1" applyBorder="1" applyAlignment="1">
      <alignment horizontal="center"/>
    </xf>
    <xf numFmtId="3" fontId="32" fillId="9" borderId="0" xfId="8" applyNumberFormat="1" applyFont="1" applyFill="1" applyBorder="1" applyAlignment="1">
      <alignment horizontal="center"/>
    </xf>
    <xf numFmtId="172" fontId="32" fillId="9" borderId="22" xfId="8" applyNumberFormat="1" applyFont="1" applyFill="1" applyBorder="1" applyAlignment="1">
      <alignment horizontal="center"/>
    </xf>
    <xf numFmtId="2" fontId="32" fillId="9" borderId="0" xfId="6" applyNumberFormat="1" applyFont="1" applyFill="1" applyBorder="1" applyAlignment="1">
      <alignment horizontal="center"/>
    </xf>
    <xf numFmtId="164" fontId="4" fillId="9" borderId="0" xfId="6" applyNumberFormat="1" applyFont="1" applyFill="1" applyAlignment="1">
      <alignment horizontal="center"/>
    </xf>
    <xf numFmtId="172" fontId="4" fillId="9" borderId="0" xfId="6" applyNumberFormat="1" applyFont="1" applyFill="1" applyAlignment="1">
      <alignment horizontal="center"/>
    </xf>
    <xf numFmtId="164" fontId="4" fillId="10" borderId="0" xfId="6" applyNumberFormat="1" applyFont="1" applyFill="1" applyAlignment="1">
      <alignment horizontal="center"/>
    </xf>
    <xf numFmtId="164" fontId="4" fillId="9" borderId="0" xfId="6" applyNumberFormat="1" applyFont="1" applyFill="1" applyBorder="1"/>
    <xf numFmtId="0" fontId="4" fillId="9" borderId="19" xfId="6" applyFont="1" applyFill="1" applyBorder="1"/>
    <xf numFmtId="0" fontId="4" fillId="9" borderId="0" xfId="6" applyFont="1" applyFill="1" applyBorder="1"/>
    <xf numFmtId="164" fontId="32" fillId="9" borderId="0" xfId="8" applyNumberFormat="1" applyFont="1" applyFill="1" applyBorder="1" applyAlignment="1">
      <alignment horizontal="center"/>
    </xf>
    <xf numFmtId="4" fontId="4" fillId="9" borderId="0" xfId="6" applyNumberFormat="1" applyFont="1" applyFill="1" applyBorder="1" applyAlignment="1">
      <alignment horizontal="center"/>
    </xf>
    <xf numFmtId="3" fontId="32" fillId="9" borderId="22" xfId="6" applyNumberFormat="1" applyFont="1" applyFill="1" applyBorder="1" applyAlignment="1">
      <alignment horizontal="center"/>
    </xf>
    <xf numFmtId="0" fontId="5" fillId="9" borderId="15" xfId="6" applyFont="1" applyFill="1" applyBorder="1"/>
    <xf numFmtId="169" fontId="4" fillId="9" borderId="0" xfId="6" applyNumberFormat="1" applyFont="1" applyFill="1" applyBorder="1" applyAlignment="1">
      <alignment horizontal="center"/>
    </xf>
    <xf numFmtId="0" fontId="4" fillId="9" borderId="19" xfId="6" applyFont="1" applyFill="1" applyBorder="1" applyAlignment="1">
      <alignment horizontal="center"/>
    </xf>
    <xf numFmtId="0" fontId="4" fillId="9" borderId="0" xfId="6" applyFont="1" applyFill="1" applyBorder="1" applyAlignment="1">
      <alignment horizontal="center"/>
    </xf>
    <xf numFmtId="0" fontId="4" fillId="9" borderId="20" xfId="6" applyFont="1" applyFill="1" applyBorder="1" applyAlignment="1">
      <alignment horizontal="center"/>
    </xf>
    <xf numFmtId="1" fontId="32" fillId="9" borderId="0" xfId="6" applyNumberFormat="1" applyFont="1" applyFill="1" applyBorder="1" applyAlignment="1">
      <alignment horizontal="center"/>
    </xf>
    <xf numFmtId="169" fontId="39" fillId="9" borderId="0" xfId="6" applyNumberFormat="1" applyFont="1" applyFill="1" applyBorder="1" applyAlignment="1">
      <alignment horizontal="center"/>
    </xf>
    <xf numFmtId="169" fontId="39" fillId="9" borderId="20" xfId="6" applyNumberFormat="1" applyFont="1" applyFill="1" applyBorder="1" applyAlignment="1">
      <alignment horizontal="center"/>
    </xf>
    <xf numFmtId="10" fontId="4" fillId="9" borderId="0" xfId="2" applyNumberFormat="1" applyFont="1" applyFill="1"/>
    <xf numFmtId="1" fontId="4" fillId="9" borderId="22" xfId="6" applyNumberFormat="1" applyFont="1" applyFill="1" applyBorder="1" applyAlignment="1">
      <alignment horizontal="center"/>
    </xf>
    <xf numFmtId="3" fontId="4" fillId="9" borderId="0" xfId="6" applyNumberFormat="1" applyFont="1" applyFill="1" applyBorder="1" applyAlignment="1">
      <alignment horizontal="center"/>
    </xf>
    <xf numFmtId="9" fontId="4" fillId="9" borderId="0" xfId="2" applyFont="1" applyFill="1" applyAlignment="1">
      <alignment horizontal="center"/>
    </xf>
    <xf numFmtId="3" fontId="4" fillId="10" borderId="0" xfId="6" applyNumberFormat="1" applyFont="1" applyFill="1" applyBorder="1" applyAlignment="1">
      <alignment horizontal="center"/>
    </xf>
    <xf numFmtId="14" fontId="4" fillId="9" borderId="0" xfId="6" applyNumberFormat="1" applyFont="1" applyFill="1" applyAlignment="1">
      <alignment horizontal="center"/>
    </xf>
    <xf numFmtId="0" fontId="23" fillId="10" borderId="0" xfId="6" applyFont="1" applyFill="1" applyAlignment="1">
      <alignment horizontal="center"/>
    </xf>
    <xf numFmtId="0" fontId="37" fillId="9" borderId="0" xfId="6" applyFont="1" applyFill="1" applyBorder="1"/>
    <xf numFmtId="0" fontId="4" fillId="9" borderId="25" xfId="6" applyFont="1" applyFill="1" applyBorder="1"/>
    <xf numFmtId="164" fontId="32" fillId="0" borderId="16" xfId="6" applyNumberFormat="1" applyFont="1" applyFill="1" applyBorder="1" applyAlignment="1">
      <alignment horizontal="center"/>
    </xf>
    <xf numFmtId="2" fontId="32" fillId="9" borderId="18" xfId="6" applyNumberFormat="1" applyFont="1" applyFill="1" applyBorder="1" applyAlignment="1">
      <alignment horizontal="center"/>
    </xf>
    <xf numFmtId="172" fontId="32" fillId="9" borderId="23" xfId="6" applyNumberFormat="1" applyFont="1" applyFill="1" applyBorder="1" applyAlignment="1">
      <alignment horizontal="center"/>
    </xf>
    <xf numFmtId="172" fontId="32" fillId="9" borderId="24" xfId="6" applyNumberFormat="1" applyFont="1" applyFill="1" applyBorder="1" applyAlignment="1">
      <alignment horizontal="center"/>
    </xf>
    <xf numFmtId="0" fontId="40" fillId="9" borderId="0" xfId="0" applyFont="1" applyFill="1"/>
    <xf numFmtId="166" fontId="4" fillId="9" borderId="0" xfId="6" applyNumberFormat="1" applyFont="1" applyFill="1"/>
    <xf numFmtId="0" fontId="5" fillId="9" borderId="17" xfId="6" applyFont="1" applyFill="1" applyBorder="1"/>
    <xf numFmtId="49" fontId="24" fillId="9" borderId="0" xfId="6" applyNumberFormat="1" applyFont="1" applyFill="1" applyAlignment="1">
      <alignment horizontal="center"/>
    </xf>
    <xf numFmtId="0" fontId="5" fillId="9" borderId="0" xfId="6" applyFont="1" applyFill="1" applyBorder="1"/>
    <xf numFmtId="0" fontId="4" fillId="9" borderId="15" xfId="6" applyFont="1" applyFill="1" applyBorder="1" applyAlignment="1">
      <alignment horizontal="left"/>
    </xf>
    <xf numFmtId="0" fontId="4" fillId="9" borderId="21" xfId="6" applyFont="1" applyFill="1" applyBorder="1" applyAlignment="1">
      <alignment horizontal="left"/>
    </xf>
    <xf numFmtId="172" fontId="32" fillId="9" borderId="0" xfId="6" applyNumberFormat="1" applyFont="1" applyFill="1" applyBorder="1" applyAlignment="1">
      <alignment horizontal="center"/>
    </xf>
    <xf numFmtId="3" fontId="32" fillId="9" borderId="22" xfId="7" applyNumberFormat="1" applyFont="1" applyFill="1" applyBorder="1" applyAlignment="1">
      <alignment horizontal="center"/>
    </xf>
    <xf numFmtId="1" fontId="4" fillId="9" borderId="0" xfId="6" applyNumberFormat="1" applyFont="1" applyFill="1"/>
    <xf numFmtId="164" fontId="4" fillId="13" borderId="1" xfId="0" applyNumberFormat="1" applyFont="1" applyFill="1" applyBorder="1"/>
    <xf numFmtId="164" fontId="4" fillId="13" borderId="3" xfId="0" applyNumberFormat="1" applyFont="1" applyFill="1" applyBorder="1"/>
    <xf numFmtId="164" fontId="4" fillId="15" borderId="1" xfId="0" applyNumberFormat="1" applyFont="1" applyFill="1" applyBorder="1"/>
    <xf numFmtId="172" fontId="6" fillId="0" borderId="1" xfId="3" applyNumberFormat="1" applyFont="1" applyBorder="1"/>
    <xf numFmtId="2" fontId="4" fillId="13" borderId="3" xfId="0" applyNumberFormat="1" applyFont="1" applyFill="1" applyBorder="1"/>
    <xf numFmtId="0" fontId="4" fillId="15" borderId="1" xfId="0" applyFont="1" applyFill="1" applyBorder="1"/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25" fillId="6" borderId="6" xfId="0" applyFont="1" applyFill="1" applyBorder="1" applyAlignment="1">
      <alignment horizontal="left" vertical="center"/>
    </xf>
    <xf numFmtId="4" fontId="0" fillId="0" borderId="6" xfId="0" applyNumberFormat="1" applyBorder="1"/>
    <xf numFmtId="0" fontId="26" fillId="0" borderId="6" xfId="0" applyFont="1" applyBorder="1" applyAlignment="1">
      <alignment horizontal="left" vertical="center"/>
    </xf>
    <xf numFmtId="0" fontId="1" fillId="10" borderId="0" xfId="0" applyFont="1" applyFill="1"/>
    <xf numFmtId="0" fontId="41" fillId="10" borderId="0" xfId="0" applyFont="1" applyFill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/>
    <xf numFmtId="4" fontId="0" fillId="11" borderId="6" xfId="0" applyNumberFormat="1" applyFill="1" applyBorder="1"/>
    <xf numFmtId="4" fontId="2" fillId="6" borderId="6" xfId="0" applyNumberFormat="1" applyFont="1" applyFill="1" applyBorder="1"/>
    <xf numFmtId="175" fontId="0" fillId="0" borderId="6" xfId="0" applyNumberFormat="1" applyBorder="1"/>
    <xf numFmtId="164" fontId="4" fillId="15" borderId="3" xfId="0" applyNumberFormat="1" applyFont="1" applyFill="1" applyBorder="1" applyAlignment="1"/>
    <xf numFmtId="164" fontId="4" fillId="13" borderId="0" xfId="3" applyNumberFormat="1" applyFont="1" applyFill="1" applyBorder="1"/>
    <xf numFmtId="0" fontId="28" fillId="0" borderId="0" xfId="3" applyFont="1" applyBorder="1"/>
    <xf numFmtId="164" fontId="0" fillId="13" borderId="0" xfId="0" applyNumberFormat="1" applyFill="1"/>
    <xf numFmtId="2" fontId="4" fillId="13" borderId="1" xfId="0" applyNumberFormat="1" applyFont="1" applyFill="1" applyBorder="1"/>
    <xf numFmtId="2" fontId="4" fillId="14" borderId="1" xfId="0" applyNumberFormat="1" applyFont="1" applyFill="1" applyBorder="1"/>
    <xf numFmtId="0" fontId="4" fillId="6" borderId="0" xfId="3" applyFont="1" applyFill="1" applyBorder="1" applyAlignment="1">
      <alignment horizontal="center" vertical="center" wrapText="1"/>
    </xf>
    <xf numFmtId="164" fontId="5" fillId="6" borderId="0" xfId="3" applyNumberFormat="1" applyFont="1" applyFill="1" applyBorder="1" applyAlignment="1">
      <alignment horizontal="center" vertical="center"/>
    </xf>
    <xf numFmtId="164" fontId="4" fillId="6" borderId="0" xfId="3" applyNumberFormat="1" applyFont="1" applyFill="1" applyBorder="1" applyAlignment="1">
      <alignment horizontal="center" vertical="center"/>
    </xf>
    <xf numFmtId="164" fontId="4" fillId="13" borderId="0" xfId="0" applyNumberFormat="1" applyFont="1" applyFill="1" applyBorder="1"/>
    <xf numFmtId="164" fontId="28" fillId="0" borderId="1" xfId="3" applyNumberFormat="1" applyFont="1" applyBorder="1"/>
    <xf numFmtId="164" fontId="28" fillId="0" borderId="0" xfId="0" applyNumberFormat="1" applyFont="1" applyBorder="1" applyAlignment="1">
      <alignment horizontal="center"/>
    </xf>
    <xf numFmtId="164" fontId="4" fillId="6" borderId="1" xfId="3" applyNumberFormat="1" applyFont="1" applyFill="1" applyBorder="1" applyAlignment="1">
      <alignment horizontal="center" vertical="center"/>
    </xf>
    <xf numFmtId="0" fontId="7" fillId="0" borderId="0" xfId="0" applyFont="1" applyBorder="1"/>
    <xf numFmtId="2" fontId="28" fillId="0" borderId="0" xfId="3" applyNumberFormat="1" applyFont="1" applyBorder="1" applyAlignment="1">
      <alignment horizontal="center"/>
    </xf>
    <xf numFmtId="4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2" fillId="0" borderId="7" xfId="2" applyFont="1" applyFill="1" applyBorder="1"/>
    <xf numFmtId="172" fontId="0" fillId="9" borderId="6" xfId="0" applyNumberFormat="1" applyFont="1" applyFill="1" applyBorder="1" applyAlignment="1">
      <alignment horizontal="right"/>
    </xf>
    <xf numFmtId="164" fontId="28" fillId="0" borderId="0" xfId="0" applyNumberFormat="1" applyFont="1" applyBorder="1"/>
    <xf numFmtId="0" fontId="43" fillId="0" borderId="0" xfId="0" applyFont="1" applyAlignment="1">
      <alignment wrapText="1"/>
    </xf>
    <xf numFmtId="2" fontId="4" fillId="0" borderId="0" xfId="0" applyNumberFormat="1" applyFont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4" fillId="5" borderId="3" xfId="3" applyNumberFormat="1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 wrapText="1"/>
    </xf>
    <xf numFmtId="164" fontId="4" fillId="6" borderId="0" xfId="3" applyNumberFormat="1" applyFont="1" applyFill="1" applyBorder="1" applyAlignment="1">
      <alignment horizontal="center" vertical="center"/>
    </xf>
    <xf numFmtId="164" fontId="5" fillId="7" borderId="0" xfId="3" applyNumberFormat="1" applyFont="1" applyFill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6" borderId="0" xfId="3" applyNumberFormat="1" applyFont="1" applyFill="1" applyBorder="1" applyAlignment="1">
      <alignment horizontal="center" vertical="center"/>
    </xf>
    <xf numFmtId="0" fontId="44" fillId="0" borderId="0" xfId="0" applyFont="1"/>
    <xf numFmtId="0" fontId="44" fillId="0" borderId="26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0" xfId="0" applyFont="1" applyBorder="1"/>
    <xf numFmtId="164" fontId="2" fillId="16" borderId="28" xfId="0" applyNumberFormat="1" applyFont="1" applyFill="1" applyBorder="1"/>
    <xf numFmtId="1" fontId="2" fillId="16" borderId="6" xfId="0" applyNumberFormat="1" applyFont="1" applyFill="1" applyBorder="1"/>
    <xf numFmtId="164" fontId="33" fillId="0" borderId="2" xfId="0" applyNumberFormat="1" applyFont="1" applyBorder="1"/>
    <xf numFmtId="164" fontId="2" fillId="16" borderId="6" xfId="0" applyNumberFormat="1" applyFont="1" applyFill="1" applyBorder="1"/>
    <xf numFmtId="164" fontId="4" fillId="16" borderId="28" xfId="0" applyNumberFormat="1" applyFont="1" applyFill="1" applyBorder="1"/>
    <xf numFmtId="1" fontId="4" fillId="16" borderId="6" xfId="0" applyNumberFormat="1" applyFont="1" applyFill="1" applyBorder="1"/>
    <xf numFmtId="2" fontId="4" fillId="16" borderId="6" xfId="0" applyNumberFormat="1" applyFont="1" applyFill="1" applyBorder="1"/>
    <xf numFmtId="164" fontId="4" fillId="16" borderId="6" xfId="0" applyNumberFormat="1" applyFont="1" applyFill="1" applyBorder="1"/>
    <xf numFmtId="0" fontId="44" fillId="0" borderId="6" xfId="0" applyFont="1" applyBorder="1"/>
    <xf numFmtId="164" fontId="4" fillId="0" borderId="28" xfId="0" applyNumberFormat="1" applyFont="1" applyBorder="1"/>
    <xf numFmtId="1" fontId="4" fillId="0" borderId="6" xfId="0" applyNumberFormat="1" applyFont="1" applyBorder="1"/>
    <xf numFmtId="2" fontId="4" fillId="0" borderId="6" xfId="0" applyNumberFormat="1" applyFont="1" applyBorder="1"/>
    <xf numFmtId="164" fontId="4" fillId="0" borderId="6" xfId="0" applyNumberFormat="1" applyFont="1" applyBorder="1"/>
    <xf numFmtId="164" fontId="44" fillId="0" borderId="0" xfId="0" applyNumberFormat="1" applyFont="1"/>
    <xf numFmtId="0" fontId="0" fillId="0" borderId="6" xfId="0" applyBorder="1"/>
    <xf numFmtId="0" fontId="0" fillId="0" borderId="28" xfId="0" applyBorder="1"/>
    <xf numFmtId="2" fontId="44" fillId="0" borderId="6" xfId="0" applyNumberFormat="1" applyFont="1" applyBorder="1"/>
    <xf numFmtId="164" fontId="44" fillId="0" borderId="0" xfId="0" applyNumberFormat="1" applyFont="1" applyBorder="1"/>
    <xf numFmtId="0" fontId="3" fillId="0" borderId="28" xfId="0" applyFont="1" applyBorder="1"/>
    <xf numFmtId="164" fontId="33" fillId="0" borderId="2" xfId="0" quotePrefix="1" applyNumberFormat="1" applyFont="1" applyBorder="1"/>
    <xf numFmtId="164" fontId="33" fillId="0" borderId="0" xfId="0" applyNumberFormat="1" applyFont="1" applyBorder="1" applyAlignment="1">
      <alignment horizontal="right"/>
    </xf>
    <xf numFmtId="1" fontId="24" fillId="0" borderId="1" xfId="0" applyNumberFormat="1" applyFont="1" applyBorder="1"/>
    <xf numFmtId="0" fontId="33" fillId="0" borderId="0" xfId="0" applyFont="1" applyAlignment="1">
      <alignment horizontal="right"/>
    </xf>
    <xf numFmtId="1" fontId="36" fillId="0" borderId="1" xfId="0" applyNumberFormat="1" applyFont="1" applyBorder="1"/>
    <xf numFmtId="164" fontId="4" fillId="0" borderId="2" xfId="0" applyNumberFormat="1" applyFont="1" applyBorder="1"/>
    <xf numFmtId="0" fontId="44" fillId="0" borderId="2" xfId="0" applyFont="1" applyBorder="1"/>
    <xf numFmtId="164" fontId="24" fillId="0" borderId="1" xfId="0" applyNumberFormat="1" applyFont="1" applyBorder="1"/>
    <xf numFmtId="164" fontId="36" fillId="0" borderId="1" xfId="0" applyNumberFormat="1" applyFont="1" applyBorder="1"/>
    <xf numFmtId="0" fontId="3" fillId="0" borderId="6" xfId="0" applyFont="1" applyBorder="1"/>
    <xf numFmtId="2" fontId="44" fillId="0" borderId="0" xfId="0" applyNumberFormat="1" applyFont="1"/>
    <xf numFmtId="2" fontId="45" fillId="0" borderId="0" xfId="0" applyNumberFormat="1" applyFont="1"/>
    <xf numFmtId="2" fontId="36" fillId="0" borderId="0" xfId="0" applyNumberFormat="1" applyFont="1"/>
    <xf numFmtId="176" fontId="44" fillId="0" borderId="0" xfId="0" applyNumberFormat="1" applyFont="1"/>
    <xf numFmtId="164" fontId="45" fillId="0" borderId="0" xfId="0" applyNumberFormat="1" applyFont="1"/>
    <xf numFmtId="164" fontId="36" fillId="0" borderId="0" xfId="0" applyNumberFormat="1" applyFont="1"/>
    <xf numFmtId="177" fontId="44" fillId="0" borderId="0" xfId="0" applyNumberFormat="1" applyFont="1"/>
    <xf numFmtId="164" fontId="2" fillId="16" borderId="6" xfId="0" applyNumberFormat="1" applyFont="1" applyFill="1" applyBorder="1" applyAlignment="1">
      <alignment wrapText="1" shrinkToFit="1"/>
    </xf>
    <xf numFmtId="166" fontId="4" fillId="0" borderId="6" xfId="5" applyNumberFormat="1" applyFont="1" applyBorder="1"/>
    <xf numFmtId="164" fontId="44" fillId="0" borderId="2" xfId="0" applyNumberFormat="1" applyFont="1" applyBorder="1"/>
    <xf numFmtId="164" fontId="4" fillId="0" borderId="6" xfId="0" quotePrefix="1" applyNumberFormat="1" applyFont="1" applyBorder="1"/>
    <xf numFmtId="1" fontId="4" fillId="0" borderId="6" xfId="0" quotePrefix="1" applyNumberFormat="1" applyFont="1" applyBorder="1"/>
    <xf numFmtId="1" fontId="45" fillId="0" borderId="0" xfId="0" applyNumberFormat="1" applyFont="1"/>
    <xf numFmtId="1" fontId="44" fillId="0" borderId="0" xfId="0" applyNumberFormat="1" applyFont="1"/>
    <xf numFmtId="0" fontId="4" fillId="0" borderId="0" xfId="0" applyFont="1" applyBorder="1" applyAlignment="1">
      <alignment horizontal="center" vertical="center" wrapText="1"/>
    </xf>
    <xf numFmtId="0" fontId="2" fillId="0" borderId="0" xfId="3" applyFont="1" applyBorder="1"/>
    <xf numFmtId="172" fontId="10" fillId="0" borderId="0" xfId="3" applyNumberFormat="1" applyFont="1" applyBorder="1"/>
    <xf numFmtId="0" fontId="4" fillId="0" borderId="0" xfId="3" applyFont="1" applyBorder="1" applyAlignment="1">
      <alignment horizontal="center" vertical="center"/>
    </xf>
    <xf numFmtId="164" fontId="4" fillId="0" borderId="0" xfId="3" applyNumberFormat="1" applyFont="1" applyBorder="1" applyAlignment="1">
      <alignment horizontal="center" vertical="center"/>
    </xf>
    <xf numFmtId="2" fontId="9" fillId="0" borderId="0" xfId="3" applyNumberFormat="1" applyFont="1" applyBorder="1"/>
    <xf numFmtId="0" fontId="4" fillId="13" borderId="29" xfId="0" applyFont="1" applyFill="1" applyBorder="1"/>
    <xf numFmtId="164" fontId="4" fillId="13" borderId="30" xfId="3" applyNumberFormat="1" applyFont="1" applyFill="1" applyBorder="1" applyAlignment="1">
      <alignment horizontal="center" vertical="center"/>
    </xf>
    <xf numFmtId="164" fontId="4" fillId="13" borderId="31" xfId="3" applyNumberFormat="1" applyFont="1" applyFill="1" applyBorder="1" applyAlignment="1">
      <alignment horizontal="center" vertical="center"/>
    </xf>
    <xf numFmtId="164" fontId="4" fillId="13" borderId="18" xfId="3" applyNumberFormat="1" applyFont="1" applyFill="1" applyBorder="1" applyAlignment="1">
      <alignment horizontal="center" vertical="center"/>
    </xf>
    <xf numFmtId="164" fontId="5" fillId="13" borderId="32" xfId="3" applyNumberFormat="1" applyFont="1" applyFill="1" applyBorder="1" applyAlignment="1">
      <alignment horizontal="center" vertical="center"/>
    </xf>
    <xf numFmtId="164" fontId="4" fillId="13" borderId="2" xfId="3" applyNumberFormat="1" applyFont="1" applyFill="1" applyBorder="1" applyAlignment="1">
      <alignment horizontal="center" vertical="center"/>
    </xf>
    <xf numFmtId="164" fontId="4" fillId="13" borderId="3" xfId="3" applyNumberFormat="1" applyFont="1" applyFill="1" applyBorder="1" applyAlignment="1">
      <alignment horizontal="center" vertical="center"/>
    </xf>
    <xf numFmtId="164" fontId="4" fillId="13" borderId="20" xfId="3" applyNumberFormat="1" applyFont="1" applyFill="1" applyBorder="1" applyAlignment="1">
      <alignment horizontal="center" vertical="center"/>
    </xf>
    <xf numFmtId="164" fontId="4" fillId="13" borderId="2" xfId="0" applyNumberFormat="1" applyFont="1" applyFill="1" applyBorder="1"/>
    <xf numFmtId="164" fontId="4" fillId="13" borderId="20" xfId="0" applyNumberFormat="1" applyFont="1" applyFill="1" applyBorder="1"/>
    <xf numFmtId="164" fontId="5" fillId="13" borderId="33" xfId="3" applyNumberFormat="1" applyFont="1" applyFill="1" applyBorder="1" applyAlignment="1">
      <alignment horizontal="center" vertical="center"/>
    </xf>
    <xf numFmtId="164" fontId="4" fillId="13" borderId="10" xfId="3" applyNumberFormat="1" applyFont="1" applyFill="1" applyBorder="1" applyAlignment="1">
      <alignment horizontal="center" vertical="center"/>
    </xf>
    <xf numFmtId="164" fontId="4" fillId="13" borderId="5" xfId="3" applyNumberFormat="1" applyFont="1" applyFill="1" applyBorder="1" applyAlignment="1">
      <alignment horizontal="center" vertical="center"/>
    </xf>
    <xf numFmtId="164" fontId="4" fillId="13" borderId="34" xfId="3" applyNumberFormat="1" applyFont="1" applyFill="1" applyBorder="1" applyAlignment="1">
      <alignment horizontal="center" vertical="center"/>
    </xf>
    <xf numFmtId="0" fontId="4" fillId="13" borderId="19" xfId="0" applyFont="1" applyFill="1" applyBorder="1"/>
    <xf numFmtId="0" fontId="4" fillId="13" borderId="0" xfId="0" applyFont="1" applyFill="1" applyBorder="1"/>
    <xf numFmtId="0" fontId="4" fillId="13" borderId="20" xfId="0" applyFont="1" applyFill="1" applyBorder="1"/>
    <xf numFmtId="0" fontId="4" fillId="13" borderId="35" xfId="0" applyFont="1" applyFill="1" applyBorder="1"/>
    <xf numFmtId="0" fontId="4" fillId="13" borderId="4" xfId="0" applyFont="1" applyFill="1" applyBorder="1"/>
    <xf numFmtId="0" fontId="4" fillId="13" borderId="8" xfId="0" applyFont="1" applyFill="1" applyBorder="1" applyAlignment="1">
      <alignment horizontal="center"/>
    </xf>
    <xf numFmtId="0" fontId="4" fillId="13" borderId="36" xfId="0" applyFont="1" applyFill="1" applyBorder="1"/>
    <xf numFmtId="164" fontId="4" fillId="13" borderId="37" xfId="3" applyNumberFormat="1" applyFont="1" applyFill="1" applyBorder="1" applyAlignment="1">
      <alignment horizontal="center" vertical="center"/>
    </xf>
    <xf numFmtId="164" fontId="4" fillId="0" borderId="1" xfId="0" applyNumberFormat="1" applyFont="1" applyBorder="1"/>
    <xf numFmtId="2" fontId="4" fillId="13" borderId="32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164" fontId="4" fillId="13" borderId="37" xfId="0" applyNumberFormat="1" applyFont="1" applyFill="1" applyBorder="1" applyAlignment="1">
      <alignment horizontal="center"/>
    </xf>
    <xf numFmtId="164" fontId="4" fillId="13" borderId="38" xfId="3" applyNumberFormat="1" applyFont="1" applyFill="1" applyBorder="1" applyAlignment="1">
      <alignment horizontal="center" vertical="center"/>
    </xf>
    <xf numFmtId="164" fontId="5" fillId="13" borderId="19" xfId="3" applyNumberFormat="1" applyFont="1" applyFill="1" applyBorder="1" applyAlignment="1">
      <alignment horizontal="center" vertical="center"/>
    </xf>
    <xf numFmtId="164" fontId="4" fillId="13" borderId="0" xfId="3" applyNumberFormat="1" applyFont="1" applyFill="1" applyBorder="1" applyAlignment="1">
      <alignment horizontal="center" vertical="center"/>
    </xf>
    <xf numFmtId="165" fontId="11" fillId="0" borderId="0" xfId="4" applyNumberFormat="1" applyFont="1" applyBorder="1" applyAlignment="1">
      <alignment horizontal="right"/>
    </xf>
    <xf numFmtId="164" fontId="46" fillId="0" borderId="0" xfId="0" applyNumberFormat="1" applyFont="1" applyBorder="1"/>
    <xf numFmtId="0" fontId="4" fillId="13" borderId="39" xfId="0" applyFont="1" applyFill="1" applyBorder="1"/>
    <xf numFmtId="164" fontId="4" fillId="13" borderId="40" xfId="0" applyNumberFormat="1" applyFont="1" applyFill="1" applyBorder="1"/>
    <xf numFmtId="0" fontId="4" fillId="13" borderId="9" xfId="0" applyFont="1" applyFill="1" applyBorder="1"/>
    <xf numFmtId="0" fontId="4" fillId="13" borderId="41" xfId="0" applyFont="1" applyFill="1" applyBorder="1"/>
    <xf numFmtId="164" fontId="4" fillId="13" borderId="37" xfId="0" applyNumberFormat="1" applyFont="1" applyFill="1" applyBorder="1"/>
    <xf numFmtId="0" fontId="4" fillId="13" borderId="3" xfId="0" applyFont="1" applyFill="1" applyBorder="1"/>
    <xf numFmtId="0" fontId="4" fillId="13" borderId="42" xfId="0" applyFont="1" applyFill="1" applyBorder="1"/>
    <xf numFmtId="164" fontId="4" fillId="13" borderId="42" xfId="0" applyNumberFormat="1" applyFont="1" applyFill="1" applyBorder="1"/>
    <xf numFmtId="164" fontId="4" fillId="13" borderId="43" xfId="0" applyNumberFormat="1" applyFont="1" applyFill="1" applyBorder="1"/>
    <xf numFmtId="0" fontId="4" fillId="13" borderId="24" xfId="0" applyFont="1" applyFill="1" applyBorder="1"/>
    <xf numFmtId="164" fontId="5" fillId="7" borderId="4" xfId="3" applyNumberFormat="1" applyFont="1" applyFill="1" applyBorder="1" applyAlignment="1">
      <alignment horizontal="center" vertical="center"/>
    </xf>
    <xf numFmtId="164" fontId="5" fillId="7" borderId="3" xfId="3" applyNumberFormat="1" applyFont="1" applyFill="1" applyBorder="1" applyAlignment="1">
      <alignment horizontal="center" vertical="center"/>
    </xf>
    <xf numFmtId="164" fontId="5" fillId="7" borderId="5" xfId="3" applyNumberFormat="1" applyFont="1" applyFill="1" applyBorder="1" applyAlignment="1">
      <alignment horizontal="center" vertical="center"/>
    </xf>
    <xf numFmtId="2" fontId="10" fillId="0" borderId="0" xfId="0" applyNumberFormat="1" applyFont="1" applyBorder="1"/>
    <xf numFmtId="166" fontId="4" fillId="0" borderId="0" xfId="5" applyNumberFormat="1" applyFont="1" applyFill="1" applyBorder="1"/>
    <xf numFmtId="2" fontId="4" fillId="0" borderId="0" xfId="3" applyNumberFormat="1" applyFont="1" applyFill="1" applyBorder="1"/>
    <xf numFmtId="0" fontId="47" fillId="0" borderId="0" xfId="3" applyFont="1" applyFill="1" applyBorder="1"/>
    <xf numFmtId="9" fontId="47" fillId="0" borderId="0" xfId="5" applyFont="1" applyFill="1" applyBorder="1"/>
    <xf numFmtId="178" fontId="4" fillId="0" borderId="0" xfId="4" applyNumberFormat="1" applyFont="1" applyBorder="1"/>
    <xf numFmtId="178" fontId="4" fillId="0" borderId="0" xfId="4" applyNumberFormat="1" applyFont="1" applyBorder="1" applyAlignment="1"/>
    <xf numFmtId="178" fontId="4" fillId="0" borderId="0" xfId="4" applyNumberFormat="1" applyFont="1" applyBorder="1" applyAlignment="1">
      <alignment horizontal="right"/>
    </xf>
    <xf numFmtId="164" fontId="46" fillId="0" borderId="0" xfId="3" applyNumberFormat="1" applyFont="1" applyBorder="1"/>
    <xf numFmtId="171" fontId="10" fillId="0" borderId="0" xfId="3" applyNumberFormat="1" applyFont="1" applyBorder="1"/>
    <xf numFmtId="164" fontId="4" fillId="13" borderId="32" xfId="3" applyNumberFormat="1" applyFont="1" applyFill="1" applyBorder="1" applyAlignment="1">
      <alignment horizontal="center" vertical="center"/>
    </xf>
    <xf numFmtId="164" fontId="48" fillId="0" borderId="0" xfId="0" applyNumberFormat="1" applyFont="1" applyBorder="1"/>
    <xf numFmtId="164" fontId="10" fillId="0" borderId="0" xfId="0" applyNumberFormat="1" applyFont="1" applyBorder="1"/>
    <xf numFmtId="2" fontId="10" fillId="13" borderId="19" xfId="0" applyNumberFormat="1" applyFont="1" applyFill="1" applyBorder="1"/>
    <xf numFmtId="164" fontId="5" fillId="13" borderId="23" xfId="3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/>
    <xf numFmtId="164" fontId="10" fillId="0" borderId="0" xfId="0" applyNumberFormat="1" applyFont="1" applyFill="1" applyBorder="1"/>
    <xf numFmtId="164" fontId="9" fillId="0" borderId="0" xfId="3" applyNumberFormat="1" applyFont="1" applyFill="1" applyBorder="1"/>
    <xf numFmtId="0" fontId="49" fillId="0" borderId="0" xfId="0" applyFont="1"/>
    <xf numFmtId="174" fontId="4" fillId="0" borderId="6" xfId="0" applyNumberFormat="1" applyFont="1" applyBorder="1"/>
    <xf numFmtId="171" fontId="4" fillId="0" borderId="6" xfId="0" applyNumberFormat="1" applyFont="1" applyBorder="1"/>
    <xf numFmtId="174" fontId="4" fillId="16" borderId="6" xfId="0" applyNumberFormat="1" applyFont="1" applyFill="1" applyBorder="1"/>
    <xf numFmtId="0" fontId="44" fillId="0" borderId="27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164" fontId="4" fillId="6" borderId="3" xfId="3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 applyAlignment="1">
      <alignment horizontal="center" vertical="center"/>
    </xf>
    <xf numFmtId="164" fontId="5" fillId="7" borderId="0" xfId="3" applyNumberFormat="1" applyFont="1" applyFill="1" applyBorder="1" applyAlignment="1">
      <alignment horizontal="center" vertical="center"/>
    </xf>
    <xf numFmtId="0" fontId="5" fillId="7" borderId="0" xfId="0" applyFont="1" applyFill="1" applyBorder="1" applyAlignment="1"/>
    <xf numFmtId="164" fontId="5" fillId="7" borderId="2" xfId="3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/>
    <xf numFmtId="164" fontId="4" fillId="5" borderId="1" xfId="3" applyNumberFormat="1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 wrapText="1"/>
    </xf>
    <xf numFmtId="164" fontId="5" fillId="6" borderId="0" xfId="3" applyNumberFormat="1" applyFont="1" applyFill="1" applyBorder="1" applyAlignment="1">
      <alignment horizontal="center" vertical="center"/>
    </xf>
    <xf numFmtId="164" fontId="4" fillId="6" borderId="0" xfId="3" applyNumberFormat="1" applyFont="1" applyFill="1" applyBorder="1" applyAlignment="1">
      <alignment horizontal="center" vertical="center"/>
    </xf>
    <xf numFmtId="164" fontId="4" fillId="6" borderId="1" xfId="3" applyNumberFormat="1" applyFont="1" applyFill="1" applyBorder="1" applyAlignment="1">
      <alignment horizontal="center" vertical="center"/>
    </xf>
    <xf numFmtId="0" fontId="4" fillId="5" borderId="0" xfId="3" applyFont="1" applyFill="1" applyBorder="1" applyAlignment="1">
      <alignment horizontal="center" vertical="center" wrapText="1"/>
    </xf>
    <xf numFmtId="164" fontId="5" fillId="5" borderId="2" xfId="3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5" fillId="5" borderId="0" xfId="3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4" borderId="0" xfId="3" applyFont="1" applyFill="1" applyBorder="1" applyAlignment="1">
      <alignment horizontal="center" vertical="center" wrapText="1"/>
    </xf>
    <xf numFmtId="164" fontId="5" fillId="4" borderId="0" xfId="3" applyNumberFormat="1" applyFont="1" applyFill="1" applyBorder="1" applyAlignment="1">
      <alignment horizontal="center" vertical="center"/>
    </xf>
    <xf numFmtId="164" fontId="4" fillId="4" borderId="0" xfId="3" applyNumberFormat="1" applyFont="1" applyFill="1" applyBorder="1" applyAlignment="1">
      <alignment horizontal="center" vertical="center"/>
    </xf>
    <xf numFmtId="164" fontId="4" fillId="4" borderId="2" xfId="3" applyNumberFormat="1" applyFont="1" applyFill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3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0" xfId="3" applyFont="1" applyFill="1" applyBorder="1" applyAlignment="1">
      <alignment horizontal="center" vertical="center"/>
    </xf>
    <xf numFmtId="0" fontId="4" fillId="0" borderId="0" xfId="0" applyFont="1" applyAlignment="1"/>
    <xf numFmtId="0" fontId="2" fillId="3" borderId="1" xfId="3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164" fontId="4" fillId="4" borderId="3" xfId="3" applyNumberFormat="1" applyFont="1" applyFill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164" fontId="5" fillId="4" borderId="2" xfId="3" applyNumberFormat="1" applyFont="1" applyFill="1" applyBorder="1" applyAlignment="1">
      <alignment horizontal="center" vertical="center"/>
    </xf>
    <xf numFmtId="164" fontId="4" fillId="5" borderId="3" xfId="3" applyNumberFormat="1" applyFont="1" applyFill="1" applyBorder="1" applyAlignment="1">
      <alignment horizontal="center" vertical="center"/>
    </xf>
    <xf numFmtId="2" fontId="5" fillId="6" borderId="2" xfId="3" applyNumberFormat="1" applyFont="1" applyFill="1" applyBorder="1" applyAlignment="1">
      <alignment horizontal="center" vertical="center"/>
    </xf>
    <xf numFmtId="1" fontId="5" fillId="5" borderId="2" xfId="3" applyNumberFormat="1" applyFont="1" applyFill="1" applyBorder="1" applyAlignment="1">
      <alignment horizontal="center" vertical="center"/>
    </xf>
    <xf numFmtId="164" fontId="5" fillId="6" borderId="2" xfId="3" applyNumberFormat="1" applyFont="1" applyFill="1" applyBorder="1" applyAlignment="1">
      <alignment horizontal="center" vertical="center"/>
    </xf>
    <xf numFmtId="2" fontId="4" fillId="6" borderId="3" xfId="3" applyNumberFormat="1" applyFont="1" applyFill="1" applyBorder="1" applyAlignment="1">
      <alignment horizontal="center" vertical="center"/>
    </xf>
    <xf numFmtId="2" fontId="5" fillId="6" borderId="0" xfId="3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2" fontId="4" fillId="6" borderId="2" xfId="3" applyNumberFormat="1" applyFont="1" applyFill="1" applyBorder="1" applyAlignment="1">
      <alignment horizontal="center" vertical="center"/>
    </xf>
  </cellXfs>
  <cellStyles count="11">
    <cellStyle name="Milliers" xfId="1" builtinId="3"/>
    <cellStyle name="Milliers 2 6" xfId="8"/>
    <cellStyle name="Milliers 3" xfId="4"/>
    <cellStyle name="Normal" xfId="0" builtinId="0"/>
    <cellStyle name="Normal 2 2" xfId="3"/>
    <cellStyle name="Normal 2 3 17" xfId="6"/>
    <cellStyle name="Normal 3 9" xfId="9"/>
    <cellStyle name="Normal 54" xfId="10"/>
    <cellStyle name="Pourcentage" xfId="2" builtinId="5"/>
    <cellStyle name="Pourcentage 2 2" xfId="5"/>
    <cellStyle name="Pourcentage 2 6" xfId="7"/>
  </cellStyles>
  <dxfs count="225"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  <dxf>
      <numFmt numFmtId="179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GitHub/ThreeME/data/calibrations/bilan%20AMS2%20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GitHub/ThreeME/data/calibrations/bilans%20AME%20v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esktop/SNBC%202017/hypothesesDGEC/FRK_2017_2015_20102017_1422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FLUX 2015"/>
      <sheetName val="FLUX 2020"/>
      <sheetName val="FLUX 2025"/>
      <sheetName val="FLUX 2030"/>
      <sheetName val="FLUX 2035"/>
      <sheetName val="FLUX 2050"/>
      <sheetName val="Cibles THREEME"/>
      <sheetName val="FLUX 2050 ADEME"/>
      <sheetName val="bilan complet"/>
      <sheetName val="électricité"/>
      <sheetName val="scenario demande"/>
      <sheetName val="Réseaux de chaleur"/>
      <sheetName val="indicateurs ams1"/>
      <sheetName val="indicateurs ams2"/>
      <sheetName val="légende"/>
      <sheetName val="Feuil2"/>
      <sheetName val="Feuil1"/>
    </sheetNames>
    <sheetDataSet>
      <sheetData sheetId="0"/>
      <sheetData sheetId="1">
        <row r="5">
          <cell r="AK5">
            <v>4.1251268806541326</v>
          </cell>
        </row>
      </sheetData>
      <sheetData sheetId="2">
        <row r="5">
          <cell r="AK5">
            <v>3.7942932846117698</v>
          </cell>
        </row>
      </sheetData>
      <sheetData sheetId="3">
        <row r="5">
          <cell r="AK5">
            <v>3.4565023451561072</v>
          </cell>
        </row>
      </sheetData>
      <sheetData sheetId="4">
        <row r="5">
          <cell r="AK5">
            <v>3.1282910144089815</v>
          </cell>
        </row>
      </sheetData>
      <sheetData sheetId="5">
        <row r="5">
          <cell r="AK5">
            <v>2.7926641778484691</v>
          </cell>
        </row>
      </sheetData>
      <sheetData sheetId="6">
        <row r="13">
          <cell r="AJ13">
            <v>46.4</v>
          </cell>
        </row>
      </sheetData>
      <sheetData sheetId="7">
        <row r="1">
          <cell r="AA1">
            <v>2015</v>
          </cell>
          <cell r="AB1">
            <v>2020</v>
          </cell>
          <cell r="AC1">
            <v>2025</v>
          </cell>
          <cell r="AD1">
            <v>2030</v>
          </cell>
          <cell r="AE1">
            <v>2035</v>
          </cell>
          <cell r="AF1">
            <v>2050</v>
          </cell>
        </row>
        <row r="4">
          <cell r="R4" t="str">
            <v>Produits pétroliers</v>
          </cell>
          <cell r="Z4" t="str">
            <v>Produits pétroliers</v>
          </cell>
        </row>
        <row r="5">
          <cell r="R5" t="str">
            <v>Biocarburants liquides et gazeux</v>
          </cell>
          <cell r="Z5" t="str">
            <v>Biocarburants liquides et gazeux</v>
          </cell>
        </row>
        <row r="8">
          <cell r="R8" t="str">
            <v>Centrale nucléaire</v>
          </cell>
          <cell r="Z8" t="str">
            <v>Centrale nucléaire</v>
          </cell>
        </row>
        <row r="9">
          <cell r="R9" t="str">
            <v>Centrale au fioul</v>
          </cell>
          <cell r="Z9" t="str">
            <v>Centrale au fioul</v>
          </cell>
        </row>
        <row r="10">
          <cell r="R10" t="str">
            <v>Centrale au gaz naturel</v>
          </cell>
          <cell r="Z10" t="str">
            <v>Centrale au gaz naturel</v>
          </cell>
        </row>
        <row r="11">
          <cell r="R11" t="str">
            <v>Centrale au charbon</v>
          </cell>
          <cell r="Z11" t="str">
            <v>Centrale au charbon</v>
          </cell>
        </row>
        <row r="12">
          <cell r="R12" t="str">
            <v xml:space="preserve">Eolien </v>
          </cell>
          <cell r="Z12" t="str">
            <v xml:space="preserve">Eolien </v>
          </cell>
        </row>
        <row r="13">
          <cell r="R13" t="str">
            <v>Photovoltaïque</v>
          </cell>
          <cell r="Z13" t="str">
            <v>Photovoltaïque</v>
          </cell>
        </row>
        <row r="14">
          <cell r="R14" t="str">
            <v>Hydroélectricité et énergies marine</v>
          </cell>
          <cell r="Z14" t="str">
            <v>Hydroélectricité et énergies marine</v>
          </cell>
        </row>
        <row r="15">
          <cell r="R15" t="str">
            <v>Autres (méthanisation, UIOM, bois, géothermie, énergie fatale, PAC aérothermique)</v>
          </cell>
          <cell r="Z15" t="str">
            <v>Autres (méthanisation, UIOM, bois, géothermie, énergie fatale, PAC aérothermique)</v>
          </cell>
        </row>
        <row r="17">
          <cell r="R17" t="str">
            <v>Gaz naturel (réseau de gaz et de chaleur)</v>
          </cell>
          <cell r="Z17" t="str">
            <v>Gaz naturel (réseau de gaz et de chaleur)</v>
          </cell>
        </row>
        <row r="18">
          <cell r="R18" t="str">
            <v>Bois énergie direct et réseau chaleur</v>
          </cell>
          <cell r="Z18" t="str">
            <v>Bois énergie direct et réseau chaleur</v>
          </cell>
        </row>
        <row r="19">
          <cell r="R19" t="str">
            <v>Biogaz, biométhane, BtG et H2 direct et réseau de chaleur</v>
          </cell>
          <cell r="Z19" t="str">
            <v>Biogaz, biométhane, BtG et H2 direct et réseau de chaleur</v>
          </cell>
        </row>
        <row r="20">
          <cell r="R20" t="str">
            <v>UIOM et déchets directs</v>
          </cell>
          <cell r="Z20" t="str">
            <v>UIOM et déchets directs</v>
          </cell>
        </row>
        <row r="21">
          <cell r="R21" t="str">
            <v>Géothermie et  PAC géothermique</v>
          </cell>
          <cell r="Z21" t="str">
            <v>Géothermie et  PAC géothermique</v>
          </cell>
        </row>
        <row r="22">
          <cell r="R22" t="str">
            <v>Autres (solaire thermique, chaleur fatale, pac AEROTHERMIQUE)</v>
          </cell>
          <cell r="Z22" t="str">
            <v>Autres (solaire thermique, chaleur fatale, pac AEROTHERMIQUE)</v>
          </cell>
        </row>
        <row r="23">
          <cell r="R23" t="str">
            <v>Charbon</v>
          </cell>
          <cell r="Z23" t="str">
            <v>Charbon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3">
          <cell r="H43">
            <v>0.92638363322803885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/>
      <sheetData sheetId="1">
        <row r="2">
          <cell r="B2">
            <v>272.71929624030639</v>
          </cell>
        </row>
      </sheetData>
      <sheetData sheetId="2">
        <row r="5">
          <cell r="AK5">
            <v>2.8600000000000003</v>
          </cell>
        </row>
      </sheetData>
      <sheetData sheetId="3">
        <row r="10">
          <cell r="G10">
            <v>111.11059799516073</v>
          </cell>
          <cell r="I10">
            <v>74.444100656757684</v>
          </cell>
        </row>
      </sheetData>
      <sheetData sheetId="4">
        <row r="23">
          <cell r="AK23">
            <v>0.28506034800000002</v>
          </cell>
        </row>
      </sheetData>
      <sheetData sheetId="5"/>
      <sheetData sheetId="6"/>
      <sheetData sheetId="7"/>
      <sheetData sheetId="8"/>
      <sheetData sheetId="9"/>
      <sheetData sheetId="10">
        <row r="30">
          <cell r="D30">
            <v>8.7599997641518715E-7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sheet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1.D"/>
      <sheetName val="Table2(I)s1"/>
      <sheetName val="Table2(I)s2"/>
      <sheetName val="Table2(I).A-Hs1"/>
      <sheetName val="Table2(I).A-Hs2"/>
      <sheetName val="Table2(II)"/>
      <sheetName val="Table2(II)B-Hs1"/>
      <sheetName val="Table2(II)B-Hs2"/>
      <sheetName val="Table3s1"/>
      <sheetName val="Table3s2"/>
      <sheetName val="Table3.As1"/>
      <sheetName val="Table3.As2"/>
      <sheetName val="Table3.B(a)s1"/>
      <sheetName val="Table3.B(a)s2"/>
      <sheetName val="Table3.B(b)"/>
      <sheetName val="Table3.C"/>
      <sheetName val="Table3.D"/>
      <sheetName val="Table3.E"/>
      <sheetName val="Table3.F"/>
      <sheetName val="Table3.G-I"/>
      <sheetName val="Table4"/>
      <sheetName val="Table4.1"/>
      <sheetName val="Table4.A"/>
      <sheetName val="Table4.B"/>
      <sheetName val="Table4.C"/>
      <sheetName val="Table4.D"/>
      <sheetName val="Table4.E"/>
      <sheetName val="Table4.F"/>
      <sheetName val="Table4(I)"/>
      <sheetName val="Table4(II)"/>
      <sheetName val="Table4(III)"/>
      <sheetName val="Table4(IV)"/>
      <sheetName val="Table4(V)"/>
      <sheetName val="Table4.Gs1"/>
      <sheetName val="Table4.Gs2"/>
      <sheetName val="Table5"/>
      <sheetName val="Table5.A"/>
      <sheetName val="Table5.B"/>
      <sheetName val="Table5.C"/>
      <sheetName val="Table5.D"/>
      <sheetName val="Summary1.As1"/>
      <sheetName val="Summary1.As2"/>
      <sheetName val="Summary1.As3"/>
      <sheetName val="Summary2"/>
      <sheetName val="Summary3s1"/>
      <sheetName val="Summary3s2"/>
      <sheetName val="Table6"/>
      <sheetName val="Table7"/>
      <sheetName val="Table8s1"/>
      <sheetName val="Table8s2"/>
      <sheetName val="Table8s3"/>
      <sheetName val="Table8s4"/>
      <sheetName val="Table9"/>
      <sheetName val="Table10s1"/>
      <sheetName val="Table10s2"/>
      <sheetName val="Table10s3"/>
      <sheetName val="Table10s4"/>
      <sheetName val="Table10s5"/>
      <sheetName val="Table10s6"/>
      <sheetName val="NIR-1"/>
      <sheetName val="NIR-2"/>
      <sheetName val="NIR-2.1"/>
      <sheetName val="NIR-3"/>
      <sheetName val="4(KP)Recalculations"/>
      <sheetName val="4(KP)"/>
      <sheetName val="4(KP-I)A.1"/>
      <sheetName val="4(KP-I)A.1.1"/>
      <sheetName val="4(KP-I)A.2"/>
      <sheetName val="4(KP-I)A.2.1"/>
      <sheetName val="4(KP-I)B.1"/>
      <sheetName val="4(KP-I)B.1.1"/>
      <sheetName val="4(KP-I)B.1.2"/>
      <sheetName val="4(KP-I)B.1.3"/>
      <sheetName val="4(KP-I)B.2"/>
      <sheetName val="4(KP-I)B.3"/>
      <sheetName val="4(KP-I)B.4"/>
      <sheetName val="4(KP-I)B.5"/>
      <sheetName val="4(KP-I)C"/>
      <sheetName val="4(KP-II)1"/>
      <sheetName val="4(KP-II)2"/>
      <sheetName val="4(KP-II)3"/>
      <sheetName val="4(KP-II)4"/>
      <sheetName val="accou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20">
          <cell r="S20">
            <v>7465.3666499637939</v>
          </cell>
          <cell r="W20">
            <v>6385.7838234227738</v>
          </cell>
        </row>
        <row r="21">
          <cell r="S21">
            <v>4916.4407142295822</v>
          </cell>
          <cell r="W21">
            <v>5295.5009086944965</v>
          </cell>
        </row>
        <row r="22">
          <cell r="S22">
            <v>2066.0245016134691</v>
          </cell>
          <cell r="W22">
            <v>1743.2988269224502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topLeftCell="V1" workbookViewId="0">
      <selection activeCell="AK12" sqref="AK12"/>
    </sheetView>
  </sheetViews>
  <sheetFormatPr baseColWidth="10" defaultRowHeight="15"/>
  <cols>
    <col min="1" max="1" width="18.140625" style="300" customWidth="1"/>
    <col min="2" max="16384" width="11.42578125" style="300"/>
  </cols>
  <sheetData>
    <row r="1" spans="1:37">
      <c r="A1" s="464" t="s">
        <v>380</v>
      </c>
      <c r="B1" s="300">
        <f>'[1]Cibles THREEME'!AA1</f>
        <v>2015</v>
      </c>
      <c r="C1" s="300">
        <f>B1+1</f>
        <v>2016</v>
      </c>
      <c r="D1" s="300">
        <f t="shared" ref="D1:F1" si="0">C1+1</f>
        <v>2017</v>
      </c>
      <c r="E1" s="300">
        <f t="shared" si="0"/>
        <v>2018</v>
      </c>
      <c r="F1" s="300">
        <f t="shared" si="0"/>
        <v>2019</v>
      </c>
      <c r="G1" s="300">
        <f>'[1]Cibles THREEME'!AB1</f>
        <v>2020</v>
      </c>
      <c r="H1" s="300">
        <f>G1+1</f>
        <v>2021</v>
      </c>
      <c r="I1" s="300">
        <f t="shared" ref="I1:K1" si="1">H1+1</f>
        <v>2022</v>
      </c>
      <c r="J1" s="300">
        <f t="shared" si="1"/>
        <v>2023</v>
      </c>
      <c r="K1" s="300">
        <f t="shared" si="1"/>
        <v>2024</v>
      </c>
      <c r="L1" s="300">
        <f>'[1]Cibles THREEME'!AC1</f>
        <v>2025</v>
      </c>
      <c r="M1" s="300">
        <f>L1+1</f>
        <v>2026</v>
      </c>
      <c r="N1" s="300">
        <f t="shared" ref="N1:P1" si="2">M1+1</f>
        <v>2027</v>
      </c>
      <c r="O1" s="300">
        <f t="shared" si="2"/>
        <v>2028</v>
      </c>
      <c r="P1" s="300">
        <f t="shared" si="2"/>
        <v>2029</v>
      </c>
      <c r="Q1" s="300">
        <f>'[1]Cibles THREEME'!AD1</f>
        <v>2030</v>
      </c>
      <c r="R1" s="300">
        <f>Q1+1</f>
        <v>2031</v>
      </c>
      <c r="S1" s="300">
        <f t="shared" ref="S1:U1" si="3">R1+1</f>
        <v>2032</v>
      </c>
      <c r="T1" s="300">
        <f t="shared" si="3"/>
        <v>2033</v>
      </c>
      <c r="U1" s="300">
        <f t="shared" si="3"/>
        <v>2034</v>
      </c>
      <c r="V1" s="300">
        <f>'[1]Cibles THREEME'!AE1</f>
        <v>2035</v>
      </c>
      <c r="W1" s="300">
        <f>V1+1</f>
        <v>2036</v>
      </c>
      <c r="X1" s="300">
        <f t="shared" ref="X1:AJ1" si="4">W1+1</f>
        <v>2037</v>
      </c>
      <c r="Y1" s="300">
        <f t="shared" si="4"/>
        <v>2038</v>
      </c>
      <c r="Z1" s="300">
        <f t="shared" si="4"/>
        <v>2039</v>
      </c>
      <c r="AA1" s="300">
        <f t="shared" si="4"/>
        <v>2040</v>
      </c>
      <c r="AB1" s="300">
        <f t="shared" si="4"/>
        <v>2041</v>
      </c>
      <c r="AC1" s="300">
        <f t="shared" si="4"/>
        <v>2042</v>
      </c>
      <c r="AD1" s="300">
        <f t="shared" si="4"/>
        <v>2043</v>
      </c>
      <c r="AE1" s="300">
        <f t="shared" si="4"/>
        <v>2044</v>
      </c>
      <c r="AF1" s="300">
        <f t="shared" si="4"/>
        <v>2045</v>
      </c>
      <c r="AG1" s="300">
        <f t="shared" si="4"/>
        <v>2046</v>
      </c>
      <c r="AH1" s="300">
        <f t="shared" si="4"/>
        <v>2047</v>
      </c>
      <c r="AI1" s="300">
        <f t="shared" si="4"/>
        <v>2048</v>
      </c>
      <c r="AJ1" s="300">
        <f t="shared" si="4"/>
        <v>2049</v>
      </c>
      <c r="AK1" s="300">
        <f>'[1]Cibles THREEME'!AF1</f>
        <v>2050</v>
      </c>
    </row>
    <row r="2" spans="1:37">
      <c r="A2" s="300" t="str">
        <f>'[1]Cibles THREEME'!Z23</f>
        <v>Charbon</v>
      </c>
      <c r="B2" s="300">
        <f>'Cibles THREEME'!W23</f>
        <v>1.1313605731176026</v>
      </c>
      <c r="C2" s="300">
        <f>B2*($G2/$B2)^(1/5)</f>
        <v>0.88120246516477851</v>
      </c>
      <c r="D2" s="300">
        <f t="shared" ref="D2:F2" si="5">C2*($G2/$B2)^(1/5)</f>
        <v>0.68635747352649279</v>
      </c>
      <c r="E2" s="300">
        <f t="shared" si="5"/>
        <v>0.53459516976905008</v>
      </c>
      <c r="F2" s="300">
        <f t="shared" si="5"/>
        <v>0.4163894276141632</v>
      </c>
      <c r="G2" s="300">
        <f>'Cibles THREEME'!X23</f>
        <v>0.32432046758625277</v>
      </c>
      <c r="H2" s="300">
        <f>G2*($L2/$G2)^(1/5)</f>
        <v>0.25744314026001291</v>
      </c>
      <c r="I2" s="300">
        <f t="shared" ref="I2:K2" si="6">H2*($L2/$G2)^(1/5)</f>
        <v>0.20435642239973761</v>
      </c>
      <c r="J2" s="300">
        <f t="shared" si="6"/>
        <v>0.16221658628713731</v>
      </c>
      <c r="K2" s="300">
        <f t="shared" si="6"/>
        <v>0.12876630231458805</v>
      </c>
      <c r="L2" s="300">
        <f>'Cibles THREEME'!Y23</f>
        <v>0.10221371927049744</v>
      </c>
      <c r="M2" s="300">
        <f>L2*($Q2/$L2)^(1/5)</f>
        <v>0.10221371927049744</v>
      </c>
      <c r="N2" s="300">
        <f t="shared" ref="N2:P2" si="7">M2*($Q2/$L2)^(1/5)</f>
        <v>0.10221371927049744</v>
      </c>
      <c r="O2" s="300">
        <f t="shared" si="7"/>
        <v>0.10221371927049744</v>
      </c>
      <c r="P2" s="300">
        <f t="shared" si="7"/>
        <v>0.10221371927049744</v>
      </c>
      <c r="Q2" s="300">
        <f>'Cibles THREEME'!Z23</f>
        <v>0.10221371927049744</v>
      </c>
      <c r="R2" s="300">
        <f>Q2*($AK2/$Q2)^(1/20)</f>
        <v>0.10221371927049744</v>
      </c>
      <c r="S2" s="300">
        <f t="shared" ref="S2:AJ16" si="8">R2*($AK2/$Q2)^(1/20)</f>
        <v>0.10221371927049744</v>
      </c>
      <c r="T2" s="300">
        <f t="shared" si="8"/>
        <v>0.10221371927049744</v>
      </c>
      <c r="U2" s="300">
        <f t="shared" si="8"/>
        <v>0.10221371927049744</v>
      </c>
      <c r="V2" s="300">
        <f t="shared" si="8"/>
        <v>0.10221371927049744</v>
      </c>
      <c r="W2" s="300">
        <f t="shared" si="8"/>
        <v>0.10221371927049744</v>
      </c>
      <c r="X2" s="300">
        <f t="shared" si="8"/>
        <v>0.10221371927049744</v>
      </c>
      <c r="Y2" s="300">
        <f t="shared" si="8"/>
        <v>0.10221371927049744</v>
      </c>
      <c r="Z2" s="300">
        <f t="shared" si="8"/>
        <v>0.10221371927049744</v>
      </c>
      <c r="AA2" s="300">
        <f t="shared" si="8"/>
        <v>0.10221371927049744</v>
      </c>
      <c r="AB2" s="300">
        <f t="shared" si="8"/>
        <v>0.10221371927049744</v>
      </c>
      <c r="AC2" s="300">
        <f t="shared" si="8"/>
        <v>0.10221371927049744</v>
      </c>
      <c r="AD2" s="300">
        <f t="shared" si="8"/>
        <v>0.10221371927049744</v>
      </c>
      <c r="AE2" s="300">
        <f t="shared" si="8"/>
        <v>0.10221371927049744</v>
      </c>
      <c r="AF2" s="300">
        <f t="shared" si="8"/>
        <v>0.10221371927049744</v>
      </c>
      <c r="AG2" s="300">
        <f t="shared" si="8"/>
        <v>0.10221371927049744</v>
      </c>
      <c r="AH2" s="300">
        <f t="shared" si="8"/>
        <v>0.10221371927049744</v>
      </c>
      <c r="AI2" s="300">
        <f t="shared" si="8"/>
        <v>0.10221371927049744</v>
      </c>
      <c r="AJ2" s="300">
        <f t="shared" si="8"/>
        <v>0.10221371927049744</v>
      </c>
      <c r="AK2" s="300">
        <f>'Cibles THREEME'!AA23</f>
        <v>0.10221371927049744</v>
      </c>
    </row>
    <row r="3" spans="1:37">
      <c r="A3" s="300" t="str">
        <f>'[1]Cibles THREEME'!Z4</f>
        <v>Produits pétroliers</v>
      </c>
      <c r="B3" s="300">
        <f>'Cibles THREEME'!W4</f>
        <v>55.225370516172603</v>
      </c>
      <c r="C3" s="300">
        <f t="shared" ref="C3:F18" si="9">B3*($G3/$B3)^(1/5)</f>
        <v>54.369321674820618</v>
      </c>
      <c r="D3" s="300">
        <f t="shared" si="9"/>
        <v>53.52654245234001</v>
      </c>
      <c r="E3" s="300">
        <f t="shared" si="9"/>
        <v>52.696827156279028</v>
      </c>
      <c r="F3" s="300">
        <f t="shared" si="9"/>
        <v>51.879973282626018</v>
      </c>
      <c r="G3" s="300">
        <f>'Cibles THREEME'!X4</f>
        <v>51.075781466385351</v>
      </c>
      <c r="H3" s="300">
        <f t="shared" ref="H3:K18" si="10">G3*($L3/$G3)^(1/5)</f>
        <v>49.286190556396477</v>
      </c>
      <c r="I3" s="300">
        <f t="shared" si="10"/>
        <v>47.559303251387639</v>
      </c>
      <c r="J3" s="300">
        <f t="shared" si="10"/>
        <v>45.892922545296976</v>
      </c>
      <c r="K3" s="300">
        <f t="shared" si="10"/>
        <v>44.284928410661188</v>
      </c>
      <c r="L3" s="300">
        <f>'Cibles THREEME'!Y4</f>
        <v>42.733275101442885</v>
      </c>
      <c r="M3" s="300">
        <f t="shared" ref="M3:P18" si="11">L3*($Q3/$L3)^(1/5)</f>
        <v>40.65470155824304</v>
      </c>
      <c r="N3" s="300">
        <f t="shared" si="11"/>
        <v>38.677231147537348</v>
      </c>
      <c r="O3" s="300">
        <f t="shared" si="11"/>
        <v>36.795946148981699</v>
      </c>
      <c r="P3" s="300">
        <f t="shared" si="11"/>
        <v>35.006168043261518</v>
      </c>
      <c r="Q3" s="300">
        <f>'Cibles THREEME'!Z4</f>
        <v>33.30344587720235</v>
      </c>
      <c r="R3" s="300">
        <f t="shared" ref="R3:AG18" si="12">Q3*($AK3/$Q3)^(1/20)</f>
        <v>28.135543349263866</v>
      </c>
      <c r="S3" s="300">
        <f t="shared" si="12"/>
        <v>23.769576351863236</v>
      </c>
      <c r="T3" s="300">
        <f t="shared" si="12"/>
        <v>20.081103568303341</v>
      </c>
      <c r="U3" s="300">
        <f t="shared" si="12"/>
        <v>16.964994013842212</v>
      </c>
      <c r="V3" s="300">
        <f t="shared" si="12"/>
        <v>14.332430531556653</v>
      </c>
      <c r="W3" s="300">
        <f t="shared" si="12"/>
        <v>12.108378274362526</v>
      </c>
      <c r="X3" s="300">
        <f t="shared" si="12"/>
        <v>10.229446018401926</v>
      </c>
      <c r="Y3" s="300">
        <f t="shared" si="12"/>
        <v>8.6420793497144128</v>
      </c>
      <c r="Z3" s="300">
        <f t="shared" si="12"/>
        <v>7.3010342253536695</v>
      </c>
      <c r="AA3" s="300">
        <f t="shared" si="12"/>
        <v>6.1680874015056562</v>
      </c>
      <c r="AB3" s="300">
        <f t="shared" si="12"/>
        <v>5.2109469724845514</v>
      </c>
      <c r="AC3" s="300">
        <f t="shared" si="12"/>
        <v>4.4023319681588031</v>
      </c>
      <c r="AD3" s="300">
        <f t="shared" si="12"/>
        <v>3.7191947759607364</v>
      </c>
      <c r="AE3" s="300">
        <f t="shared" si="12"/>
        <v>3.1420642245020862</v>
      </c>
      <c r="AF3" s="300">
        <f t="shared" si="12"/>
        <v>2.6544906049846855</v>
      </c>
      <c r="AG3" s="300">
        <f t="shared" si="12"/>
        <v>2.2425768120855554</v>
      </c>
      <c r="AH3" s="300">
        <f t="shared" si="8"/>
        <v>1.8945822406227077</v>
      </c>
      <c r="AI3" s="300">
        <f t="shared" si="8"/>
        <v>1.600588148035315</v>
      </c>
      <c r="AJ3" s="300">
        <f t="shared" si="8"/>
        <v>1.3522149446461003</v>
      </c>
      <c r="AK3" s="300">
        <f>'Cibles THREEME'!AA4</f>
        <v>1.1423833537494816</v>
      </c>
    </row>
    <row r="4" spans="1:37">
      <c r="A4" s="300" t="str">
        <f>'[1]Cibles THREEME'!Z5</f>
        <v>Biocarburants liquides et gazeux</v>
      </c>
      <c r="B4" s="300">
        <f>'Cibles THREEME'!W5</f>
        <v>2.9481554218018533</v>
      </c>
      <c r="C4" s="300">
        <f t="shared" si="9"/>
        <v>2.9598899297654357</v>
      </c>
      <c r="D4" s="300">
        <f t="shared" si="9"/>
        <v>2.9716711444515092</v>
      </c>
      <c r="E4" s="300">
        <f t="shared" si="9"/>
        <v>2.9834992517662862</v>
      </c>
      <c r="F4" s="300">
        <f t="shared" si="9"/>
        <v>2.9953744383559386</v>
      </c>
      <c r="G4" s="300">
        <f>'Cibles THREEME'!X5</f>
        <v>3.0072968916095459</v>
      </c>
      <c r="H4" s="300">
        <f t="shared" si="10"/>
        <v>3.0187365101676065</v>
      </c>
      <c r="I4" s="300">
        <f t="shared" si="10"/>
        <v>3.0302196445066061</v>
      </c>
      <c r="J4" s="300">
        <f t="shared" si="10"/>
        <v>3.0417464601585666</v>
      </c>
      <c r="K4" s="300">
        <f t="shared" si="10"/>
        <v>3.0533171232851863</v>
      </c>
      <c r="L4" s="300">
        <f>'Cibles THREEME'!Y5</f>
        <v>3.0649318006802346</v>
      </c>
      <c r="M4" s="300">
        <f t="shared" si="11"/>
        <v>3.0950827139582637</v>
      </c>
      <c r="N4" s="300">
        <f t="shared" si="11"/>
        <v>3.1255302333700072</v>
      </c>
      <c r="O4" s="300">
        <f t="shared" si="11"/>
        <v>3.1562772767441145</v>
      </c>
      <c r="P4" s="300">
        <f t="shared" si="11"/>
        <v>3.1873267906130378</v>
      </c>
      <c r="Q4" s="300">
        <f>'Cibles THREEME'!Z5</f>
        <v>3.2186817504954033</v>
      </c>
      <c r="R4" s="300">
        <f t="shared" si="12"/>
        <v>3.2625105252446089</v>
      </c>
      <c r="S4" s="300">
        <f t="shared" si="8"/>
        <v>3.3069361162201223</v>
      </c>
      <c r="T4" s="300">
        <f t="shared" si="8"/>
        <v>3.3519666502657812</v>
      </c>
      <c r="U4" s="300">
        <f t="shared" si="8"/>
        <v>3.3976103648886191</v>
      </c>
      <c r="V4" s="300">
        <f t="shared" si="8"/>
        <v>3.4438756097657648</v>
      </c>
      <c r="W4" s="300">
        <f t="shared" si="8"/>
        <v>3.4907708482718629</v>
      </c>
      <c r="X4" s="300">
        <f t="shared" si="8"/>
        <v>3.538304659027292</v>
      </c>
      <c r="Y4" s="300">
        <f t="shared" si="8"/>
        <v>3.586485737467465</v>
      </c>
      <c r="Z4" s="300">
        <f t="shared" si="8"/>
        <v>3.6353228974334995</v>
      </c>
      <c r="AA4" s="300">
        <f t="shared" si="8"/>
        <v>3.6848250727845477</v>
      </c>
      <c r="AB4" s="300">
        <f t="shared" si="8"/>
        <v>3.7350013190320812</v>
      </c>
      <c r="AC4" s="300">
        <f t="shared" si="8"/>
        <v>3.7858608149964299</v>
      </c>
      <c r="AD4" s="300">
        <f t="shared" si="8"/>
        <v>3.837412864485878</v>
      </c>
      <c r="AE4" s="300">
        <f t="shared" si="8"/>
        <v>3.8896668979986257</v>
      </c>
      <c r="AF4" s="300">
        <f t="shared" si="8"/>
        <v>3.9426324744479233</v>
      </c>
      <c r="AG4" s="300">
        <f t="shared" si="8"/>
        <v>3.9963192829106999</v>
      </c>
      <c r="AH4" s="300">
        <f t="shared" si="8"/>
        <v>4.0507371444000011</v>
      </c>
      <c r="AI4" s="300">
        <f t="shared" si="8"/>
        <v>4.1058960136615621</v>
      </c>
      <c r="AJ4" s="300">
        <f t="shared" si="8"/>
        <v>4.1618059809948456</v>
      </c>
      <c r="AK4" s="300">
        <f>'Cibles THREEME'!AA5</f>
        <v>4.2184772740988761</v>
      </c>
    </row>
    <row r="5" spans="1:37">
      <c r="A5" s="300" t="str">
        <f>'[1]Cibles THREEME'!Z8</f>
        <v>Centrale nucléaire</v>
      </c>
      <c r="B5" s="300">
        <f>'Cibles THREEME'!W8</f>
        <v>30.282502837176676</v>
      </c>
      <c r="C5" s="300">
        <f t="shared" si="9"/>
        <v>29.721224761616771</v>
      </c>
      <c r="D5" s="300">
        <f t="shared" si="9"/>
        <v>29.170349824786783</v>
      </c>
      <c r="E5" s="300">
        <f t="shared" si="9"/>
        <v>28.629685207297989</v>
      </c>
      <c r="F5" s="300">
        <f t="shared" si="9"/>
        <v>28.099041663617363</v>
      </c>
      <c r="G5" s="300">
        <f>'Cibles THREEME'!X8</f>
        <v>27.578233455827135</v>
      </c>
      <c r="H5" s="300">
        <f t="shared" si="10"/>
        <v>26.976419922651605</v>
      </c>
      <c r="I5" s="300">
        <f t="shared" si="10"/>
        <v>26.387739193261108</v>
      </c>
      <c r="J5" s="300">
        <f t="shared" si="10"/>
        <v>25.811904682981574</v>
      </c>
      <c r="K5" s="300">
        <f t="shared" si="10"/>
        <v>25.248636061003435</v>
      </c>
      <c r="L5" s="300">
        <f>'Cibles THREEME'!Y8</f>
        <v>24.697659113909491</v>
      </c>
      <c r="M5" s="300">
        <f t="shared" si="11"/>
        <v>23.862419456893555</v>
      </c>
      <c r="N5" s="300">
        <f t="shared" si="11"/>
        <v>23.05542641553599</v>
      </c>
      <c r="O5" s="300">
        <f t="shared" si="11"/>
        <v>22.275724729523844</v>
      </c>
      <c r="P5" s="300">
        <f t="shared" si="11"/>
        <v>21.522391444087475</v>
      </c>
      <c r="Q5" s="300">
        <f>'Cibles THREEME'!Z8</f>
        <v>20.794534817473085</v>
      </c>
      <c r="R5" s="300">
        <f t="shared" si="12"/>
        <v>19.593527464009835</v>
      </c>
      <c r="S5" s="300">
        <f t="shared" si="8"/>
        <v>18.461885387324056</v>
      </c>
      <c r="T5" s="300">
        <f t="shared" si="8"/>
        <v>17.395602332492714</v>
      </c>
      <c r="U5" s="300">
        <f t="shared" si="8"/>
        <v>16.390903429505425</v>
      </c>
      <c r="V5" s="300">
        <f t="shared" si="8"/>
        <v>15.444231829417465</v>
      </c>
      <c r="W5" s="300">
        <f t="shared" si="8"/>
        <v>14.552236112343975</v>
      </c>
      <c r="X5" s="300">
        <f t="shared" si="8"/>
        <v>13.711758422716946</v>
      </c>
      <c r="Y5" s="300">
        <f t="shared" si="8"/>
        <v>12.919823289801293</v>
      </c>
      <c r="Z5" s="300">
        <f t="shared" si="8"/>
        <v>12.173627093892224</v>
      </c>
      <c r="AA5" s="300">
        <f t="shared" si="8"/>
        <v>11.470528140902003</v>
      </c>
      <c r="AB5" s="300">
        <f t="shared" si="8"/>
        <v>10.808037310198028</v>
      </c>
      <c r="AC5" s="300">
        <f t="shared" si="8"/>
        <v>10.183809242583559</v>
      </c>
      <c r="AD5" s="300">
        <f t="shared" si="8"/>
        <v>9.5956340372246665</v>
      </c>
      <c r="AE5" s="300">
        <f t="shared" si="8"/>
        <v>9.0414294281287511</v>
      </c>
      <c r="AF5" s="300">
        <f t="shared" si="8"/>
        <v>8.5192334124776927</v>
      </c>
      <c r="AG5" s="300">
        <f t="shared" si="8"/>
        <v>8.0271973047183529</v>
      </c>
      <c r="AH5" s="300">
        <f t="shared" si="8"/>
        <v>7.5635791918204252</v>
      </c>
      <c r="AI5" s="300">
        <f t="shared" si="8"/>
        <v>7.1267377665318445</v>
      </c>
      <c r="AJ5" s="300">
        <f t="shared" si="8"/>
        <v>6.715126516800165</v>
      </c>
      <c r="AK5" s="300">
        <f>'Cibles THREEME'!AA8</f>
        <v>6.3272882507892119</v>
      </c>
    </row>
    <row r="6" spans="1:37">
      <c r="A6" s="300" t="str">
        <f>'[1]Cibles THREEME'!Z9</f>
        <v>Centrale au fioul</v>
      </c>
      <c r="B6" s="300">
        <f>'Cibles THREEME'!W9</f>
        <v>0.16048734404512444</v>
      </c>
      <c r="C6" s="300">
        <f t="shared" si="9"/>
        <v>0.14599992472489351</v>
      </c>
      <c r="D6" s="300">
        <f t="shared" si="9"/>
        <v>0.13282030521784402</v>
      </c>
      <c r="E6" s="300">
        <f t="shared" si="9"/>
        <v>0.12083042858688099</v>
      </c>
      <c r="F6" s="300">
        <f t="shared" si="9"/>
        <v>0.10992289506143885</v>
      </c>
      <c r="G6" s="300">
        <f>'Cibles THREEME'!X9</f>
        <v>0.1</v>
      </c>
      <c r="H6" s="300">
        <f t="shared" si="10"/>
        <v>0.1</v>
      </c>
      <c r="I6" s="300">
        <f t="shared" si="10"/>
        <v>0.1</v>
      </c>
      <c r="J6" s="300">
        <f t="shared" si="10"/>
        <v>0.1</v>
      </c>
      <c r="K6" s="300">
        <f t="shared" si="10"/>
        <v>0.1</v>
      </c>
      <c r="L6" s="300">
        <f>'Cibles THREEME'!Y9</f>
        <v>0.1</v>
      </c>
      <c r="M6" s="300">
        <f t="shared" si="11"/>
        <v>0.1</v>
      </c>
      <c r="N6" s="300">
        <f t="shared" si="11"/>
        <v>0.1</v>
      </c>
      <c r="O6" s="300">
        <f t="shared" si="11"/>
        <v>0.1</v>
      </c>
      <c r="P6" s="300">
        <f t="shared" si="11"/>
        <v>0.1</v>
      </c>
      <c r="Q6" s="300">
        <f>'Cibles THREEME'!Z9</f>
        <v>0.1</v>
      </c>
      <c r="R6" s="300">
        <f t="shared" si="12"/>
        <v>6.3095734448019331E-2</v>
      </c>
      <c r="S6" s="300">
        <f t="shared" si="8"/>
        <v>3.9810717055349727E-2</v>
      </c>
      <c r="T6" s="300">
        <f t="shared" si="8"/>
        <v>2.5118864315095801E-2</v>
      </c>
      <c r="U6" s="300">
        <f t="shared" si="8"/>
        <v>1.5848931924611134E-2</v>
      </c>
      <c r="V6" s="300">
        <f t="shared" si="8"/>
        <v>0.01</v>
      </c>
      <c r="W6" s="300">
        <f t="shared" si="8"/>
        <v>6.3095734448019329E-3</v>
      </c>
      <c r="X6" s="300">
        <f t="shared" si="8"/>
        <v>3.9810717055349725E-3</v>
      </c>
      <c r="Y6" s="300">
        <f t="shared" si="8"/>
        <v>2.5118864315095803E-3</v>
      </c>
      <c r="Z6" s="300">
        <f t="shared" si="8"/>
        <v>1.5848931924611136E-3</v>
      </c>
      <c r="AA6" s="300">
        <f t="shared" si="8"/>
        <v>1E-3</v>
      </c>
      <c r="AB6" s="300">
        <f t="shared" si="8"/>
        <v>6.3095734448019331E-4</v>
      </c>
      <c r="AC6" s="300">
        <f t="shared" si="8"/>
        <v>3.981071705534973E-4</v>
      </c>
      <c r="AD6" s="300">
        <f t="shared" si="8"/>
        <v>2.5118864315095806E-4</v>
      </c>
      <c r="AE6" s="300">
        <f t="shared" si="8"/>
        <v>1.5848931924611139E-4</v>
      </c>
      <c r="AF6" s="300">
        <f t="shared" si="8"/>
        <v>1.0000000000000003E-4</v>
      </c>
      <c r="AG6" s="300">
        <f t="shared" si="8"/>
        <v>6.3095734448019347E-5</v>
      </c>
      <c r="AH6" s="300">
        <f t="shared" si="8"/>
        <v>3.9810717055349742E-5</v>
      </c>
      <c r="AI6" s="300">
        <f t="shared" si="8"/>
        <v>2.5118864315095812E-5</v>
      </c>
      <c r="AJ6" s="300">
        <f t="shared" si="8"/>
        <v>1.5848931924611141E-5</v>
      </c>
      <c r="AK6" s="300">
        <f>'Cibles THREEME'!AA9</f>
        <v>1.0000000000000001E-5</v>
      </c>
    </row>
    <row r="7" spans="1:37">
      <c r="A7" s="300" t="str">
        <f>'[1]Cibles THREEME'!Z10</f>
        <v>Centrale au gaz naturel</v>
      </c>
      <c r="B7" s="300">
        <f>'Cibles THREEME'!W10</f>
        <v>1.0779937364293974</v>
      </c>
      <c r="C7" s="300">
        <f t="shared" si="9"/>
        <v>1.1782171214659862</v>
      </c>
      <c r="D7" s="300">
        <f t="shared" si="9"/>
        <v>1.2877584891296943</v>
      </c>
      <c r="E7" s="300">
        <f t="shared" si="9"/>
        <v>1.407484152209773</v>
      </c>
      <c r="F7" s="300">
        <f t="shared" si="9"/>
        <v>1.5383409664497654</v>
      </c>
      <c r="G7" s="300">
        <f>'Cibles THREEME'!X10</f>
        <v>1.6813638187983606</v>
      </c>
      <c r="H7" s="300">
        <f t="shared" si="10"/>
        <v>1.6762259278356133</v>
      </c>
      <c r="I7" s="300">
        <f t="shared" si="10"/>
        <v>1.6711037371771369</v>
      </c>
      <c r="J7" s="300">
        <f t="shared" si="10"/>
        <v>1.6659971988461337</v>
      </c>
      <c r="K7" s="300">
        <f t="shared" si="10"/>
        <v>1.6609062650124133</v>
      </c>
      <c r="L7" s="300">
        <f>'Cibles THREEME'!Y10</f>
        <v>1.6558308879919448</v>
      </c>
      <c r="M7" s="300">
        <f t="shared" si="11"/>
        <v>1.6700752697928978</v>
      </c>
      <c r="N7" s="300">
        <f t="shared" si="11"/>
        <v>1.6844421897191888</v>
      </c>
      <c r="O7" s="300">
        <f t="shared" si="11"/>
        <v>1.6989327019121889</v>
      </c>
      <c r="P7" s="300">
        <f t="shared" si="11"/>
        <v>1.7135478695815818</v>
      </c>
      <c r="Q7" s="300">
        <f>'Cibles THREEME'!Z10</f>
        <v>1.7282887650833749</v>
      </c>
      <c r="R7" s="300">
        <f t="shared" si="12"/>
        <v>1.6819380117274385</v>
      </c>
      <c r="S7" s="300">
        <f t="shared" si="8"/>
        <v>1.6368303332442125</v>
      </c>
      <c r="T7" s="300">
        <f t="shared" si="8"/>
        <v>1.5929323917691038</v>
      </c>
      <c r="U7" s="300">
        <f t="shared" si="8"/>
        <v>1.550211743521408</v>
      </c>
      <c r="V7" s="300">
        <f t="shared" si="8"/>
        <v>1.5086368148259879</v>
      </c>
      <c r="W7" s="300">
        <f t="shared" si="8"/>
        <v>1.4681768787780258</v>
      </c>
      <c r="X7" s="300">
        <f t="shared" si="8"/>
        <v>1.4288020325335986</v>
      </c>
      <c r="Y7" s="300">
        <f t="shared" si="8"/>
        <v>1.3904831752092957</v>
      </c>
      <c r="Z7" s="300">
        <f t="shared" si="8"/>
        <v>1.3531919863745432</v>
      </c>
      <c r="AA7" s="300">
        <f t="shared" si="8"/>
        <v>1.3169009051207399</v>
      </c>
      <c r="AB7" s="300">
        <f t="shared" si="8"/>
        <v>1.2815831096917358</v>
      </c>
      <c r="AC7" s="300">
        <f t="shared" si="8"/>
        <v>1.2472124976605976</v>
      </c>
      <c r="AD7" s="300">
        <f t="shared" si="8"/>
        <v>1.2137636666380116</v>
      </c>
      <c r="AE7" s="300">
        <f t="shared" si="8"/>
        <v>1.1812118954980648</v>
      </c>
      <c r="AF7" s="300">
        <f t="shared" si="8"/>
        <v>1.1495331261075297</v>
      </c>
      <c r="AG7" s="300">
        <f t="shared" si="8"/>
        <v>1.1187039455451493</v>
      </c>
      <c r="AH7" s="300">
        <f t="shared" si="8"/>
        <v>1.0887015687977806</v>
      </c>
      <c r="AI7" s="300">
        <f t="shared" si="8"/>
        <v>1.0595038219206072</v>
      </c>
      <c r="AJ7" s="300">
        <f t="shared" si="8"/>
        <v>1.0310891256489776</v>
      </c>
      <c r="AK7" s="300">
        <f>'Cibles THREEME'!AA10</f>
        <v>1.0034364794497548</v>
      </c>
    </row>
    <row r="8" spans="1:37">
      <c r="A8" s="300" t="str">
        <f>'[1]Cibles THREEME'!Z11</f>
        <v>Centrale au charbon</v>
      </c>
      <c r="B8" s="300">
        <f>'Cibles THREEME'!W11</f>
        <v>0.84312582943921244</v>
      </c>
      <c r="C8" s="300">
        <f t="shared" si="9"/>
        <v>0.76134607376974872</v>
      </c>
      <c r="D8" s="300">
        <f t="shared" si="9"/>
        <v>0.68749861978508275</v>
      </c>
      <c r="E8" s="300">
        <f t="shared" si="9"/>
        <v>0.62081406667808869</v>
      </c>
      <c r="F8" s="300">
        <f t="shared" si="9"/>
        <v>0.56059764237180354</v>
      </c>
      <c r="G8" s="300">
        <f>'Cibles THREEME'!X11</f>
        <v>0.50622196483795678</v>
      </c>
      <c r="H8" s="300">
        <f t="shared" si="10"/>
        <v>0.36599300757377878</v>
      </c>
      <c r="I8" s="300">
        <f t="shared" si="10"/>
        <v>0.26460898755307499</v>
      </c>
      <c r="J8" s="300">
        <f t="shared" si="10"/>
        <v>0.1913094371884928</v>
      </c>
      <c r="K8" s="300">
        <f t="shared" si="10"/>
        <v>0.13831465475085886</v>
      </c>
      <c r="L8" s="300">
        <f>'Cibles THREEME'!Y11</f>
        <v>0.1</v>
      </c>
      <c r="M8" s="300">
        <f t="shared" si="11"/>
        <v>0.1</v>
      </c>
      <c r="N8" s="300">
        <f t="shared" si="11"/>
        <v>0.1</v>
      </c>
      <c r="O8" s="300">
        <f t="shared" si="11"/>
        <v>0.1</v>
      </c>
      <c r="P8" s="300">
        <f t="shared" si="11"/>
        <v>0.1</v>
      </c>
      <c r="Q8" s="300">
        <f>'Cibles THREEME'!Z11</f>
        <v>0.1</v>
      </c>
      <c r="R8" s="300">
        <f t="shared" si="12"/>
        <v>0.1</v>
      </c>
      <c r="S8" s="300">
        <f t="shared" si="8"/>
        <v>0.1</v>
      </c>
      <c r="T8" s="300">
        <f t="shared" si="8"/>
        <v>0.1</v>
      </c>
      <c r="U8" s="300">
        <f t="shared" si="8"/>
        <v>0.1</v>
      </c>
      <c r="V8" s="300">
        <f t="shared" si="8"/>
        <v>0.1</v>
      </c>
      <c r="W8" s="300">
        <f t="shared" si="8"/>
        <v>0.1</v>
      </c>
      <c r="X8" s="300">
        <f t="shared" si="8"/>
        <v>0.1</v>
      </c>
      <c r="Y8" s="300">
        <f t="shared" si="8"/>
        <v>0.1</v>
      </c>
      <c r="Z8" s="300">
        <f t="shared" si="8"/>
        <v>0.1</v>
      </c>
      <c r="AA8" s="300">
        <f t="shared" si="8"/>
        <v>0.1</v>
      </c>
      <c r="AB8" s="300">
        <f t="shared" si="8"/>
        <v>0.1</v>
      </c>
      <c r="AC8" s="300">
        <f t="shared" si="8"/>
        <v>0.1</v>
      </c>
      <c r="AD8" s="300">
        <f t="shared" si="8"/>
        <v>0.1</v>
      </c>
      <c r="AE8" s="300">
        <f t="shared" si="8"/>
        <v>0.1</v>
      </c>
      <c r="AF8" s="300">
        <f t="shared" si="8"/>
        <v>0.1</v>
      </c>
      <c r="AG8" s="300">
        <f t="shared" si="8"/>
        <v>0.1</v>
      </c>
      <c r="AH8" s="300">
        <f t="shared" si="8"/>
        <v>0.1</v>
      </c>
      <c r="AI8" s="300">
        <f t="shared" si="8"/>
        <v>0.1</v>
      </c>
      <c r="AJ8" s="300">
        <f t="shared" si="8"/>
        <v>0.1</v>
      </c>
      <c r="AK8" s="300">
        <f>'Cibles THREEME'!AA11</f>
        <v>0.1</v>
      </c>
    </row>
    <row r="9" spans="1:37">
      <c r="A9" s="300" t="str">
        <f>'[1]Cibles THREEME'!Z12</f>
        <v xml:space="preserve">Eolien </v>
      </c>
      <c r="B9" s="300">
        <f>'Cibles THREEME'!W12</f>
        <v>1.397212581471037</v>
      </c>
      <c r="C9" s="300">
        <f t="shared" si="9"/>
        <v>1.6107871532427345</v>
      </c>
      <c r="D9" s="300">
        <f t="shared" si="9"/>
        <v>1.8570082229864442</v>
      </c>
      <c r="E9" s="300">
        <f t="shared" si="9"/>
        <v>2.1408660562613817</v>
      </c>
      <c r="F9" s="300">
        <f t="shared" si="9"/>
        <v>2.4681137186787887</v>
      </c>
      <c r="G9" s="300">
        <f>'Cibles THREEME'!X12</f>
        <v>2.8453836756925566</v>
      </c>
      <c r="H9" s="300">
        <f t="shared" si="10"/>
        <v>3.1826072418438649</v>
      </c>
      <c r="I9" s="300">
        <f t="shared" si="10"/>
        <v>3.5597972049838416</v>
      </c>
      <c r="J9" s="300">
        <f t="shared" si="10"/>
        <v>3.9816902236636249</v>
      </c>
      <c r="K9" s="300">
        <f t="shared" si="10"/>
        <v>4.4535843263831234</v>
      </c>
      <c r="L9" s="300">
        <f>'Cibles THREEME'!Y12</f>
        <v>4.9814054429265502</v>
      </c>
      <c r="M9" s="300">
        <f t="shared" si="11"/>
        <v>5.364559496338031</v>
      </c>
      <c r="N9" s="300">
        <f t="shared" si="11"/>
        <v>5.7771845555384722</v>
      </c>
      <c r="O9" s="300">
        <f t="shared" si="11"/>
        <v>6.2215474376853068</v>
      </c>
      <c r="P9" s="300">
        <f t="shared" si="11"/>
        <v>6.7000893163886115</v>
      </c>
      <c r="Q9" s="300">
        <f>'Cibles THREEME'!Z12</f>
        <v>7.2154391326615537</v>
      </c>
      <c r="R9" s="300">
        <f t="shared" si="12"/>
        <v>7.5131104242269631</v>
      </c>
      <c r="S9" s="300">
        <f t="shared" si="8"/>
        <v>7.8230620768616141</v>
      </c>
      <c r="T9" s="300">
        <f t="shared" si="8"/>
        <v>8.1458007140534416</v>
      </c>
      <c r="U9" s="300">
        <f t="shared" si="8"/>
        <v>8.4818538599265327</v>
      </c>
      <c r="V9" s="300">
        <f t="shared" si="8"/>
        <v>8.8317708014920928</v>
      </c>
      <c r="W9" s="300">
        <f t="shared" si="8"/>
        <v>9.1961234864713752</v>
      </c>
      <c r="X9" s="300">
        <f t="shared" si="8"/>
        <v>9.5755074581580963</v>
      </c>
      <c r="Y9" s="300">
        <f t="shared" si="8"/>
        <v>9.9705428288483802</v>
      </c>
      <c r="Z9" s="300">
        <f t="shared" si="8"/>
        <v>10.381875293429333</v>
      </c>
      <c r="AA9" s="300">
        <f t="shared" si="8"/>
        <v>10.81017718478299</v>
      </c>
      <c r="AB9" s="300">
        <f t="shared" si="8"/>
        <v>11.256148572730698</v>
      </c>
      <c r="AC9" s="300">
        <f t="shared" si="8"/>
        <v>11.720518408314211</v>
      </c>
      <c r="AD9" s="300">
        <f t="shared" si="8"/>
        <v>12.204045715283831</v>
      </c>
      <c r="AE9" s="300">
        <f t="shared" si="8"/>
        <v>12.707520830741124</v>
      </c>
      <c r="AF9" s="300">
        <f t="shared" si="8"/>
        <v>13.231766696964065</v>
      </c>
      <c r="AG9" s="300">
        <f t="shared" si="8"/>
        <v>13.777640206526137</v>
      </c>
      <c r="AH9" s="300">
        <f t="shared" si="8"/>
        <v>14.346033602908006</v>
      </c>
      <c r="AI9" s="300">
        <f t="shared" si="8"/>
        <v>14.937875938891121</v>
      </c>
      <c r="AJ9" s="300">
        <f t="shared" si="8"/>
        <v>15.554134595116993</v>
      </c>
      <c r="AK9" s="300">
        <f>'Cibles THREEME'!AA12</f>
        <v>16.195816861294301</v>
      </c>
    </row>
    <row r="10" spans="1:37">
      <c r="A10" s="300" t="str">
        <f>'[1]Cibles THREEME'!Z13</f>
        <v>Photovoltaïque</v>
      </c>
      <c r="B10" s="300">
        <f>'Cibles THREEME'!W13</f>
        <v>0.49001768260121925</v>
      </c>
      <c r="C10" s="300">
        <f t="shared" si="9"/>
        <v>0.58134975663445487</v>
      </c>
      <c r="D10" s="300">
        <f t="shared" si="9"/>
        <v>0.68970478319244843</v>
      </c>
      <c r="E10" s="300">
        <f t="shared" si="9"/>
        <v>0.81825558973726664</v>
      </c>
      <c r="F10" s="300">
        <f t="shared" si="9"/>
        <v>0.97076637200797766</v>
      </c>
      <c r="G10" s="300">
        <f>'Cibles THREEME'!X13</f>
        <v>1.1517029163517507</v>
      </c>
      <c r="H10" s="300">
        <f t="shared" si="10"/>
        <v>1.3074335172595031</v>
      </c>
      <c r="I10" s="300">
        <f t="shared" si="10"/>
        <v>1.484221649336763</v>
      </c>
      <c r="J10" s="300">
        <f t="shared" si="10"/>
        <v>1.6849146631772487</v>
      </c>
      <c r="K10" s="300">
        <f t="shared" si="10"/>
        <v>1.9127449215272561</v>
      </c>
      <c r="L10" s="300">
        <f>'Cibles THREEME'!Y13</f>
        <v>2.1713818597372092</v>
      </c>
      <c r="M10" s="300">
        <f t="shared" si="11"/>
        <v>2.3547232082962872</v>
      </c>
      <c r="N10" s="300">
        <f t="shared" si="11"/>
        <v>2.5535450445184287</v>
      </c>
      <c r="O10" s="300">
        <f t="shared" si="11"/>
        <v>2.7691544685213629</v>
      </c>
      <c r="P10" s="300">
        <f t="shared" si="11"/>
        <v>3.0029689458554176</v>
      </c>
      <c r="Q10" s="300">
        <f>'Cibles THREEME'!Z13</f>
        <v>3.2565256262454798</v>
      </c>
      <c r="R10" s="300">
        <f t="shared" si="12"/>
        <v>3.5432151690550739</v>
      </c>
      <c r="S10" s="300">
        <f t="shared" si="8"/>
        <v>3.8551435410309329</v>
      </c>
      <c r="T10" s="300">
        <f t="shared" si="8"/>
        <v>4.194532652646112</v>
      </c>
      <c r="U10" s="300">
        <f t="shared" si="8"/>
        <v>4.5638000211554912</v>
      </c>
      <c r="V10" s="300">
        <f t="shared" si="8"/>
        <v>4.9655759909174613</v>
      </c>
      <c r="W10" s="300">
        <f t="shared" si="8"/>
        <v>5.4027224697135452</v>
      </c>
      <c r="X10" s="300">
        <f t="shared" si="8"/>
        <v>5.8783533145274589</v>
      </c>
      <c r="Y10" s="300">
        <f t="shared" si="8"/>
        <v>6.3958565119944213</v>
      </c>
      <c r="Z10" s="300">
        <f t="shared" si="8"/>
        <v>6.9589183115152409</v>
      </c>
      <c r="AA10" s="300">
        <f t="shared" si="8"/>
        <v>7.5715494829388028</v>
      </c>
      <c r="AB10" s="300">
        <f t="shared" si="8"/>
        <v>8.2381138858501881</v>
      </c>
      <c r="AC10" s="300">
        <f t="shared" si="8"/>
        <v>8.9633595539675639</v>
      </c>
      <c r="AD10" s="300">
        <f t="shared" si="8"/>
        <v>9.7524525160664481</v>
      </c>
      <c r="AE10" s="300">
        <f t="shared" si="8"/>
        <v>10.611013594342639</v>
      </c>
      <c r="AF10" s="300">
        <f t="shared" si="8"/>
        <v>11.545158442333822</v>
      </c>
      <c r="AG10" s="300">
        <f t="shared" si="8"/>
        <v>12.561541107595707</v>
      </c>
      <c r="AH10" s="300">
        <f t="shared" si="8"/>
        <v>13.667401429435861</v>
      </c>
      <c r="AI10" s="300">
        <f t="shared" si="8"/>
        <v>14.87061660932611</v>
      </c>
      <c r="AJ10" s="300">
        <f t="shared" si="8"/>
        <v>16.179757321336918</v>
      </c>
      <c r="AK10" s="300">
        <f>'Cibles THREEME'!AA13</f>
        <v>17.604148762276406</v>
      </c>
    </row>
    <row r="11" spans="1:37">
      <c r="A11" s="300" t="str">
        <f>'[1]Cibles THREEME'!Z14</f>
        <v>Hydroélectricité et énergies marine</v>
      </c>
      <c r="B11" s="300">
        <f>'Cibles THREEME'!W14</f>
        <v>3.4983289421381669</v>
      </c>
      <c r="C11" s="300">
        <f t="shared" si="9"/>
        <v>3.5414514497824894</v>
      </c>
      <c r="D11" s="300">
        <f t="shared" si="9"/>
        <v>3.5851055114048083</v>
      </c>
      <c r="E11" s="300">
        <f t="shared" si="9"/>
        <v>3.629297679259317</v>
      </c>
      <c r="F11" s="300">
        <f t="shared" si="9"/>
        <v>3.6740345863672363</v>
      </c>
      <c r="G11" s="300">
        <f>'Cibles THREEME'!X14</f>
        <v>3.7193229475123979</v>
      </c>
      <c r="H11" s="300">
        <f t="shared" si="10"/>
        <v>3.687647574120184</v>
      </c>
      <c r="I11" s="300">
        <f t="shared" si="10"/>
        <v>3.656241961997345</v>
      </c>
      <c r="J11" s="300">
        <f t="shared" si="10"/>
        <v>3.6251038137394729</v>
      </c>
      <c r="K11" s="300">
        <f t="shared" si="10"/>
        <v>3.5942308515078558</v>
      </c>
      <c r="L11" s="300">
        <f>'Cibles THREEME'!Y14</f>
        <v>3.5636208168628478</v>
      </c>
      <c r="M11" s="300">
        <f t="shared" si="11"/>
        <v>3.5862003717630029</v>
      </c>
      <c r="N11" s="300">
        <f t="shared" si="11"/>
        <v>3.6089229935958342</v>
      </c>
      <c r="O11" s="300">
        <f t="shared" si="11"/>
        <v>3.6317895888516296</v>
      </c>
      <c r="P11" s="300">
        <f t="shared" si="11"/>
        <v>3.6548010697643147</v>
      </c>
      <c r="Q11" s="300">
        <f>'Cibles THREEME'!Z14</f>
        <v>3.6779583543478478</v>
      </c>
      <c r="R11" s="300">
        <f t="shared" si="12"/>
        <v>3.7155166925886878</v>
      </c>
      <c r="S11" s="300">
        <f t="shared" si="8"/>
        <v>3.7534585666489981</v>
      </c>
      <c r="T11" s="300">
        <f t="shared" si="8"/>
        <v>3.7917878930951585</v>
      </c>
      <c r="U11" s="300">
        <f t="shared" si="8"/>
        <v>3.8305086284884879</v>
      </c>
      <c r="V11" s="300">
        <f t="shared" si="8"/>
        <v>3.8696247697936648</v>
      </c>
      <c r="W11" s="300">
        <f t="shared" si="8"/>
        <v>3.9091403547913126</v>
      </c>
      <c r="X11" s="300">
        <f t="shared" si="8"/>
        <v>3.9490594624948043</v>
      </c>
      <c r="Y11" s="300">
        <f t="shared" si="8"/>
        <v>3.9893862135713176</v>
      </c>
      <c r="Z11" s="300">
        <f t="shared" si="8"/>
        <v>4.0301247707671948</v>
      </c>
      <c r="AA11" s="300">
        <f t="shared" si="8"/>
        <v>4.071279339337643</v>
      </c>
      <c r="AB11" s="300">
        <f t="shared" si="8"/>
        <v>4.1128541674808234</v>
      </c>
      <c r="AC11" s="300">
        <f t="shared" si="8"/>
        <v>4.1548535467763736</v>
      </c>
      <c r="AD11" s="300">
        <f t="shared" si="8"/>
        <v>4.1972818126284075</v>
      </c>
      <c r="AE11" s="300">
        <f t="shared" si="8"/>
        <v>4.2401433447130401</v>
      </c>
      <c r="AF11" s="300">
        <f t="shared" si="8"/>
        <v>4.2834425674304804</v>
      </c>
      <c r="AG11" s="300">
        <f t="shared" si="8"/>
        <v>4.3271839503617429</v>
      </c>
      <c r="AH11" s="300">
        <f t="shared" si="8"/>
        <v>4.3713720087300212</v>
      </c>
      <c r="AI11" s="300">
        <f t="shared" si="8"/>
        <v>4.4160113038667745</v>
      </c>
      <c r="AJ11" s="300">
        <f t="shared" si="8"/>
        <v>4.4611064436825734</v>
      </c>
      <c r="AK11" s="300">
        <f>'Cibles THREEME'!AA14</f>
        <v>4.5066620831427588</v>
      </c>
    </row>
    <row r="12" spans="1:37">
      <c r="A12" s="300" t="str">
        <f>'[1]Cibles THREEME'!Z15</f>
        <v>Autres (méthanisation, UIOM, bois, géothermie, énergie fatale, PAC aérothermique)</v>
      </c>
      <c r="B12" s="300">
        <f>'Cibles THREEME'!W15</f>
        <v>0.33284532024539182</v>
      </c>
      <c r="C12" s="300">
        <f t="shared" si="9"/>
        <v>0.38339143812077681</v>
      </c>
      <c r="D12" s="300">
        <f t="shared" si="9"/>
        <v>0.44161352401154108</v>
      </c>
      <c r="E12" s="300">
        <f t="shared" si="9"/>
        <v>0.50867725566801925</v>
      </c>
      <c r="F12" s="300">
        <f t="shared" si="9"/>
        <v>0.58592533146060355</v>
      </c>
      <c r="G12" s="300">
        <f>'Cibles THREEME'!X15</f>
        <v>0.67490435285212247</v>
      </c>
      <c r="H12" s="300">
        <f t="shared" si="10"/>
        <v>0.6653788626801812</v>
      </c>
      <c r="I12" s="300">
        <f t="shared" si="10"/>
        <v>0.65598781372592119</v>
      </c>
      <c r="J12" s="300">
        <f t="shared" si="10"/>
        <v>0.64672930850788091</v>
      </c>
      <c r="K12" s="300">
        <f t="shared" si="10"/>
        <v>0.63760147632534359</v>
      </c>
      <c r="L12" s="300">
        <f>'Cibles THREEME'!Y15</f>
        <v>0.62860247288035753</v>
      </c>
      <c r="M12" s="300">
        <f t="shared" si="11"/>
        <v>0.64271179476155593</v>
      </c>
      <c r="N12" s="300">
        <f t="shared" si="11"/>
        <v>0.65713780798988675</v>
      </c>
      <c r="O12" s="300">
        <f t="shared" si="11"/>
        <v>0.67188762087361542</v>
      </c>
      <c r="P12" s="300">
        <f t="shared" si="11"/>
        <v>0.68696850127082432</v>
      </c>
      <c r="Q12" s="300">
        <f>'Cibles THREEME'!Z15</f>
        <v>0.70238788017059361</v>
      </c>
      <c r="R12" s="300">
        <f t="shared" si="12"/>
        <v>0.63715949396652671</v>
      </c>
      <c r="S12" s="300">
        <f t="shared" si="8"/>
        <v>0.57798864731703403</v>
      </c>
      <c r="T12" s="300">
        <f t="shared" si="8"/>
        <v>0.52431279701676259</v>
      </c>
      <c r="U12" s="300">
        <f t="shared" si="8"/>
        <v>0.47562164134471774</v>
      </c>
      <c r="V12" s="300">
        <f t="shared" si="8"/>
        <v>0.43145226857434699</v>
      </c>
      <c r="W12" s="300">
        <f t="shared" si="8"/>
        <v>0.39138475602507994</v>
      </c>
      <c r="X12" s="300">
        <f t="shared" si="8"/>
        <v>0.35503817781506308</v>
      </c>
      <c r="Y12" s="300">
        <f t="shared" si="8"/>
        <v>0.32206698336039158</v>
      </c>
      <c r="Z12" s="300">
        <f t="shared" si="8"/>
        <v>0.29215771219086611</v>
      </c>
      <c r="AA12" s="300">
        <f t="shared" si="8"/>
        <v>0.26502601384969604</v>
      </c>
      <c r="AB12" s="300">
        <f t="shared" si="8"/>
        <v>0.24041394454503534</v>
      </c>
      <c r="AC12" s="300">
        <f t="shared" si="8"/>
        <v>0.21808751485234482</v>
      </c>
      <c r="AD12" s="300">
        <f t="shared" si="8"/>
        <v>0.19783446515333963</v>
      </c>
      <c r="AE12" s="300">
        <f t="shared" si="8"/>
        <v>0.17946224766239591</v>
      </c>
      <c r="AF12" s="300">
        <f t="shared" si="8"/>
        <v>0.16279619585533803</v>
      </c>
      <c r="AG12" s="300">
        <f t="shared" si="8"/>
        <v>0.14767786389718149</v>
      </c>
      <c r="AH12" s="300">
        <f t="shared" si="8"/>
        <v>0.13396352028160344</v>
      </c>
      <c r="AI12" s="300">
        <f t="shared" si="8"/>
        <v>0.12152278136101945</v>
      </c>
      <c r="AJ12" s="300">
        <f t="shared" si="8"/>
        <v>0.1102373717760993</v>
      </c>
      <c r="AK12" s="300">
        <f>'Cibles THREEME'!AA15</f>
        <v>0.1</v>
      </c>
    </row>
    <row r="13" spans="1:37">
      <c r="A13" s="300" t="str">
        <f>'[1]Cibles THREEME'!Z17</f>
        <v>Gaz naturel (réseau de gaz et de chaleur)</v>
      </c>
      <c r="B13" s="300">
        <f>'Cibles THREEME'!W17</f>
        <v>30.891463326716522</v>
      </c>
      <c r="C13" s="300">
        <f t="shared" si="9"/>
        <v>30.563125010791616</v>
      </c>
      <c r="D13" s="300">
        <f t="shared" si="9"/>
        <v>30.238276527917485</v>
      </c>
      <c r="E13" s="300">
        <f t="shared" si="9"/>
        <v>29.916880785454826</v>
      </c>
      <c r="F13" s="300">
        <f t="shared" si="9"/>
        <v>29.598901085013534</v>
      </c>
      <c r="G13" s="300">
        <f>'Cibles THREEME'!X17</f>
        <v>29.284301118262327</v>
      </c>
      <c r="H13" s="300">
        <f t="shared" si="10"/>
        <v>28.484174661400424</v>
      </c>
      <c r="I13" s="300">
        <f t="shared" si="10"/>
        <v>27.705909827405492</v>
      </c>
      <c r="J13" s="300">
        <f t="shared" si="10"/>
        <v>26.948909297503388</v>
      </c>
      <c r="K13" s="300">
        <f t="shared" si="10"/>
        <v>26.212592073287393</v>
      </c>
      <c r="L13" s="300">
        <f>'Cibles THREEME'!Y17</f>
        <v>25.49639303080157</v>
      </c>
      <c r="M13" s="300">
        <f t="shared" si="11"/>
        <v>24.519237145655865</v>
      </c>
      <c r="N13" s="300">
        <f t="shared" si="11"/>
        <v>23.579531013607443</v>
      </c>
      <c r="O13" s="300">
        <f t="shared" si="11"/>
        <v>22.675839363141939</v>
      </c>
      <c r="P13" s="300">
        <f t="shared" si="11"/>
        <v>21.806781929898559</v>
      </c>
      <c r="Q13" s="300">
        <f>'Cibles THREEME'!Z17</f>
        <v>20.971031348506642</v>
      </c>
      <c r="R13" s="300">
        <f t="shared" si="12"/>
        <v>17.861007554132467</v>
      </c>
      <c r="S13" s="300">
        <f t="shared" si="8"/>
        <v>15.212203231554193</v>
      </c>
      <c r="T13" s="300">
        <f t="shared" si="8"/>
        <v>12.956219096641426</v>
      </c>
      <c r="U13" s="300">
        <f t="shared" si="8"/>
        <v>11.034799543828193</v>
      </c>
      <c r="V13" s="300">
        <f t="shared" si="8"/>
        <v>9.3983283289826325</v>
      </c>
      <c r="W13" s="300">
        <f t="shared" si="8"/>
        <v>8.0045473439306836</v>
      </c>
      <c r="X13" s="300">
        <f t="shared" si="8"/>
        <v>6.817465397930361</v>
      </c>
      <c r="Y13" s="300">
        <f t="shared" si="8"/>
        <v>5.8064288278860428</v>
      </c>
      <c r="Z13" s="300">
        <f t="shared" si="8"/>
        <v>4.945329937947486</v>
      </c>
      <c r="AA13" s="300">
        <f t="shared" si="8"/>
        <v>4.2119328282653781</v>
      </c>
      <c r="AB13" s="300">
        <f t="shared" si="8"/>
        <v>3.5872992039804261</v>
      </c>
      <c r="AC13" s="300">
        <f t="shared" si="8"/>
        <v>3.0552993372827335</v>
      </c>
      <c r="AD13" s="300">
        <f t="shared" si="8"/>
        <v>2.6021955542605602</v>
      </c>
      <c r="AE13" s="300">
        <f t="shared" si="8"/>
        <v>2.2162874910435675</v>
      </c>
      <c r="AF13" s="300">
        <f t="shared" si="8"/>
        <v>1.8876099587957236</v>
      </c>
      <c r="AG13" s="300">
        <f t="shared" si="8"/>
        <v>1.6076756156156777</v>
      </c>
      <c r="AH13" s="300">
        <f t="shared" si="8"/>
        <v>1.369255800437825</v>
      </c>
      <c r="AI13" s="300">
        <f t="shared" si="8"/>
        <v>1.1661938694732452</v>
      </c>
      <c r="AJ13" s="300">
        <f t="shared" si="8"/>
        <v>0.99324621503309496</v>
      </c>
      <c r="AK13" s="300">
        <f>'Cibles THREEME'!AA17</f>
        <v>0.84594686141093767</v>
      </c>
    </row>
    <row r="14" spans="1:37">
      <c r="A14" s="300" t="str">
        <f>'[1]Cibles THREEME'!Z18</f>
        <v>Bois énergie direct et réseau chaleur</v>
      </c>
      <c r="B14" s="300">
        <f>'Cibles THREEME'!W18</f>
        <v>3.2476583696030268</v>
      </c>
      <c r="C14" s="300">
        <f t="shared" si="9"/>
        <v>3.4005446961986743</v>
      </c>
      <c r="D14" s="300">
        <f t="shared" si="9"/>
        <v>3.5606282788476942</v>
      </c>
      <c r="E14" s="300">
        <f t="shared" si="9"/>
        <v>3.7282479346035879</v>
      </c>
      <c r="F14" s="300">
        <f t="shared" si="9"/>
        <v>3.9037584306256883</v>
      </c>
      <c r="G14" s="300">
        <f>'Cibles THREEME'!X18</f>
        <v>4.0875312350441853</v>
      </c>
      <c r="H14" s="300">
        <f t="shared" si="10"/>
        <v>4.2477810512204845</v>
      </c>
      <c r="I14" s="300">
        <f t="shared" si="10"/>
        <v>4.414313389072551</v>
      </c>
      <c r="J14" s="300">
        <f t="shared" si="10"/>
        <v>4.5873745520255502</v>
      </c>
      <c r="K14" s="300">
        <f t="shared" si="10"/>
        <v>4.7672204997192029</v>
      </c>
      <c r="L14" s="300">
        <f>'Cibles THREEME'!Y18</f>
        <v>4.9541172265753168</v>
      </c>
      <c r="M14" s="300">
        <f t="shared" si="11"/>
        <v>5.0818964431733153</v>
      </c>
      <c r="N14" s="300">
        <f t="shared" si="11"/>
        <v>5.2129714090335257</v>
      </c>
      <c r="O14" s="300">
        <f t="shared" si="11"/>
        <v>5.3474271298672731</v>
      </c>
      <c r="P14" s="300">
        <f t="shared" si="11"/>
        <v>5.4853508038982302</v>
      </c>
      <c r="Q14" s="300">
        <f>'Cibles THREEME'!Z18</f>
        <v>5.6268318784128599</v>
      </c>
      <c r="R14" s="300">
        <f t="shared" si="12"/>
        <v>5.6171241648563006</v>
      </c>
      <c r="S14" s="300">
        <f t="shared" si="8"/>
        <v>5.6074331995702655</v>
      </c>
      <c r="T14" s="300">
        <f t="shared" si="8"/>
        <v>5.5977589536597367</v>
      </c>
      <c r="U14" s="300">
        <f t="shared" si="8"/>
        <v>5.5881013982795462</v>
      </c>
      <c r="V14" s="300">
        <f t="shared" si="8"/>
        <v>5.5784605046342914</v>
      </c>
      <c r="W14" s="300">
        <f t="shared" si="8"/>
        <v>5.5688362439782493</v>
      </c>
      <c r="X14" s="300">
        <f t="shared" si="8"/>
        <v>5.5592285876152916</v>
      </c>
      <c r="Y14" s="300">
        <f t="shared" si="8"/>
        <v>5.5496375068987964</v>
      </c>
      <c r="Z14" s="300">
        <f t="shared" si="8"/>
        <v>5.5400629732315654</v>
      </c>
      <c r="AA14" s="300">
        <f t="shared" si="8"/>
        <v>5.5305049580657375</v>
      </c>
      <c r="AB14" s="300">
        <f t="shared" si="8"/>
        <v>5.520963432902704</v>
      </c>
      <c r="AC14" s="300">
        <f t="shared" si="8"/>
        <v>5.5114383692930238</v>
      </c>
      <c r="AD14" s="300">
        <f t="shared" si="8"/>
        <v>5.5019297388363375</v>
      </c>
      <c r="AE14" s="300">
        <f t="shared" si="8"/>
        <v>5.4924375131812848</v>
      </c>
      <c r="AF14" s="300">
        <f t="shared" si="8"/>
        <v>5.4829616640254173</v>
      </c>
      <c r="AG14" s="300">
        <f t="shared" si="8"/>
        <v>5.4735021631151168</v>
      </c>
      <c r="AH14" s="300">
        <f t="shared" si="8"/>
        <v>5.4640589822455086</v>
      </c>
      <c r="AI14" s="300">
        <f t="shared" si="8"/>
        <v>5.4546320932603791</v>
      </c>
      <c r="AJ14" s="300">
        <f t="shared" si="8"/>
        <v>5.4452214680520914</v>
      </c>
      <c r="AK14" s="300">
        <f>'Cibles THREEME'!AA18</f>
        <v>5.4358270785614975</v>
      </c>
    </row>
    <row r="15" spans="1:37">
      <c r="A15" s="300" t="str">
        <f>'[1]Cibles THREEME'!Z19</f>
        <v>Biogaz, biométhane, BtG et H2 direct et réseau de chaleur</v>
      </c>
      <c r="B15" s="300">
        <f>'Cibles THREEME'!W19</f>
        <v>6.3456577815993124E-3</v>
      </c>
      <c r="C15" s="300">
        <f t="shared" si="9"/>
        <v>1.5843672964336492E-2</v>
      </c>
      <c r="D15" s="300">
        <f t="shared" si="9"/>
        <v>3.9558069728995275E-2</v>
      </c>
      <c r="E15" s="300">
        <f t="shared" si="9"/>
        <v>9.876755751058798E-2</v>
      </c>
      <c r="F15" s="300">
        <f t="shared" si="9"/>
        <v>0.24660026344655189</v>
      </c>
      <c r="G15" s="300">
        <f>'Cibles THREEME'!X19</f>
        <v>0.61570511071299594</v>
      </c>
      <c r="H15" s="300">
        <f t="shared" si="10"/>
        <v>0.72481764312060792</v>
      </c>
      <c r="I15" s="300">
        <f t="shared" si="10"/>
        <v>0.85326661519917757</v>
      </c>
      <c r="J15" s="300">
        <f t="shared" si="10"/>
        <v>1.0044787451349515</v>
      </c>
      <c r="K15" s="300">
        <f t="shared" si="10"/>
        <v>1.1824880189322322</v>
      </c>
      <c r="L15" s="300">
        <f>'Cibles THREEME'!Y19</f>
        <v>1.3920433077261551</v>
      </c>
      <c r="M15" s="300">
        <f t="shared" si="11"/>
        <v>1.5560078345503865</v>
      </c>
      <c r="N15" s="300">
        <f t="shared" si="11"/>
        <v>1.7392852418773146</v>
      </c>
      <c r="O15" s="300">
        <f t="shared" si="11"/>
        <v>1.9441503348769096</v>
      </c>
      <c r="P15" s="300">
        <f t="shared" si="11"/>
        <v>2.1731458610678036</v>
      </c>
      <c r="Q15" s="300">
        <f>'Cibles THREEME'!Z19</f>
        <v>2.4291140704276488</v>
      </c>
      <c r="R15" s="300">
        <f t="shared" si="12"/>
        <v>2.6099755056960348</v>
      </c>
      <c r="S15" s="300">
        <f t="shared" si="8"/>
        <v>2.8043031092129875</v>
      </c>
      <c r="T15" s="300">
        <f t="shared" si="8"/>
        <v>3.0130995142210759</v>
      </c>
      <c r="U15" s="300">
        <f t="shared" si="8"/>
        <v>3.2374420057420936</v>
      </c>
      <c r="V15" s="300">
        <f t="shared" si="8"/>
        <v>3.4784880788289758</v>
      </c>
      <c r="W15" s="300">
        <f t="shared" si="8"/>
        <v>3.7374814106613585</v>
      </c>
      <c r="X15" s="300">
        <f t="shared" si="8"/>
        <v>4.0157582772978104</v>
      </c>
      <c r="Y15" s="300">
        <f t="shared" si="8"/>
        <v>4.314754448191966</v>
      </c>
      <c r="Z15" s="300">
        <f t="shared" si="8"/>
        <v>4.6360125940448143</v>
      </c>
      <c r="AA15" s="300">
        <f t="shared" si="8"/>
        <v>4.9811902462139619</v>
      </c>
      <c r="AB15" s="300">
        <f t="shared" si="8"/>
        <v>5.3520683487464362</v>
      </c>
      <c r="AC15" s="300">
        <f t="shared" si="8"/>
        <v>5.7505604471592395</v>
      </c>
      <c r="AD15" s="300">
        <f t="shared" si="8"/>
        <v>6.1787225613771719</v>
      </c>
      <c r="AE15" s="300">
        <f t="shared" si="8"/>
        <v>6.6387637937673398</v>
      </c>
      <c r="AF15" s="300">
        <f t="shared" si="8"/>
        <v>7.1330577270025008</v>
      </c>
      <c r="AG15" s="300">
        <f t="shared" si="8"/>
        <v>7.6641546705605279</v>
      </c>
      <c r="AH15" s="300">
        <f t="shared" si="8"/>
        <v>8.234794819045792</v>
      </c>
      <c r="AI15" s="300">
        <f t="shared" si="8"/>
        <v>8.8479223902228359</v>
      </c>
      <c r="AJ15" s="300">
        <f t="shared" si="8"/>
        <v>9.5067008157075072</v>
      </c>
      <c r="AK15" s="300">
        <f>'Cibles THREEME'!AA19</f>
        <v>10.214529062691906</v>
      </c>
    </row>
    <row r="16" spans="1:37">
      <c r="A16" s="300" t="str">
        <f>'[1]Cibles THREEME'!Z20</f>
        <v>UIOM et déchets directs</v>
      </c>
      <c r="B16" s="300">
        <f>'Cibles THREEME'!W20</f>
        <v>0.48</v>
      </c>
      <c r="C16" s="300">
        <f t="shared" si="9"/>
        <v>0.46799245212324708</v>
      </c>
      <c r="D16" s="300">
        <f t="shared" si="9"/>
        <v>0.45628528175902022</v>
      </c>
      <c r="E16" s="300">
        <f t="shared" si="9"/>
        <v>0.44487097474614706</v>
      </c>
      <c r="F16" s="300">
        <f t="shared" si="9"/>
        <v>0.43374220489564269</v>
      </c>
      <c r="G16" s="300">
        <f>'Cibles THREEME'!X20</f>
        <v>0.42289182928844943</v>
      </c>
      <c r="H16" s="300">
        <f t="shared" si="10"/>
        <v>0.42477577379966552</v>
      </c>
      <c r="I16" s="300">
        <f t="shared" si="10"/>
        <v>0.42666811111177189</v>
      </c>
      <c r="J16" s="300">
        <f t="shared" si="10"/>
        <v>0.42856887861393067</v>
      </c>
      <c r="K16" s="300">
        <f t="shared" si="10"/>
        <v>0.43047811386186929</v>
      </c>
      <c r="L16" s="300">
        <f>'Cibles THREEME'!Y20</f>
        <v>0.43239585457862251</v>
      </c>
      <c r="M16" s="300">
        <f t="shared" si="11"/>
        <v>0.43420082534469651</v>
      </c>
      <c r="N16" s="300">
        <f t="shared" si="11"/>
        <v>0.43601333068685832</v>
      </c>
      <c r="O16" s="300">
        <f t="shared" si="11"/>
        <v>0.43783340205705051</v>
      </c>
      <c r="P16" s="300">
        <f t="shared" si="11"/>
        <v>0.43966107103850699</v>
      </c>
      <c r="Q16" s="300">
        <f>'Cibles THREEME'!Z20</f>
        <v>0.44149636934630082</v>
      </c>
      <c r="R16" s="300">
        <f t="shared" si="12"/>
        <v>0.44290831230312777</v>
      </c>
      <c r="S16" s="300">
        <f t="shared" si="8"/>
        <v>0.44432477077367522</v>
      </c>
      <c r="T16" s="300">
        <f t="shared" si="8"/>
        <v>0.44574575919894027</v>
      </c>
      <c r="U16" s="300">
        <f t="shared" si="8"/>
        <v>0.44717129206610357</v>
      </c>
      <c r="V16" s="300">
        <f t="shared" si="8"/>
        <v>0.44860138390867699</v>
      </c>
      <c r="W16" s="300">
        <f t="shared" si="8"/>
        <v>0.45003604930665186</v>
      </c>
      <c r="X16" s="300">
        <f t="shared" si="8"/>
        <v>0.4514753028866475</v>
      </c>
      <c r="Y16" s="300">
        <f t="shared" si="8"/>
        <v>0.45291915932206045</v>
      </c>
      <c r="Z16" s="300">
        <f t="shared" si="8"/>
        <v>0.454367633333214</v>
      </c>
      <c r="AA16" s="300">
        <f t="shared" si="8"/>
        <v>0.45582073968750825</v>
      </c>
      <c r="AB16" s="300">
        <f t="shared" si="8"/>
        <v>0.45727849319957076</v>
      </c>
      <c r="AC16" s="300">
        <f t="shared" si="8"/>
        <v>0.45874090873140749</v>
      </c>
      <c r="AD16" s="300">
        <f t="shared" si="8"/>
        <v>0.46020800119255445</v>
      </c>
      <c r="AE16" s="300">
        <f t="shared" si="8"/>
        <v>0.46167978554022948</v>
      </c>
      <c r="AF16" s="300">
        <f t="shared" si="8"/>
        <v>0.4631562767794849</v>
      </c>
      <c r="AG16" s="300">
        <f t="shared" si="8"/>
        <v>0.46463748996336057</v>
      </c>
      <c r="AH16" s="300">
        <f t="shared" si="8"/>
        <v>0.46612344019303714</v>
      </c>
      <c r="AI16" s="300">
        <f t="shared" si="8"/>
        <v>0.46761414261799022</v>
      </c>
      <c r="AJ16" s="300">
        <f t="shared" si="8"/>
        <v>0.46910961243614463</v>
      </c>
      <c r="AK16" s="300">
        <f>'Cibles THREEME'!AA20</f>
        <v>0.47060986489403045</v>
      </c>
    </row>
    <row r="17" spans="1:37">
      <c r="A17" s="300" t="str">
        <f>'[1]Cibles THREEME'!Z21</f>
        <v>Géothermie et  PAC géothermique</v>
      </c>
      <c r="B17" s="300">
        <f>'Cibles THREEME'!W21</f>
        <v>0.26724398732615506</v>
      </c>
      <c r="C17" s="300">
        <f t="shared" si="9"/>
        <v>0.28087270682676707</v>
      </c>
      <c r="D17" s="300">
        <f t="shared" si="9"/>
        <v>0.29519645410736678</v>
      </c>
      <c r="E17" s="300">
        <f t="shared" si="9"/>
        <v>0.31025067370219184</v>
      </c>
      <c r="F17" s="300">
        <f t="shared" si="9"/>
        <v>0.32607261772072149</v>
      </c>
      <c r="G17" s="300">
        <f>'Cibles THREEME'!X21</f>
        <v>0.34270143802911768</v>
      </c>
      <c r="H17" s="300">
        <f t="shared" si="10"/>
        <v>0.38486689664970236</v>
      </c>
      <c r="I17" s="300">
        <f t="shared" si="10"/>
        <v>0.43222032854203379</v>
      </c>
      <c r="J17" s="300">
        <f t="shared" si="10"/>
        <v>0.48540005396987451</v>
      </c>
      <c r="K17" s="300">
        <f t="shared" si="10"/>
        <v>0.5451229311419199</v>
      </c>
      <c r="L17" s="300">
        <f>'Cibles THREEME'!Y21</f>
        <v>0.61219401939992557</v>
      </c>
      <c r="M17" s="300">
        <f t="shared" si="11"/>
        <v>0.70102204164765625</v>
      </c>
      <c r="N17" s="300">
        <f t="shared" si="11"/>
        <v>0.8027388169481815</v>
      </c>
      <c r="O17" s="300">
        <f t="shared" si="11"/>
        <v>0.91921447536915757</v>
      </c>
      <c r="P17" s="300">
        <f t="shared" si="11"/>
        <v>1.0525904987882742</v>
      </c>
      <c r="Q17" s="300">
        <f>'Cibles THREEME'!Z21</f>
        <v>1.2053190934513902</v>
      </c>
      <c r="R17" s="300">
        <f t="shared" si="12"/>
        <v>1.2677133981120794</v>
      </c>
      <c r="S17" s="300">
        <f t="shared" ref="S17:AJ18" si="13">R17*($AK17/$Q17)^(1/20)</f>
        <v>1.3333375937412615</v>
      </c>
      <c r="T17" s="300">
        <f t="shared" si="13"/>
        <v>1.4023588782222225</v>
      </c>
      <c r="U17" s="300">
        <f t="shared" si="13"/>
        <v>1.4749531045700923</v>
      </c>
      <c r="V17" s="300">
        <f t="shared" si="13"/>
        <v>1.551305228971652</v>
      </c>
      <c r="W17" s="300">
        <f t="shared" si="13"/>
        <v>1.6316097820182771</v>
      </c>
      <c r="X17" s="300">
        <f t="shared" si="13"/>
        <v>1.7160713643326326</v>
      </c>
      <c r="Y17" s="300">
        <f t="shared" si="13"/>
        <v>1.804905167851877</v>
      </c>
      <c r="Z17" s="300">
        <f t="shared" si="13"/>
        <v>1.8983375240955094</v>
      </c>
      <c r="AA17" s="300">
        <f t="shared" si="13"/>
        <v>1.996606480814737</v>
      </c>
      <c r="AB17" s="300">
        <f t="shared" si="13"/>
        <v>2.0999624084925599</v>
      </c>
      <c r="AC17" s="300">
        <f t="shared" si="13"/>
        <v>2.2086686382398142</v>
      </c>
      <c r="AD17" s="300">
        <f t="shared" si="13"/>
        <v>2.3230021327124146</v>
      </c>
      <c r="AE17" s="300">
        <f t="shared" si="13"/>
        <v>2.4432541917591624</v>
      </c>
      <c r="AF17" s="300">
        <f t="shared" si="13"/>
        <v>2.5697311945979751</v>
      </c>
      <c r="AG17" s="300">
        <f t="shared" si="13"/>
        <v>2.702755380411463</v>
      </c>
      <c r="AH17" s="300">
        <f t="shared" si="13"/>
        <v>2.8426656693506556</v>
      </c>
      <c r="AI17" s="300">
        <f t="shared" si="13"/>
        <v>2.9898185260386425</v>
      </c>
      <c r="AJ17" s="300">
        <f t="shared" si="13"/>
        <v>3.1445888677741696</v>
      </c>
      <c r="AK17" s="300">
        <f>'Cibles THREEME'!AA21</f>
        <v>3.3073710197491195</v>
      </c>
    </row>
    <row r="18" spans="1:37">
      <c r="A18" s="300" t="str">
        <f>'[1]Cibles THREEME'!Z22</f>
        <v>Autres (solaire thermique, chaleur fatale, pac AEROTHERMIQUE)</v>
      </c>
      <c r="B18" s="300">
        <f>'Cibles THREEME'!W22</f>
        <v>1.1222384344172343</v>
      </c>
      <c r="C18" s="300">
        <f t="shared" si="9"/>
        <v>1.2314988080347478</v>
      </c>
      <c r="D18" s="300">
        <f t="shared" si="9"/>
        <v>1.3513966975997862</v>
      </c>
      <c r="E18" s="300">
        <f t="shared" si="9"/>
        <v>1.4829677644576966</v>
      </c>
      <c r="F18" s="300">
        <f t="shared" si="9"/>
        <v>1.627348501240711</v>
      </c>
      <c r="G18" s="300">
        <f>'Cibles THREEME'!X22</f>
        <v>1.7857860487337189</v>
      </c>
      <c r="H18" s="300">
        <f t="shared" si="10"/>
        <v>1.9723829255668872</v>
      </c>
      <c r="I18" s="300">
        <f t="shared" si="10"/>
        <v>2.1784773197362348</v>
      </c>
      <c r="J18" s="300">
        <f t="shared" si="10"/>
        <v>2.4061065278392522</v>
      </c>
      <c r="K18" s="300">
        <f t="shared" si="10"/>
        <v>2.6575207237005447</v>
      </c>
      <c r="L18" s="300">
        <f>'Cibles THREEME'!Y22</f>
        <v>2.9352052019243313</v>
      </c>
      <c r="M18" s="300">
        <f t="shared" si="11"/>
        <v>3.0941205650976857</v>
      </c>
      <c r="N18" s="300">
        <f t="shared" si="11"/>
        <v>3.261639787597796</v>
      </c>
      <c r="O18" s="300">
        <f t="shared" si="11"/>
        <v>3.4382286921987251</v>
      </c>
      <c r="P18" s="300">
        <f t="shared" si="11"/>
        <v>3.6243783218517369</v>
      </c>
      <c r="Q18" s="300">
        <f>'Cibles THREEME'!Z22</f>
        <v>3.8206063051345036</v>
      </c>
      <c r="R18" s="300">
        <f t="shared" si="12"/>
        <v>3.8727055937483992</v>
      </c>
      <c r="S18" s="300">
        <f t="shared" si="13"/>
        <v>3.9255153287305653</v>
      </c>
      <c r="T18" s="300">
        <f t="shared" si="13"/>
        <v>3.9790451980067991</v>
      </c>
      <c r="U18" s="300">
        <f t="shared" si="13"/>
        <v>4.0333050216112607</v>
      </c>
      <c r="V18" s="300">
        <f t="shared" si="13"/>
        <v>4.0883047534879537</v>
      </c>
      <c r="W18" s="300">
        <f t="shared" si="13"/>
        <v>4.1440544833167721</v>
      </c>
      <c r="X18" s="300">
        <f t="shared" si="13"/>
        <v>4.2005644383644505</v>
      </c>
      <c r="Y18" s="300">
        <f t="shared" si="13"/>
        <v>4.2578449853607498</v>
      </c>
      <c r="Z18" s="300">
        <f t="shared" si="13"/>
        <v>4.3159066324002318</v>
      </c>
      <c r="AA18" s="300">
        <f t="shared" si="13"/>
        <v>4.3747600308699619</v>
      </c>
      <c r="AB18" s="300">
        <f t="shared" si="13"/>
        <v>4.434415977403507</v>
      </c>
      <c r="AC18" s="300">
        <f t="shared" si="13"/>
        <v>4.4948854158615692</v>
      </c>
      <c r="AD18" s="300">
        <f t="shared" si="13"/>
        <v>4.5561794393396351</v>
      </c>
      <c r="AE18" s="300">
        <f t="shared" si="13"/>
        <v>4.6183092922030005</v>
      </c>
      <c r="AF18" s="300">
        <f t="shared" si="13"/>
        <v>4.6812863721495432</v>
      </c>
      <c r="AG18" s="300">
        <f t="shared" si="13"/>
        <v>4.745122232300627</v>
      </c>
      <c r="AH18" s="300">
        <f t="shared" si="13"/>
        <v>4.8098285833205185</v>
      </c>
      <c r="AI18" s="300">
        <f t="shared" si="13"/>
        <v>4.8754172955647022</v>
      </c>
      <c r="AJ18" s="300">
        <f t="shared" si="13"/>
        <v>4.9419004012574934</v>
      </c>
      <c r="AK18" s="300">
        <f>'Cibles THREEME'!AA22</f>
        <v>5.0092900966993419</v>
      </c>
    </row>
    <row r="20" spans="1:37" hidden="1">
      <c r="A20" s="464" t="s">
        <v>380</v>
      </c>
    </row>
    <row r="21" spans="1:37" hidden="1">
      <c r="A21" s="300" t="str">
        <f>'[1]Cibles THREEME'!R23</f>
        <v>Charbon</v>
      </c>
      <c r="B21" s="300">
        <f>'Cibles THREEME'!W23</f>
        <v>1.1313605731176026</v>
      </c>
    </row>
    <row r="22" spans="1:37" hidden="1">
      <c r="A22" s="300" t="str">
        <f>'[1]Cibles THREEME'!R4</f>
        <v>Produits pétroliers</v>
      </c>
      <c r="B22" s="300">
        <f>'Cibles THREEME'!V4</f>
        <v>76.190000000000012</v>
      </c>
    </row>
    <row r="23" spans="1:37" hidden="1">
      <c r="A23" s="300" t="str">
        <f>'[1]Cibles THREEME'!R5</f>
        <v>Biocarburants liquides et gazeux</v>
      </c>
      <c r="B23" s="300">
        <f>'Cibles THREEME'!V5</f>
        <v>2.7880133928571427</v>
      </c>
    </row>
    <row r="24" spans="1:37" hidden="1">
      <c r="A24" s="300" t="str">
        <f>'[1]Cibles THREEME'!R8</f>
        <v>Centrale nucléaire</v>
      </c>
      <c r="B24" s="300">
        <f>'Cibles THREEME'!W8</f>
        <v>30.282502837176676</v>
      </c>
    </row>
    <row r="25" spans="1:37" hidden="1">
      <c r="A25" s="300" t="str">
        <f>'[1]Cibles THREEME'!R9</f>
        <v>Centrale au fioul</v>
      </c>
      <c r="B25" s="300">
        <f>'Cibles THREEME'!W9</f>
        <v>0.16048734404512444</v>
      </c>
    </row>
    <row r="26" spans="1:37" hidden="1">
      <c r="A26" s="300" t="str">
        <f>'[1]Cibles THREEME'!R10</f>
        <v>Centrale au gaz naturel</v>
      </c>
      <c r="B26" s="300">
        <f>'Cibles THREEME'!W10</f>
        <v>1.0779937364293974</v>
      </c>
    </row>
    <row r="27" spans="1:37" hidden="1">
      <c r="A27" s="300" t="str">
        <f>'[1]Cibles THREEME'!R11</f>
        <v>Centrale au charbon</v>
      </c>
      <c r="B27" s="300">
        <f>'Cibles THREEME'!W11</f>
        <v>0.84312582943921244</v>
      </c>
    </row>
    <row r="28" spans="1:37" hidden="1">
      <c r="A28" s="300" t="str">
        <f>'[1]Cibles THREEME'!R12</f>
        <v xml:space="preserve">Eolien </v>
      </c>
      <c r="B28" s="300">
        <f>'Cibles THREEME'!W12</f>
        <v>1.397212581471037</v>
      </c>
    </row>
    <row r="29" spans="1:37" hidden="1">
      <c r="A29" s="300" t="str">
        <f>'[1]Cibles THREEME'!R13</f>
        <v>Photovoltaïque</v>
      </c>
      <c r="B29" s="300">
        <f>'Cibles THREEME'!W13</f>
        <v>0.49001768260121925</v>
      </c>
    </row>
    <row r="30" spans="1:37" hidden="1">
      <c r="A30" s="300" t="str">
        <f>'[1]Cibles THREEME'!R14</f>
        <v>Hydroélectricité et énergies marine</v>
      </c>
      <c r="B30" s="300">
        <f>'Cibles THREEME'!W14</f>
        <v>3.4983289421381669</v>
      </c>
    </row>
    <row r="31" spans="1:37" hidden="1">
      <c r="A31" s="300" t="str">
        <f>'[1]Cibles THREEME'!R15</f>
        <v>Autres (méthanisation, UIOM, bois, géothermie, énergie fatale, PAC aérothermique)</v>
      </c>
      <c r="B31" s="300">
        <f>'Cibles THREEME'!W15</f>
        <v>0.33284532024539182</v>
      </c>
    </row>
    <row r="32" spans="1:37" hidden="1">
      <c r="A32" s="300" t="str">
        <f>'[1]Cibles THREEME'!R17</f>
        <v>Gaz naturel (réseau de gaz et de chaleur)</v>
      </c>
      <c r="B32" s="300">
        <f>'Cibles THREEME'!W17</f>
        <v>30.891463326716522</v>
      </c>
    </row>
    <row r="33" spans="1:37" hidden="1">
      <c r="A33" s="300" t="str">
        <f>'[1]Cibles THREEME'!R18</f>
        <v>Bois énergie direct et réseau chaleur</v>
      </c>
      <c r="B33" s="300">
        <f>'Cibles THREEME'!W18</f>
        <v>3.2476583696030268</v>
      </c>
    </row>
    <row r="34" spans="1:37" hidden="1">
      <c r="A34" s="300" t="str">
        <f>'[1]Cibles THREEME'!R19</f>
        <v>Biogaz, biométhane, BtG et H2 direct et réseau de chaleur</v>
      </c>
      <c r="B34" s="300">
        <f>'Cibles THREEME'!W19</f>
        <v>6.3456577815993124E-3</v>
      </c>
    </row>
    <row r="35" spans="1:37" hidden="1">
      <c r="A35" s="300" t="str">
        <f>'[1]Cibles THREEME'!R20</f>
        <v>UIOM et déchets directs</v>
      </c>
      <c r="B35" s="300">
        <f>'Cibles THREEME'!W20</f>
        <v>0.48</v>
      </c>
    </row>
    <row r="36" spans="1:37" hidden="1">
      <c r="A36" s="300" t="str">
        <f>'[1]Cibles THREEME'!R21</f>
        <v>Géothermie et  PAC géothermique</v>
      </c>
      <c r="B36" s="300">
        <f>'Cibles THREEME'!W21</f>
        <v>0.26724398732615506</v>
      </c>
    </row>
    <row r="37" spans="1:37" hidden="1">
      <c r="A37" s="300" t="str">
        <f>'[1]Cibles THREEME'!R22</f>
        <v>Autres (solaire thermique, chaleur fatale, pac AEROTHERMIQUE)</v>
      </c>
      <c r="B37" s="300">
        <f>'Cibles THREEME'!W22</f>
        <v>1.1222384344172343</v>
      </c>
    </row>
    <row r="39" spans="1:37">
      <c r="A39" s="464"/>
    </row>
    <row r="41" spans="1:37">
      <c r="A41" s="300" t="str">
        <f>A1</f>
        <v>PhiY_ener</v>
      </c>
    </row>
    <row r="42" spans="1:37">
      <c r="A42" s="300" t="str">
        <f t="shared" ref="A42:A58" si="14">A2</f>
        <v>Charbon</v>
      </c>
      <c r="B42" s="300">
        <v>1</v>
      </c>
      <c r="C42" s="300">
        <f>B42</f>
        <v>1</v>
      </c>
      <c r="D42" s="300">
        <f t="shared" ref="D42:AK42" si="15">C42</f>
        <v>1</v>
      </c>
      <c r="E42" s="300">
        <f t="shared" si="15"/>
        <v>1</v>
      </c>
      <c r="F42" s="300">
        <f t="shared" si="15"/>
        <v>1</v>
      </c>
      <c r="G42" s="300">
        <f t="shared" si="15"/>
        <v>1</v>
      </c>
      <c r="H42" s="300">
        <f t="shared" si="15"/>
        <v>1</v>
      </c>
      <c r="I42" s="300">
        <f t="shared" si="15"/>
        <v>1</v>
      </c>
      <c r="J42" s="300">
        <f t="shared" si="15"/>
        <v>1</v>
      </c>
      <c r="K42" s="300">
        <f t="shared" si="15"/>
        <v>1</v>
      </c>
      <c r="L42" s="300">
        <f t="shared" si="15"/>
        <v>1</v>
      </c>
      <c r="M42" s="300">
        <f t="shared" si="15"/>
        <v>1</v>
      </c>
      <c r="N42" s="300">
        <f t="shared" si="15"/>
        <v>1</v>
      </c>
      <c r="O42" s="300">
        <f t="shared" si="15"/>
        <v>1</v>
      </c>
      <c r="P42" s="300">
        <f t="shared" si="15"/>
        <v>1</v>
      </c>
      <c r="Q42" s="300">
        <f t="shared" si="15"/>
        <v>1</v>
      </c>
      <c r="R42" s="300">
        <f t="shared" si="15"/>
        <v>1</v>
      </c>
      <c r="S42" s="300">
        <f t="shared" si="15"/>
        <v>1</v>
      </c>
      <c r="T42" s="300">
        <f t="shared" si="15"/>
        <v>1</v>
      </c>
      <c r="U42" s="300">
        <f t="shared" si="15"/>
        <v>1</v>
      </c>
      <c r="V42" s="300">
        <f t="shared" si="15"/>
        <v>1</v>
      </c>
      <c r="W42" s="300">
        <f t="shared" si="15"/>
        <v>1</v>
      </c>
      <c r="X42" s="300">
        <f t="shared" si="15"/>
        <v>1</v>
      </c>
      <c r="Y42" s="300">
        <f t="shared" si="15"/>
        <v>1</v>
      </c>
      <c r="Z42" s="300">
        <f t="shared" si="15"/>
        <v>1</v>
      </c>
      <c r="AA42" s="300">
        <f t="shared" si="15"/>
        <v>1</v>
      </c>
      <c r="AB42" s="300">
        <f t="shared" si="15"/>
        <v>1</v>
      </c>
      <c r="AC42" s="300">
        <f t="shared" si="15"/>
        <v>1</v>
      </c>
      <c r="AD42" s="300">
        <f t="shared" si="15"/>
        <v>1</v>
      </c>
      <c r="AE42" s="300">
        <f t="shared" si="15"/>
        <v>1</v>
      </c>
      <c r="AF42" s="300">
        <f t="shared" si="15"/>
        <v>1</v>
      </c>
      <c r="AG42" s="300">
        <f t="shared" si="15"/>
        <v>1</v>
      </c>
      <c r="AH42" s="300">
        <f t="shared" si="15"/>
        <v>1</v>
      </c>
      <c r="AI42" s="300">
        <f t="shared" si="15"/>
        <v>1</v>
      </c>
      <c r="AJ42" s="300">
        <f t="shared" si="15"/>
        <v>1</v>
      </c>
      <c r="AK42" s="300">
        <f t="shared" si="15"/>
        <v>1</v>
      </c>
    </row>
    <row r="43" spans="1:37">
      <c r="A43" s="300" t="str">
        <f t="shared" si="14"/>
        <v>Produits pétroliers</v>
      </c>
      <c r="B43" s="300">
        <f>B3/SUM(B$3:B$4)</f>
        <v>0.94932135581836274</v>
      </c>
      <c r="C43" s="300">
        <f t="shared" ref="C43:AK43" si="16">C3/SUM(C$3:C$4)</f>
        <v>0.94837030116198806</v>
      </c>
      <c r="D43" s="300">
        <f t="shared" si="16"/>
        <v>0.94740238752220896</v>
      </c>
      <c r="E43" s="300">
        <f t="shared" si="16"/>
        <v>0.9464173534130863</v>
      </c>
      <c r="F43" s="300">
        <f t="shared" si="16"/>
        <v>0.94541493470645221</v>
      </c>
      <c r="G43" s="300">
        <f t="shared" si="16"/>
        <v>0.94439486466167488</v>
      </c>
      <c r="H43" s="300">
        <f t="shared" si="16"/>
        <v>0.94228580977991017</v>
      </c>
      <c r="I43" s="300">
        <f t="shared" si="16"/>
        <v>0.94010183391643454</v>
      </c>
      <c r="J43" s="300">
        <f t="shared" si="16"/>
        <v>0.93784066548361755</v>
      </c>
      <c r="K43" s="300">
        <f t="shared" si="16"/>
        <v>0.93549999395107175</v>
      </c>
      <c r="L43" s="300">
        <f t="shared" si="16"/>
        <v>0.93307747163048538</v>
      </c>
      <c r="M43" s="300">
        <f t="shared" si="16"/>
        <v>0.92925490341389216</v>
      </c>
      <c r="N43" s="300">
        <f t="shared" si="16"/>
        <v>0.92523148877917105</v>
      </c>
      <c r="O43" s="300">
        <f t="shared" si="16"/>
        <v>0.9209987078037879</v>
      </c>
      <c r="P43" s="300">
        <f t="shared" si="16"/>
        <v>0.91654791465204877</v>
      </c>
      <c r="Q43" s="300">
        <f t="shared" si="16"/>
        <v>0.9118703657326247</v>
      </c>
      <c r="R43" s="300">
        <f t="shared" si="16"/>
        <v>0.896091950848795</v>
      </c>
      <c r="S43" s="300">
        <f t="shared" si="16"/>
        <v>0.87786698452696976</v>
      </c>
      <c r="T43" s="300">
        <f t="shared" si="16"/>
        <v>0.8569557203131849</v>
      </c>
      <c r="U43" s="300">
        <f t="shared" si="16"/>
        <v>0.83314460656921208</v>
      </c>
      <c r="V43" s="300">
        <f t="shared" si="16"/>
        <v>0.80626595973388382</v>
      </c>
      <c r="W43" s="300">
        <f t="shared" si="16"/>
        <v>0.77622043222814319</v>
      </c>
      <c r="X43" s="300">
        <f t="shared" si="16"/>
        <v>0.74300052768765124</v>
      </c>
      <c r="Y43" s="300">
        <f t="shared" si="16"/>
        <v>0.70671246283614586</v>
      </c>
      <c r="Z43" s="300">
        <f t="shared" si="16"/>
        <v>0.66759288704472886</v>
      </c>
      <c r="AA43" s="300">
        <f t="shared" si="16"/>
        <v>0.62601666437212522</v>
      </c>
      <c r="AB43" s="300">
        <f t="shared" si="16"/>
        <v>0.58249240915309652</v>
      </c>
      <c r="AC43" s="300">
        <f t="shared" si="16"/>
        <v>0.53764390809352813</v>
      </c>
      <c r="AD43" s="300">
        <f t="shared" si="16"/>
        <v>0.49217783335127913</v>
      </c>
      <c r="AE43" s="300">
        <f t="shared" si="16"/>
        <v>0.44684078070730698</v>
      </c>
      <c r="AF43" s="300">
        <f t="shared" si="16"/>
        <v>0.40237093851718575</v>
      </c>
      <c r="AG43" s="300">
        <f t="shared" si="16"/>
        <v>0.35945089931601137</v>
      </c>
      <c r="AH43" s="300">
        <f t="shared" si="16"/>
        <v>0.31866786591742896</v>
      </c>
      <c r="AI43" s="300">
        <f t="shared" si="16"/>
        <v>0.28048586532120767</v>
      </c>
      <c r="AJ43" s="300">
        <f t="shared" si="16"/>
        <v>0.2452321024677504</v>
      </c>
      <c r="AK43" s="300">
        <f t="shared" si="16"/>
        <v>0.21309700681548779</v>
      </c>
    </row>
    <row r="44" spans="1:37">
      <c r="A44" s="300" t="str">
        <f t="shared" si="14"/>
        <v>Biocarburants liquides et gazeux</v>
      </c>
      <c r="B44" s="300">
        <f>B4/SUM(B$3:B$4)</f>
        <v>5.0678644181637263E-2</v>
      </c>
      <c r="C44" s="300">
        <f t="shared" ref="C44:AK44" si="17">C4/SUM(C$3:C$4)</f>
        <v>5.1629698838011912E-2</v>
      </c>
      <c r="D44" s="300">
        <f t="shared" si="17"/>
        <v>5.2597612477791114E-2</v>
      </c>
      <c r="E44" s="300">
        <f t="shared" si="17"/>
        <v>5.3582646586913626E-2</v>
      </c>
      <c r="F44" s="300">
        <f t="shared" si="17"/>
        <v>5.4585065293547785E-2</v>
      </c>
      <c r="G44" s="300">
        <f t="shared" si="17"/>
        <v>5.5605135338325069E-2</v>
      </c>
      <c r="H44" s="300">
        <f t="shared" si="17"/>
        <v>5.7714190220089862E-2</v>
      </c>
      <c r="I44" s="300">
        <f t="shared" si="17"/>
        <v>5.9898166083565359E-2</v>
      </c>
      <c r="J44" s="300">
        <f t="shared" si="17"/>
        <v>6.2159334516382524E-2</v>
      </c>
      <c r="K44" s="300">
        <f t="shared" si="17"/>
        <v>6.4500006048928124E-2</v>
      </c>
      <c r="L44" s="300">
        <f t="shared" si="17"/>
        <v>6.6922528369514622E-2</v>
      </c>
      <c r="M44" s="300">
        <f t="shared" si="17"/>
        <v>7.0745096586107864E-2</v>
      </c>
      <c r="N44" s="300">
        <f t="shared" si="17"/>
        <v>7.4768511220828962E-2</v>
      </c>
      <c r="O44" s="300">
        <f t="shared" si="17"/>
        <v>7.9001292196212089E-2</v>
      </c>
      <c r="P44" s="300">
        <f t="shared" si="17"/>
        <v>8.3452085347951344E-2</v>
      </c>
      <c r="Q44" s="300">
        <f t="shared" si="17"/>
        <v>8.8129634267375218E-2</v>
      </c>
      <c r="R44" s="300">
        <f t="shared" si="17"/>
        <v>0.103908049151205</v>
      </c>
      <c r="S44" s="300">
        <f t="shared" si="17"/>
        <v>0.12213301547303029</v>
      </c>
      <c r="T44" s="300">
        <f t="shared" si="17"/>
        <v>0.14304427968681521</v>
      </c>
      <c r="U44" s="300">
        <f t="shared" si="17"/>
        <v>0.16685539343078801</v>
      </c>
      <c r="V44" s="300">
        <f t="shared" si="17"/>
        <v>0.19373404026611613</v>
      </c>
      <c r="W44" s="300">
        <f t="shared" si="17"/>
        <v>0.22377956777185681</v>
      </c>
      <c r="X44" s="300">
        <f t="shared" si="17"/>
        <v>0.25699947231234882</v>
      </c>
      <c r="Y44" s="300">
        <f t="shared" si="17"/>
        <v>0.2932875371638542</v>
      </c>
      <c r="Z44" s="300">
        <f t="shared" si="17"/>
        <v>0.33240711295527126</v>
      </c>
      <c r="AA44" s="300">
        <f t="shared" si="17"/>
        <v>0.37398333562787484</v>
      </c>
      <c r="AB44" s="300">
        <f t="shared" si="17"/>
        <v>0.41750759084690348</v>
      </c>
      <c r="AC44" s="300">
        <f t="shared" si="17"/>
        <v>0.46235609190647176</v>
      </c>
      <c r="AD44" s="300">
        <f t="shared" si="17"/>
        <v>0.50782216664872082</v>
      </c>
      <c r="AE44" s="300">
        <f t="shared" si="17"/>
        <v>0.55315921929269296</v>
      </c>
      <c r="AF44" s="300">
        <f t="shared" si="17"/>
        <v>0.59762906148281425</v>
      </c>
      <c r="AG44" s="300">
        <f t="shared" si="17"/>
        <v>0.64054910068398874</v>
      </c>
      <c r="AH44" s="300">
        <f t="shared" si="17"/>
        <v>0.68133213408257109</v>
      </c>
      <c r="AI44" s="300">
        <f t="shared" si="17"/>
        <v>0.71951413467879233</v>
      </c>
      <c r="AJ44" s="300">
        <f t="shared" si="17"/>
        <v>0.7547678975322496</v>
      </c>
      <c r="AK44" s="300">
        <f t="shared" si="17"/>
        <v>0.78690299318451218</v>
      </c>
    </row>
    <row r="45" spans="1:37">
      <c r="A45" s="300" t="str">
        <f t="shared" si="14"/>
        <v>Centrale nucléaire</v>
      </c>
      <c r="B45" s="300">
        <f>B5/SUM(B$5:B$12)</f>
        <v>0.79518129028083173</v>
      </c>
      <c r="C45" s="300">
        <f t="shared" ref="C45:AK52" si="18">C5/SUM(C$5:C$12)</f>
        <v>0.78370970450265209</v>
      </c>
      <c r="D45" s="300">
        <f t="shared" si="18"/>
        <v>0.7706450985302874</v>
      </c>
      <c r="E45" s="300">
        <f t="shared" si="18"/>
        <v>0.75588110960136812</v>
      </c>
      <c r="F45" s="300">
        <f t="shared" si="18"/>
        <v>0.73931727150328175</v>
      </c>
      <c r="G45" s="300">
        <f t="shared" si="18"/>
        <v>0.72086513541840702</v>
      </c>
      <c r="H45" s="300">
        <f t="shared" si="18"/>
        <v>0.71062190630481914</v>
      </c>
      <c r="I45" s="300">
        <f t="shared" si="18"/>
        <v>0.69846342904995451</v>
      </c>
      <c r="J45" s="300">
        <f t="shared" si="18"/>
        <v>0.68452701621321532</v>
      </c>
      <c r="K45" s="300">
        <f t="shared" si="18"/>
        <v>0.66890859027166594</v>
      </c>
      <c r="L45" s="300">
        <f t="shared" si="18"/>
        <v>0.65167905660147907</v>
      </c>
      <c r="M45" s="300">
        <f t="shared" si="18"/>
        <v>0.63327979693498138</v>
      </c>
      <c r="N45" s="300">
        <f t="shared" si="18"/>
        <v>0.61421093473714017</v>
      </c>
      <c r="O45" s="300">
        <f t="shared" si="18"/>
        <v>0.59451020848542813</v>
      </c>
      <c r="P45" s="300">
        <f t="shared" si="18"/>
        <v>0.57422494474849284</v>
      </c>
      <c r="Q45" s="300">
        <f t="shared" si="18"/>
        <v>0.5534121182034295</v>
      </c>
      <c r="R45" s="300">
        <f t="shared" si="18"/>
        <v>0.53174554499887283</v>
      </c>
      <c r="S45" s="300">
        <f t="shared" si="18"/>
        <v>0.50931897158396999</v>
      </c>
      <c r="T45" s="300">
        <f t="shared" si="18"/>
        <v>0.48631701730636989</v>
      </c>
      <c r="U45" s="300">
        <f t="shared" si="18"/>
        <v>0.46290547497085588</v>
      </c>
      <c r="V45" s="300">
        <f t="shared" si="18"/>
        <v>0.43923959394806722</v>
      </c>
      <c r="W45" s="300">
        <f t="shared" si="18"/>
        <v>0.4154684294919036</v>
      </c>
      <c r="X45" s="300">
        <f t="shared" si="18"/>
        <v>0.39173654585358586</v>
      </c>
      <c r="Y45" s="300">
        <f t="shared" si="18"/>
        <v>0.36818399199576329</v>
      </c>
      <c r="Z45" s="300">
        <f t="shared" si="18"/>
        <v>0.34494521263278682</v>
      </c>
      <c r="AA45" s="300">
        <f t="shared" si="18"/>
        <v>0.32214737991905662</v>
      </c>
      <c r="AB45" s="300">
        <f t="shared" si="18"/>
        <v>0.29990850507506145</v>
      </c>
      <c r="AC45" s="300">
        <f t="shared" si="18"/>
        <v>0.2783355951730373</v>
      </c>
      <c r="AD45" s="300">
        <f t="shared" si="18"/>
        <v>0.25752304568403017</v>
      </c>
      <c r="AE45" s="300">
        <f t="shared" si="18"/>
        <v>0.23755139700743649</v>
      </c>
      <c r="AF45" s="300">
        <f t="shared" si="18"/>
        <v>0.21848652958279491</v>
      </c>
      <c r="AG45" s="300">
        <f t="shared" si="18"/>
        <v>0.2003793261859057</v>
      </c>
      <c r="AH45" s="300">
        <f t="shared" si="18"/>
        <v>0.18326579172580509</v>
      </c>
      <c r="AI45" s="300">
        <f t="shared" si="18"/>
        <v>0.16716759076429494</v>
      </c>
      <c r="AJ45" s="300">
        <f t="shared" si="18"/>
        <v>0.15209294139283699</v>
      </c>
      <c r="AK45" s="300">
        <f t="shared" si="18"/>
        <v>0.13803779088493934</v>
      </c>
    </row>
    <row r="46" spans="1:37">
      <c r="A46" s="300" t="str">
        <f t="shared" si="14"/>
        <v>Centrale au fioul</v>
      </c>
      <c r="B46" s="300">
        <f t="shared" ref="B46:Q52" si="19">B6/SUM(B$5:B$12)</f>
        <v>4.2142003254392775E-3</v>
      </c>
      <c r="C46" s="300">
        <f t="shared" si="19"/>
        <v>3.8498264718661432E-3</v>
      </c>
      <c r="D46" s="300">
        <f t="shared" si="19"/>
        <v>3.5089506233638877E-3</v>
      </c>
      <c r="E46" s="300">
        <f t="shared" si="19"/>
        <v>3.1901656540246795E-3</v>
      </c>
      <c r="F46" s="300">
        <f t="shared" si="19"/>
        <v>2.8921945390682205E-3</v>
      </c>
      <c r="G46" s="300">
        <f t="shared" si="19"/>
        <v>2.6138916278776081E-3</v>
      </c>
      <c r="H46" s="300">
        <f t="shared" si="19"/>
        <v>2.6342335578344216E-3</v>
      </c>
      <c r="I46" s="300">
        <f t="shared" si="19"/>
        <v>2.6469241034045386E-3</v>
      </c>
      <c r="J46" s="300">
        <f t="shared" si="19"/>
        <v>2.6519818069239225E-3</v>
      </c>
      <c r="K46" s="300">
        <f t="shared" si="19"/>
        <v>2.6492860392755891E-3</v>
      </c>
      <c r="L46" s="300">
        <f t="shared" si="19"/>
        <v>2.6386268172049533E-3</v>
      </c>
      <c r="M46" s="300">
        <f t="shared" si="19"/>
        <v>2.6538792433808919E-3</v>
      </c>
      <c r="N46" s="300">
        <f t="shared" si="19"/>
        <v>2.6640623498650701E-3</v>
      </c>
      <c r="O46" s="300">
        <f t="shared" si="19"/>
        <v>2.6688703317359411E-3</v>
      </c>
      <c r="P46" s="300">
        <f t="shared" si="19"/>
        <v>2.6680350380219532E-3</v>
      </c>
      <c r="Q46" s="300">
        <f t="shared" si="19"/>
        <v>2.6613344470606398E-3</v>
      </c>
      <c r="R46" s="300">
        <f t="shared" si="18"/>
        <v>1.7123448425911958E-3</v>
      </c>
      <c r="S46" s="300">
        <f t="shared" si="18"/>
        <v>1.0982818408445379E-3</v>
      </c>
      <c r="T46" s="300">
        <f t="shared" si="18"/>
        <v>7.0223099714250255E-4</v>
      </c>
      <c r="U46" s="300">
        <f t="shared" si="18"/>
        <v>4.4759932799898444E-4</v>
      </c>
      <c r="V46" s="300">
        <f t="shared" si="18"/>
        <v>2.8440365231466146E-4</v>
      </c>
      <c r="W46" s="300">
        <f t="shared" si="18"/>
        <v>1.8013922737633738E-4</v>
      </c>
      <c r="X46" s="300">
        <f t="shared" si="18"/>
        <v>1.1373678201170476E-4</v>
      </c>
      <c r="Y46" s="300">
        <f t="shared" si="18"/>
        <v>7.158274173325894E-5</v>
      </c>
      <c r="Z46" s="300">
        <f t="shared" si="18"/>
        <v>4.4908663215751636E-5</v>
      </c>
      <c r="AA46" s="300">
        <f t="shared" si="18"/>
        <v>2.8084790513728175E-5</v>
      </c>
      <c r="AB46" s="300">
        <f t="shared" si="18"/>
        <v>1.7508218052748213E-5</v>
      </c>
      <c r="AC46" s="300">
        <f t="shared" si="18"/>
        <v>1.0880741539749277E-5</v>
      </c>
      <c r="AD46" s="300">
        <f t="shared" si="18"/>
        <v>6.7412808965548069E-6</v>
      </c>
      <c r="AE46" s="300">
        <f t="shared" si="18"/>
        <v>4.1640936863966001E-6</v>
      </c>
      <c r="AF46" s="300">
        <f t="shared" si="18"/>
        <v>2.5646266395611222E-6</v>
      </c>
      <c r="AG46" s="300">
        <f t="shared" si="18"/>
        <v>1.5750305211094545E-6</v>
      </c>
      <c r="AH46" s="300">
        <f t="shared" si="18"/>
        <v>9.6461508437841485E-7</v>
      </c>
      <c r="AI46" s="300">
        <f t="shared" si="18"/>
        <v>5.8919805496550759E-7</v>
      </c>
      <c r="AJ46" s="300">
        <f t="shared" si="18"/>
        <v>3.5896727609200457E-7</v>
      </c>
      <c r="AK46" s="300">
        <f t="shared" si="18"/>
        <v>2.1816264000256618E-7</v>
      </c>
    </row>
    <row r="47" spans="1:37">
      <c r="A47" s="300" t="str">
        <f t="shared" si="14"/>
        <v>Centrale au gaz naturel</v>
      </c>
      <c r="B47" s="300">
        <f t="shared" si="19"/>
        <v>2.8306790058192637E-2</v>
      </c>
      <c r="C47" s="300">
        <f t="shared" si="18"/>
        <v>3.1068039742984117E-2</v>
      </c>
      <c r="D47" s="300">
        <f t="shared" si="18"/>
        <v>3.4021010159271246E-2</v>
      </c>
      <c r="E47" s="300">
        <f t="shared" si="18"/>
        <v>3.716040448979397E-2</v>
      </c>
      <c r="F47" s="300">
        <f t="shared" si="18"/>
        <v>4.047547455790873E-2</v>
      </c>
      <c r="G47" s="300">
        <f t="shared" si="18"/>
        <v>4.3949028093733584E-2</v>
      </c>
      <c r="H47" s="300">
        <f t="shared" si="18"/>
        <v>4.4155705896167123E-2</v>
      </c>
      <c r="I47" s="300">
        <f t="shared" si="18"/>
        <v>4.4232847612235664E-2</v>
      </c>
      <c r="J47" s="300">
        <f t="shared" si="18"/>
        <v>4.4181942617261633E-2</v>
      </c>
      <c r="K47" s="300">
        <f t="shared" si="18"/>
        <v>4.4002157804427483E-2</v>
      </c>
      <c r="L47" s="300">
        <f t="shared" si="18"/>
        <v>4.3691197858118362E-2</v>
      </c>
      <c r="M47" s="300">
        <f t="shared" si="18"/>
        <v>4.4321780933871138E-2</v>
      </c>
      <c r="N47" s="300">
        <f t="shared" si="18"/>
        <v>4.4874590181551662E-2</v>
      </c>
      <c r="O47" s="300">
        <f t="shared" si="18"/>
        <v>4.5342310837494224E-2</v>
      </c>
      <c r="P47" s="300">
        <f t="shared" si="18"/>
        <v>4.5718057553715323E-2</v>
      </c>
      <c r="Q47" s="300">
        <f t="shared" si="18"/>
        <v>4.5995544249842792E-2</v>
      </c>
      <c r="R47" s="300">
        <f t="shared" si="18"/>
        <v>4.5645841278102103E-2</v>
      </c>
      <c r="S47" s="300">
        <f t="shared" si="18"/>
        <v>4.5156208290502486E-2</v>
      </c>
      <c r="T47" s="300">
        <f t="shared" si="18"/>
        <v>4.4532526941528768E-2</v>
      </c>
      <c r="U47" s="300">
        <f t="shared" si="18"/>
        <v>4.3780472902330357E-2</v>
      </c>
      <c r="V47" s="300">
        <f t="shared" si="18"/>
        <v>4.2906182015286849E-2</v>
      </c>
      <c r="W47" s="300">
        <f t="shared" si="18"/>
        <v>4.1916660596567228E-2</v>
      </c>
      <c r="X47" s="300">
        <f t="shared" si="18"/>
        <v>4.0819999571024314E-2</v>
      </c>
      <c r="Y47" s="300">
        <f t="shared" si="18"/>
        <v>3.9625437188110076E-2</v>
      </c>
      <c r="Z47" s="300">
        <f t="shared" si="18"/>
        <v>3.8343305070281178E-2</v>
      </c>
      <c r="AA47" s="300">
        <f t="shared" si="18"/>
        <v>3.6984886047655E-2</v>
      </c>
      <c r="AB47" s="300">
        <f t="shared" si="18"/>
        <v>3.5562208338643743E-2</v>
      </c>
      <c r="AC47" s="300">
        <f t="shared" si="18"/>
        <v>3.4087798050265225E-2</v>
      </c>
      <c r="AD47" s="300">
        <f t="shared" si="18"/>
        <v>3.2574409878561965E-2</v>
      </c>
      <c r="AE47" s="300">
        <f t="shared" si="18"/>
        <v>3.1034753759665315E-2</v>
      </c>
      <c r="AF47" s="300">
        <f t="shared" si="18"/>
        <v>2.9481232782733447E-2</v>
      </c>
      <c r="AG47" s="300">
        <f t="shared" si="18"/>
        <v>2.7925704863151653E-2</v>
      </c>
      <c r="AH47" s="300">
        <f t="shared" si="18"/>
        <v>2.6379277574646483E-2</v>
      </c>
      <c r="AI47" s="300">
        <f t="shared" si="18"/>
        <v>2.485214232910124E-2</v>
      </c>
      <c r="AJ47" s="300">
        <f t="shared" si="18"/>
        <v>2.3353450983504134E-2</v>
      </c>
      <c r="AK47" s="300">
        <f t="shared" si="18"/>
        <v>2.189123514316392E-2</v>
      </c>
    </row>
    <row r="48" spans="1:37">
      <c r="A48" s="300" t="str">
        <f t="shared" si="14"/>
        <v>Centrale au charbon</v>
      </c>
      <c r="B48" s="300">
        <f t="shared" si="19"/>
        <v>2.2139447605351109E-2</v>
      </c>
      <c r="C48" s="300">
        <f t="shared" si="18"/>
        <v>2.0075697125002543E-2</v>
      </c>
      <c r="D48" s="300">
        <f t="shared" si="18"/>
        <v>1.8162875823090487E-2</v>
      </c>
      <c r="E48" s="300">
        <f t="shared" si="18"/>
        <v>1.6390736474362351E-2</v>
      </c>
      <c r="F48" s="300">
        <f t="shared" si="18"/>
        <v>1.4749952127589337E-2</v>
      </c>
      <c r="G48" s="300">
        <f t="shared" si="18"/>
        <v>1.3232093557376881E-2</v>
      </c>
      <c r="H48" s="300">
        <f t="shared" si="18"/>
        <v>9.6411106248359569E-3</v>
      </c>
      <c r="I48" s="300">
        <f t="shared" si="18"/>
        <v>7.0039990713170568E-3</v>
      </c>
      <c r="J48" s="300">
        <f t="shared" si="18"/>
        <v>5.073491469167378E-3</v>
      </c>
      <c r="K48" s="300">
        <f t="shared" si="18"/>
        <v>3.6643508385867337E-3</v>
      </c>
      <c r="L48" s="300">
        <f t="shared" si="18"/>
        <v>2.6386268172049533E-3</v>
      </c>
      <c r="M48" s="300">
        <f t="shared" si="18"/>
        <v>2.6538792433808919E-3</v>
      </c>
      <c r="N48" s="300">
        <f t="shared" si="18"/>
        <v>2.6640623498650701E-3</v>
      </c>
      <c r="O48" s="300">
        <f t="shared" si="18"/>
        <v>2.6688703317359411E-3</v>
      </c>
      <c r="P48" s="300">
        <f t="shared" si="18"/>
        <v>2.6680350380219532E-3</v>
      </c>
      <c r="Q48" s="300">
        <f t="shared" si="18"/>
        <v>2.6613344470606398E-3</v>
      </c>
      <c r="R48" s="300">
        <f t="shared" si="18"/>
        <v>2.7138836841686833E-3</v>
      </c>
      <c r="S48" s="300">
        <f t="shared" si="18"/>
        <v>2.7587592539907589E-3</v>
      </c>
      <c r="T48" s="300">
        <f t="shared" si="18"/>
        <v>2.7956319534736271E-3</v>
      </c>
      <c r="U48" s="300">
        <f t="shared" si="18"/>
        <v>2.8241608338535826E-3</v>
      </c>
      <c r="V48" s="300">
        <f t="shared" si="18"/>
        <v>2.8440365231466144E-3</v>
      </c>
      <c r="W48" s="300">
        <f t="shared" si="18"/>
        <v>2.8550143516396175E-3</v>
      </c>
      <c r="X48" s="300">
        <f t="shared" si="18"/>
        <v>2.8569387949876411E-3</v>
      </c>
      <c r="Y48" s="300">
        <f t="shared" si="18"/>
        <v>2.8497602771889461E-3</v>
      </c>
      <c r="Z48" s="300">
        <f t="shared" si="18"/>
        <v>2.8335450886765989E-3</v>
      </c>
      <c r="AA48" s="300">
        <f t="shared" si="18"/>
        <v>2.8084790513728175E-3</v>
      </c>
      <c r="AB48" s="300">
        <f t="shared" si="18"/>
        <v>2.7748655603925415E-3</v>
      </c>
      <c r="AC48" s="300">
        <f t="shared" si="18"/>
        <v>2.7331187038458862E-3</v>
      </c>
      <c r="AD48" s="300">
        <f t="shared" si="18"/>
        <v>2.6837522636337769E-3</v>
      </c>
      <c r="AE48" s="300">
        <f t="shared" si="18"/>
        <v>2.6273654945355366E-3</v>
      </c>
      <c r="AF48" s="300">
        <f t="shared" si="18"/>
        <v>2.5646266395611215E-3</v>
      </c>
      <c r="AG48" s="300">
        <f t="shared" si="18"/>
        <v>2.4962551508248536E-3</v>
      </c>
      <c r="AH48" s="300">
        <f t="shared" si="18"/>
        <v>2.4230035420796082E-3</v>
      </c>
      <c r="AI48" s="300">
        <f t="shared" si="18"/>
        <v>2.3456397055794209E-3</v>
      </c>
      <c r="AJ48" s="300">
        <f t="shared" si="18"/>
        <v>2.2649303927829946E-3</v>
      </c>
      <c r="AK48" s="300">
        <f t="shared" si="18"/>
        <v>2.1816264000256618E-3</v>
      </c>
    </row>
    <row r="49" spans="1:37">
      <c r="A49" s="300" t="str">
        <f t="shared" si="14"/>
        <v xml:space="preserve">Eolien </v>
      </c>
      <c r="B49" s="300">
        <f t="shared" si="19"/>
        <v>3.6689084429533107E-2</v>
      </c>
      <c r="C49" s="300">
        <f t="shared" si="18"/>
        <v>4.2474343975044869E-2</v>
      </c>
      <c r="D49" s="300">
        <f t="shared" si="18"/>
        <v>4.9059894501467555E-2</v>
      </c>
      <c r="E49" s="300">
        <f t="shared" si="18"/>
        <v>5.6523157638570645E-2</v>
      </c>
      <c r="F49" s="300">
        <f t="shared" si="18"/>
        <v>6.4938837491246779E-2</v>
      </c>
      <c r="G49" s="300">
        <f t="shared" si="18"/>
        <v>7.4375245679923888E-2</v>
      </c>
      <c r="H49" s="300">
        <f t="shared" si="18"/>
        <v>8.3837307978719591E-2</v>
      </c>
      <c r="I49" s="300">
        <f t="shared" si="18"/>
        <v>9.4225130251038361E-2</v>
      </c>
      <c r="J49" s="300">
        <f t="shared" si="18"/>
        <v>0.10559370033962777</v>
      </c>
      <c r="K49" s="300">
        <f t="shared" si="18"/>
        <v>0.11798818780623387</v>
      </c>
      <c r="L49" s="300">
        <f t="shared" si="18"/>
        <v>0.13144069989076712</v>
      </c>
      <c r="M49" s="300">
        <f t="shared" si="18"/>
        <v>0.14236893097213352</v>
      </c>
      <c r="N49" s="300">
        <f t="shared" si="18"/>
        <v>0.15390779862632012</v>
      </c>
      <c r="O49" s="300">
        <f t="shared" si="18"/>
        <v>0.1660450337392608</v>
      </c>
      <c r="P49" s="300">
        <f t="shared" si="18"/>
        <v>0.17876073054001371</v>
      </c>
      <c r="Q49" s="300">
        <f t="shared" si="18"/>
        <v>0.19202696714421535</v>
      </c>
      <c r="R49" s="300">
        <f t="shared" si="18"/>
        <v>0.20389707797667209</v>
      </c>
      <c r="S49" s="300">
        <f t="shared" si="18"/>
        <v>0.21581944899086142</v>
      </c>
      <c r="T49" s="300">
        <f t="shared" si="18"/>
        <v>0.22772660762836089</v>
      </c>
      <c r="U49" s="300">
        <f t="shared" si="18"/>
        <v>0.23954119469674345</v>
      </c>
      <c r="V49" s="300">
        <f t="shared" si="18"/>
        <v>0.25117878723503362</v>
      </c>
      <c r="W49" s="300">
        <f t="shared" si="18"/>
        <v>0.26255064533325934</v>
      </c>
      <c r="X49" s="300">
        <f t="shared" si="18"/>
        <v>0.27356638738905359</v>
      </c>
      <c r="Y49" s="300">
        <f t="shared" si="18"/>
        <v>0.28413656895663214</v>
      </c>
      <c r="Z49" s="300">
        <f t="shared" si="18"/>
        <v>0.2941751174894961</v>
      </c>
      <c r="AA49" s="300">
        <f t="shared" si="18"/>
        <v>0.30360156165091406</v>
      </c>
      <c r="AB49" s="300">
        <f t="shared" si="18"/>
        <v>0.31234299017132072</v>
      </c>
      <c r="AC49" s="300">
        <f t="shared" si="18"/>
        <v>0.32033568080533581</v>
      </c>
      <c r="AD49" s="300">
        <f t="shared" si="18"/>
        <v>0.32752635313883077</v>
      </c>
      <c r="AE49" s="300">
        <f t="shared" si="18"/>
        <v>0.33387301751780785</v>
      </c>
      <c r="AF49" s="300">
        <f t="shared" si="18"/>
        <v>0.3393454135949171</v>
      </c>
      <c r="AG49" s="300">
        <f t="shared" si="18"/>
        <v>0.34392505331752465</v>
      </c>
      <c r="AH49" s="300">
        <f t="shared" si="18"/>
        <v>0.3476049023463918</v>
      </c>
      <c r="AI49" s="300">
        <f t="shared" si="18"/>
        <v>0.35038874919282481</v>
      </c>
      <c r="AJ49" s="300">
        <f t="shared" si="18"/>
        <v>0.35229032177917896</v>
      </c>
      <c r="AK49" s="300">
        <f t="shared" si="18"/>
        <v>0.35333221634580392</v>
      </c>
    </row>
    <row r="50" spans="1:37">
      <c r="A50" s="300" t="str">
        <f t="shared" si="14"/>
        <v>Photovoltaïque</v>
      </c>
      <c r="B50" s="300">
        <f t="shared" si="19"/>
        <v>1.2867261837845799E-2</v>
      </c>
      <c r="C50" s="300">
        <f t="shared" si="18"/>
        <v>1.5329430386498418E-2</v>
      </c>
      <c r="D50" s="300">
        <f t="shared" si="18"/>
        <v>1.8221159972120423E-2</v>
      </c>
      <c r="E50" s="300">
        <f t="shared" si="18"/>
        <v>2.1603588674822882E-2</v>
      </c>
      <c r="F50" s="300">
        <f t="shared" si="18"/>
        <v>2.5541951003594597E-2</v>
      </c>
      <c r="G50" s="300">
        <f t="shared" si="18"/>
        <v>3.010426610854066E-2</v>
      </c>
      <c r="H50" s="300">
        <f t="shared" si="18"/>
        <v>3.4440852458024723E-2</v>
      </c>
      <c r="I50" s="300">
        <f t="shared" si="18"/>
        <v>3.9286220584243164E-2</v>
      </c>
      <c r="J50" s="300">
        <f t="shared" si="18"/>
        <v>4.4683630329654118E-2</v>
      </c>
      <c r="K50" s="300">
        <f t="shared" si="18"/>
        <v>5.0674084172974414E-2</v>
      </c>
      <c r="L50" s="300">
        <f t="shared" si="18"/>
        <v>5.7294664054949644E-2</v>
      </c>
      <c r="M50" s="300">
        <f t="shared" si="18"/>
        <v>6.2491510464047766E-2</v>
      </c>
      <c r="N50" s="300">
        <f t="shared" si="18"/>
        <v>6.8028032117860696E-2</v>
      </c>
      <c r="O50" s="300">
        <f t="shared" si="18"/>
        <v>7.3905142050306738E-2</v>
      </c>
      <c r="P50" s="300">
        <f t="shared" si="18"/>
        <v>8.0120263656341034E-2</v>
      </c>
      <c r="Q50" s="300">
        <f t="shared" si="18"/>
        <v>8.6667038268628163E-2</v>
      </c>
      <c r="R50" s="300">
        <f t="shared" si="18"/>
        <v>9.6158738367975477E-2</v>
      </c>
      <c r="S50" s="300">
        <f t="shared" si="18"/>
        <v>0.10635412919281788</v>
      </c>
      <c r="T50" s="300">
        <f t="shared" si="18"/>
        <v>0.11726369513625964</v>
      </c>
      <c r="U50" s="300">
        <f t="shared" si="18"/>
        <v>0.1288890527328749</v>
      </c>
      <c r="V50" s="300">
        <f t="shared" si="18"/>
        <v>0.14122279476629201</v>
      </c>
      <c r="W50" s="300">
        <f t="shared" si="18"/>
        <v>0.15424850188958009</v>
      </c>
      <c r="X50" s="300">
        <f t="shared" si="18"/>
        <v>0.16794095634917683</v>
      </c>
      <c r="Y50" s="300">
        <f t="shared" si="18"/>
        <v>0.18226657826481946</v>
      </c>
      <c r="Z50" s="300">
        <f t="shared" si="18"/>
        <v>0.19718408804095658</v>
      </c>
      <c r="AA50" s="300">
        <f t="shared" si="18"/>
        <v>0.21264538109266315</v>
      </c>
      <c r="AB50" s="300">
        <f t="shared" si="18"/>
        <v>0.22859658504437258</v>
      </c>
      <c r="AC50" s="300">
        <f t="shared" si="18"/>
        <v>0.24497925646244467</v>
      </c>
      <c r="AD50" s="300">
        <f t="shared" si="18"/>
        <v>0.26173166515974255</v>
      </c>
      <c r="AE50" s="300">
        <f t="shared" si="18"/>
        <v>0.27879010979823349</v>
      </c>
      <c r="AF50" s="300">
        <f t="shared" si="18"/>
        <v>0.29609020899163302</v>
      </c>
      <c r="AG50" s="300">
        <f t="shared" si="18"/>
        <v>0.31356811692133918</v>
      </c>
      <c r="AH50" s="300">
        <f t="shared" si="18"/>
        <v>0.3311616207454699</v>
      </c>
      <c r="AI50" s="300">
        <f t="shared" si="18"/>
        <v>0.34881108765284141</v>
      </c>
      <c r="AJ50" s="300">
        <f t="shared" si="18"/>
        <v>0.3664602410494916</v>
      </c>
      <c r="AK50" s="300">
        <f t="shared" si="18"/>
        <v>0.38405675689761282</v>
      </c>
    </row>
    <row r="51" spans="1:37">
      <c r="A51" s="300" t="str">
        <f t="shared" si="14"/>
        <v>Hydroélectricité et énergies marine</v>
      </c>
      <c r="B51" s="300">
        <f t="shared" si="19"/>
        <v>9.186181660721543E-2</v>
      </c>
      <c r="C51" s="300">
        <f t="shared" si="18"/>
        <v>9.3383428559238965E-2</v>
      </c>
      <c r="D51" s="300">
        <f t="shared" si="18"/>
        <v>9.4714119188600773E-2</v>
      </c>
      <c r="E51" s="300">
        <f t="shared" si="18"/>
        <v>9.5820737706641082E-2</v>
      </c>
      <c r="F51" s="300">
        <f t="shared" si="18"/>
        <v>9.6667966769797317E-2</v>
      </c>
      <c r="G51" s="300">
        <f t="shared" si="18"/>
        <v>9.7219071138757246E-2</v>
      </c>
      <c r="H51" s="300">
        <f t="shared" si="18"/>
        <v>9.714124989214086E-2</v>
      </c>
      <c r="I51" s="300">
        <f t="shared" si="18"/>
        <v>9.6777949770898722E-2</v>
      </c>
      <c r="J51" s="300">
        <f t="shared" si="18"/>
        <v>9.6137093622476091E-2</v>
      </c>
      <c r="K51" s="300">
        <f t="shared" si="18"/>
        <v>9.5221456168333746E-2</v>
      </c>
      <c r="L51" s="300">
        <f t="shared" si="18"/>
        <v>9.4030654537241312E-2</v>
      </c>
      <c r="M51" s="300">
        <f t="shared" si="18"/>
        <v>9.5173427292266702E-2</v>
      </c>
      <c r="N51" s="300">
        <f t="shared" si="18"/>
        <v>9.6143958708010013E-2</v>
      </c>
      <c r="O51" s="300">
        <f t="shared" si="18"/>
        <v>9.6927754847935865E-2</v>
      </c>
      <c r="P51" s="300">
        <f t="shared" si="18"/>
        <v>9.7511373111313082E-2</v>
      </c>
      <c r="Q51" s="300">
        <f t="shared" si="18"/>
        <v>9.7882772632803899E-2</v>
      </c>
      <c r="R51" s="300">
        <f t="shared" si="18"/>
        <v>0.10083480130272827</v>
      </c>
      <c r="S51" s="300">
        <f t="shared" si="18"/>
        <v>0.10354888555213812</v>
      </c>
      <c r="T51" s="300">
        <f t="shared" si="18"/>
        <v>0.10600443394731265</v>
      </c>
      <c r="U51" s="300">
        <f t="shared" si="18"/>
        <v>0.10817972442315391</v>
      </c>
      <c r="V51" s="300">
        <f t="shared" si="18"/>
        <v>0.11005354176165992</v>
      </c>
      <c r="W51" s="300">
        <f t="shared" si="18"/>
        <v>0.11160651815502784</v>
      </c>
      <c r="X51" s="300">
        <f t="shared" si="18"/>
        <v>0.11282221182114446</v>
      </c>
      <c r="Y51" s="300">
        <f t="shared" si="18"/>
        <v>0.11368794361800758</v>
      </c>
      <c r="Z51" s="300">
        <f t="shared" si="18"/>
        <v>0.11419540250961287</v>
      </c>
      <c r="AA51" s="300">
        <f t="shared" si="18"/>
        <v>0.11434102736816734</v>
      </c>
      <c r="AB51" s="300">
        <f t="shared" si="18"/>
        <v>0.11412617384259474</v>
      </c>
      <c r="AC51" s="300">
        <f t="shared" si="18"/>
        <v>0.11355707940434924</v>
      </c>
      <c r="AD51" s="300">
        <f t="shared" si="18"/>
        <v>0.11264464565750371</v>
      </c>
      <c r="AE51" s="300">
        <f t="shared" si="18"/>
        <v>0.11140406315783541</v>
      </c>
      <c r="AF51" s="300">
        <f t="shared" si="18"/>
        <v>0.10985430917462295</v>
      </c>
      <c r="AG51" s="300">
        <f t="shared" si="18"/>
        <v>0.10801755224657138</v>
      </c>
      <c r="AH51" s="300">
        <f t="shared" si="18"/>
        <v>0.10591849860900492</v>
      </c>
      <c r="AI51" s="300">
        <f t="shared" si="18"/>
        <v>0.10358371454637455</v>
      </c>
      <c r="AJ51" s="300">
        <f t="shared" si="18"/>
        <v>0.10104095569736719</v>
      </c>
      <c r="AK51" s="300">
        <f t="shared" si="18"/>
        <v>9.8318529765788851E-2</v>
      </c>
    </row>
    <row r="52" spans="1:37">
      <c r="A52" s="300" t="str">
        <f t="shared" si="14"/>
        <v>Autres (méthanisation, UIOM, bois, géothermie, énergie fatale, PAC aérothermique)</v>
      </c>
      <c r="B52" s="300">
        <f t="shared" si="19"/>
        <v>8.7401088555909955E-3</v>
      </c>
      <c r="C52" s="300">
        <f t="shared" si="18"/>
        <v>1.0109529236712923E-2</v>
      </c>
      <c r="D52" s="300">
        <f t="shared" si="18"/>
        <v>1.1666891201798233E-2</v>
      </c>
      <c r="E52" s="300">
        <f t="shared" si="18"/>
        <v>1.3430099760416104E-2</v>
      </c>
      <c r="F52" s="300">
        <f t="shared" si="18"/>
        <v>1.5416352007513371E-2</v>
      </c>
      <c r="G52" s="300">
        <f t="shared" si="18"/>
        <v>1.7641268375383178E-2</v>
      </c>
      <c r="H52" s="300">
        <f t="shared" si="18"/>
        <v>1.7527633287458346E-2</v>
      </c>
      <c r="I52" s="300">
        <f t="shared" si="18"/>
        <v>1.7363499556907872E-2</v>
      </c>
      <c r="J52" s="300">
        <f t="shared" si="18"/>
        <v>1.7151143601673888E-2</v>
      </c>
      <c r="K52" s="300">
        <f t="shared" si="18"/>
        <v>1.6891886898502378E-2</v>
      </c>
      <c r="L52" s="300">
        <f t="shared" si="18"/>
        <v>1.6586473423034605E-2</v>
      </c>
      <c r="M52" s="300">
        <f t="shared" si="18"/>
        <v>1.7056794915937729E-2</v>
      </c>
      <c r="N52" s="300">
        <f t="shared" si="18"/>
        <v>1.750656092938719E-2</v>
      </c>
      <c r="O52" s="300">
        <f t="shared" si="18"/>
        <v>1.7931809376102382E-2</v>
      </c>
      <c r="P52" s="300">
        <f t="shared" si="18"/>
        <v>1.8328560314079881E-2</v>
      </c>
      <c r="Q52" s="300">
        <f t="shared" si="18"/>
        <v>1.8692890606959014E-2</v>
      </c>
      <c r="R52" s="300">
        <f t="shared" si="18"/>
        <v>1.7291767548889312E-2</v>
      </c>
      <c r="S52" s="300">
        <f t="shared" si="18"/>
        <v>1.5945315294874685E-2</v>
      </c>
      <c r="T52" s="300">
        <f t="shared" si="18"/>
        <v>1.4657856089551932E-2</v>
      </c>
      <c r="U52" s="300">
        <f t="shared" si="18"/>
        <v>1.3432320112189077E-2</v>
      </c>
      <c r="V52" s="300">
        <f t="shared" si="18"/>
        <v>1.2270660098199051E-2</v>
      </c>
      <c r="W52" s="300">
        <f t="shared" si="18"/>
        <v>1.1174090954645735E-2</v>
      </c>
      <c r="X52" s="300">
        <f t="shared" si="18"/>
        <v>1.014322343901574E-2</v>
      </c>
      <c r="Y52" s="300">
        <f t="shared" si="18"/>
        <v>9.1781369577451713E-3</v>
      </c>
      <c r="Z52" s="300">
        <f t="shared" si="18"/>
        <v>8.2784205049741995E-3</v>
      </c>
      <c r="AA52" s="300">
        <f t="shared" si="18"/>
        <v>7.4432000796571356E-3</v>
      </c>
      <c r="AB52" s="300">
        <f t="shared" ref="AB52:AK52" si="20">AB12/SUM(AB$5:AB$12)</f>
        <v>6.6711637495614085E-3</v>
      </c>
      <c r="AC52" s="300">
        <f t="shared" si="20"/>
        <v>5.9605906591821108E-3</v>
      </c>
      <c r="AD52" s="300">
        <f t="shared" si="20"/>
        <v>5.3093869368005279E-3</v>
      </c>
      <c r="AE52" s="300">
        <f t="shared" si="20"/>
        <v>4.7151291707996975E-3</v>
      </c>
      <c r="AF52" s="300">
        <f t="shared" si="20"/>
        <v>4.1751146070980972E-3</v>
      </c>
      <c r="AG52" s="300">
        <f t="shared" si="20"/>
        <v>3.6864162841615099E-3</v>
      </c>
      <c r="AH52" s="300">
        <f t="shared" si="20"/>
        <v>3.2459408415177853E-3</v>
      </c>
      <c r="AI52" s="300">
        <f t="shared" si="20"/>
        <v>2.8504866109285397E-3</v>
      </c>
      <c r="AJ52" s="300">
        <f t="shared" si="20"/>
        <v>2.4967997375620558E-3</v>
      </c>
      <c r="AK52" s="300">
        <f t="shared" si="20"/>
        <v>2.1816264000256618E-3</v>
      </c>
    </row>
    <row r="53" spans="1:37">
      <c r="A53" s="300" t="str">
        <f t="shared" si="14"/>
        <v>Gaz naturel (réseau de gaz et de chaleur)</v>
      </c>
      <c r="B53" s="300">
        <f>B13/SUM(B$13:B$18)</f>
        <v>0.85774000849601717</v>
      </c>
      <c r="C53" s="300">
        <f t="shared" ref="C53:AK58" si="21">C13/SUM(C$13:C$18)</f>
        <v>0.84992294928928325</v>
      </c>
      <c r="D53" s="300">
        <f t="shared" si="21"/>
        <v>0.84132298422423113</v>
      </c>
      <c r="E53" s="300">
        <f t="shared" si="21"/>
        <v>0.83144051700777211</v>
      </c>
      <c r="F53" s="300">
        <f t="shared" si="21"/>
        <v>0.81908773872539375</v>
      </c>
      <c r="G53" s="300">
        <f t="shared" si="21"/>
        <v>0.8014550977120013</v>
      </c>
      <c r="H53" s="300">
        <f t="shared" si="21"/>
        <v>0.78601320919381035</v>
      </c>
      <c r="I53" s="300">
        <f t="shared" si="21"/>
        <v>0.76937660526672202</v>
      </c>
      <c r="J53" s="300">
        <f t="shared" si="21"/>
        <v>0.75148576439028925</v>
      </c>
      <c r="K53" s="300">
        <f t="shared" si="21"/>
        <v>0.7322889449157044</v>
      </c>
      <c r="L53" s="300">
        <f t="shared" si="21"/>
        <v>0.71174543261565482</v>
      </c>
      <c r="M53" s="300">
        <f t="shared" si="21"/>
        <v>0.69289835500193775</v>
      </c>
      <c r="N53" s="300">
        <f t="shared" si="21"/>
        <v>0.67308204293902862</v>
      </c>
      <c r="O53" s="300">
        <f t="shared" si="21"/>
        <v>0.65230386793807771</v>
      </c>
      <c r="P53" s="300">
        <f t="shared" si="21"/>
        <v>0.6305835300670074</v>
      </c>
      <c r="Q53" s="300">
        <f t="shared" si="21"/>
        <v>0.6079546800864617</v>
      </c>
      <c r="R53" s="300">
        <f t="shared" si="21"/>
        <v>0.56394690735790631</v>
      </c>
      <c r="S53" s="300">
        <f t="shared" si="21"/>
        <v>0.51870775809272029</v>
      </c>
      <c r="T53" s="300">
        <f t="shared" si="21"/>
        <v>0.47295435302785654</v>
      </c>
      <c r="U53" s="300">
        <f t="shared" si="21"/>
        <v>0.42744409841170217</v>
      </c>
      <c r="V53" s="300">
        <f t="shared" si="21"/>
        <v>0.38292553292415332</v>
      </c>
      <c r="W53" s="300">
        <f t="shared" si="21"/>
        <v>0.34008986601955127</v>
      </c>
      <c r="X53" s="300">
        <f t="shared" si="21"/>
        <v>0.29952972989180732</v>
      </c>
      <c r="Y53" s="300">
        <f t="shared" si="21"/>
        <v>0.2617101129060847</v>
      </c>
      <c r="Z53" s="300">
        <f t="shared" si="21"/>
        <v>0.22695392440419346</v>
      </c>
      <c r="AA53" s="300">
        <f t="shared" si="21"/>
        <v>0.19544192517897988</v>
      </c>
      <c r="AB53" s="300">
        <f t="shared" si="21"/>
        <v>0.16722455870298336</v>
      </c>
      <c r="AC53" s="300">
        <f t="shared" si="21"/>
        <v>0.1422419559207618</v>
      </c>
      <c r="AD53" s="300">
        <f t="shared" si="21"/>
        <v>0.1203481167459881</v>
      </c>
      <c r="AE53" s="300">
        <f t="shared" si="21"/>
        <v>0.10133577075536163</v>
      </c>
      <c r="AF53" s="300">
        <f t="shared" si="21"/>
        <v>8.4959342846310223E-2</v>
      </c>
      <c r="AG53" s="300">
        <f t="shared" si="21"/>
        <v>7.0954472260809545E-2</v>
      </c>
      <c r="AH53" s="300">
        <f t="shared" si="21"/>
        <v>5.9053431001325783E-2</v>
      </c>
      <c r="AI53" s="300">
        <f t="shared" si="21"/>
        <v>4.8996452000099264E-2</v>
      </c>
      <c r="AJ53" s="300">
        <f t="shared" si="21"/>
        <v>4.0539392077707834E-2</v>
      </c>
      <c r="AK53" s="300">
        <f t="shared" si="21"/>
        <v>3.3458357665179884E-2</v>
      </c>
    </row>
    <row r="54" spans="1:37">
      <c r="A54" s="300" t="str">
        <f t="shared" si="14"/>
        <v>Bois énergie direct et réseau chaleur</v>
      </c>
      <c r="B54" s="300">
        <f t="shared" ref="B54:Q58" si="22">B14/SUM(B$13:B$18)</f>
        <v>9.0175285258380478E-2</v>
      </c>
      <c r="C54" s="300">
        <f t="shared" si="22"/>
        <v>9.4564969268119609E-2</v>
      </c>
      <c r="D54" s="300">
        <f t="shared" si="22"/>
        <v>9.9067762890110725E-2</v>
      </c>
      <c r="E54" s="300">
        <f t="shared" si="22"/>
        <v>0.10361429095867018</v>
      </c>
      <c r="F54" s="300">
        <f t="shared" si="22"/>
        <v>0.10802835741392947</v>
      </c>
      <c r="G54" s="300">
        <f t="shared" si="22"/>
        <v>0.11186788211722858</v>
      </c>
      <c r="H54" s="300">
        <f t="shared" si="22"/>
        <v>0.11721638614114291</v>
      </c>
      <c r="I54" s="300">
        <f t="shared" si="22"/>
        <v>0.12258285221547334</v>
      </c>
      <c r="J54" s="300">
        <f t="shared" si="22"/>
        <v>0.12792156571965055</v>
      </c>
      <c r="K54" s="300">
        <f t="shared" si="22"/>
        <v>0.13317961307143933</v>
      </c>
      <c r="L54" s="300">
        <f t="shared" si="22"/>
        <v>0.13829682906118357</v>
      </c>
      <c r="M54" s="300">
        <f t="shared" si="22"/>
        <v>0.14361122513099292</v>
      </c>
      <c r="N54" s="300">
        <f t="shared" si="22"/>
        <v>0.14880522618325925</v>
      </c>
      <c r="O54" s="300">
        <f t="shared" si="22"/>
        <v>0.15382660568671985</v>
      </c>
      <c r="P54" s="300">
        <f t="shared" si="22"/>
        <v>0.15861908853390058</v>
      </c>
      <c r="Q54" s="300">
        <f t="shared" si="22"/>
        <v>0.16312305855116638</v>
      </c>
      <c r="R54" s="300">
        <f t="shared" si="21"/>
        <v>0.17735616489805214</v>
      </c>
      <c r="S54" s="300">
        <f t="shared" si="21"/>
        <v>0.19120301374691898</v>
      </c>
      <c r="T54" s="300">
        <f t="shared" si="21"/>
        <v>0.20434082231754833</v>
      </c>
      <c r="U54" s="300">
        <f t="shared" si="21"/>
        <v>0.21646074806648635</v>
      </c>
      <c r="V54" s="300">
        <f t="shared" si="21"/>
        <v>0.22728882061355518</v>
      </c>
      <c r="W54" s="300">
        <f t="shared" si="21"/>
        <v>0.23660360676552261</v>
      </c>
      <c r="X54" s="300">
        <f t="shared" si="21"/>
        <v>0.24424828584545916</v>
      </c>
      <c r="Y54" s="300">
        <f t="shared" si="21"/>
        <v>0.25013589274409531</v>
      </c>
      <c r="Z54" s="300">
        <f t="shared" si="21"/>
        <v>0.25424775475003292</v>
      </c>
      <c r="AA54" s="300">
        <f t="shared" si="21"/>
        <v>0.25662625219533963</v>
      </c>
      <c r="AB54" s="300">
        <f t="shared" si="21"/>
        <v>0.25736372161486992</v>
      </c>
      <c r="AC54" s="300">
        <f t="shared" si="21"/>
        <v>0.25658951449326589</v>
      </c>
      <c r="AD54" s="300">
        <f t="shared" si="21"/>
        <v>0.25445700322313208</v>
      </c>
      <c r="AE54" s="300">
        <f t="shared" si="21"/>
        <v>0.25113185494803025</v>
      </c>
      <c r="AF54" s="300">
        <f t="shared" si="21"/>
        <v>0.24678234910580002</v>
      </c>
      <c r="AG54" s="300">
        <f t="shared" si="21"/>
        <v>0.24157202711163972</v>
      </c>
      <c r="AH54" s="300">
        <f t="shared" si="21"/>
        <v>0.23565460156680296</v>
      </c>
      <c r="AI54" s="300">
        <f t="shared" si="21"/>
        <v>0.22917083216733936</v>
      </c>
      <c r="AJ54" s="300">
        <f t="shared" si="21"/>
        <v>0.22224697633099999</v>
      </c>
      <c r="AK54" s="300">
        <f t="shared" si="21"/>
        <v>0.21499441028392344</v>
      </c>
    </row>
    <row r="55" spans="1:37">
      <c r="A55" s="300" t="str">
        <f t="shared" si="14"/>
        <v>Biogaz, biométhane, BtG et H2 direct et réseau de chaleur</v>
      </c>
      <c r="B55" s="300">
        <f t="shared" si="22"/>
        <v>1.7619510289739143E-4</v>
      </c>
      <c r="C55" s="300">
        <f t="shared" si="21"/>
        <v>4.4059307576267286E-4</v>
      </c>
      <c r="D55" s="300">
        <f t="shared" si="21"/>
        <v>1.100628643428859E-3</v>
      </c>
      <c r="E55" s="300">
        <f t="shared" si="21"/>
        <v>2.7449168136580411E-3</v>
      </c>
      <c r="F55" s="300">
        <f t="shared" si="21"/>
        <v>6.8241470038153682E-3</v>
      </c>
      <c r="G55" s="300">
        <f t="shared" si="21"/>
        <v>1.6850666767680871E-2</v>
      </c>
      <c r="H55" s="300">
        <f t="shared" si="21"/>
        <v>2.0001149709335229E-2</v>
      </c>
      <c r="I55" s="300">
        <f t="shared" si="21"/>
        <v>2.3694705421296237E-2</v>
      </c>
      <c r="J55" s="300">
        <f t="shared" si="21"/>
        <v>2.8010464886290179E-2</v>
      </c>
      <c r="K55" s="300">
        <f t="shared" si="21"/>
        <v>3.3034615628180726E-2</v>
      </c>
      <c r="L55" s="300">
        <f t="shared" si="21"/>
        <v>3.8859632618635183E-2</v>
      </c>
      <c r="M55" s="300">
        <f t="shared" si="21"/>
        <v>4.3971811297608396E-2</v>
      </c>
      <c r="N55" s="300">
        <f t="shared" si="21"/>
        <v>4.9648216632506396E-2</v>
      </c>
      <c r="O55" s="300">
        <f t="shared" si="21"/>
        <v>5.5926343584646036E-2</v>
      </c>
      <c r="P55" s="300">
        <f t="shared" si="21"/>
        <v>6.2840541663958235E-2</v>
      </c>
      <c r="Q55" s="300">
        <f t="shared" si="21"/>
        <v>7.0420535978337903E-2</v>
      </c>
      <c r="R55" s="300">
        <f t="shared" si="21"/>
        <v>8.240787146280662E-2</v>
      </c>
      <c r="S55" s="300">
        <f t="shared" si="21"/>
        <v>9.5621505751057434E-2</v>
      </c>
      <c r="T55" s="300">
        <f t="shared" si="21"/>
        <v>0.10999030818538631</v>
      </c>
      <c r="U55" s="300">
        <f t="shared" si="21"/>
        <v>0.1254055838357826</v>
      </c>
      <c r="V55" s="300">
        <f t="shared" si="21"/>
        <v>0.14172753437951968</v>
      </c>
      <c r="W55" s="300">
        <f t="shared" si="21"/>
        <v>0.15879468227096691</v>
      </c>
      <c r="X55" s="300">
        <f t="shared" si="21"/>
        <v>0.1764349244038641</v>
      </c>
      <c r="Y55" s="300">
        <f t="shared" si="21"/>
        <v>0.19447665807512635</v>
      </c>
      <c r="Z55" s="300">
        <f t="shared" si="21"/>
        <v>0.21275855504242161</v>
      </c>
      <c r="AA55" s="300">
        <f t="shared" si="21"/>
        <v>0.23113697466152347</v>
      </c>
      <c r="AB55" s="300">
        <f t="shared" si="21"/>
        <v>0.2494905545582172</v>
      </c>
      <c r="AC55" s="300">
        <f t="shared" si="21"/>
        <v>0.26772203812015782</v>
      </c>
      <c r="AD55" s="300">
        <f t="shared" si="21"/>
        <v>0.28575777978722711</v>
      </c>
      <c r="AE55" s="300">
        <f t="shared" si="21"/>
        <v>0.30354556826354312</v>
      </c>
      <c r="AF55" s="300">
        <f t="shared" si="21"/>
        <v>0.32105144081649289</v>
      </c>
      <c r="AG55" s="300">
        <f t="shared" si="21"/>
        <v>0.33825607895818222</v>
      </c>
      <c r="AH55" s="300">
        <f t="shared" si="21"/>
        <v>0.3551512343428464</v>
      </c>
      <c r="AI55" s="300">
        <f t="shared" si="21"/>
        <v>0.3717364805638797</v>
      </c>
      <c r="AJ55" s="300">
        <f t="shared" si="21"/>
        <v>0.3880164514098754</v>
      </c>
      <c r="AK55" s="300">
        <f t="shared" si="21"/>
        <v>0.40399862255047975</v>
      </c>
    </row>
    <row r="56" spans="1:37">
      <c r="A56" s="300" t="str">
        <f t="shared" si="14"/>
        <v>UIOM et déchets directs</v>
      </c>
      <c r="B56" s="300">
        <f t="shared" si="22"/>
        <v>1.3327798677701869E-2</v>
      </c>
      <c r="C56" s="300">
        <f t="shared" si="21"/>
        <v>1.3014295004626281E-2</v>
      </c>
      <c r="D56" s="300">
        <f t="shared" si="21"/>
        <v>1.2695276946510917E-2</v>
      </c>
      <c r="E56" s="300">
        <f t="shared" si="21"/>
        <v>1.2363713847618779E-2</v>
      </c>
      <c r="F56" s="300">
        <f t="shared" si="21"/>
        <v>1.2002909188328602E-2</v>
      </c>
      <c r="G56" s="300">
        <f t="shared" si="21"/>
        <v>1.157373744366458E-2</v>
      </c>
      <c r="H56" s="300">
        <f t="shared" si="21"/>
        <v>1.1721574281894395E-2</v>
      </c>
      <c r="I56" s="300">
        <f t="shared" si="21"/>
        <v>1.1848319183441166E-2</v>
      </c>
      <c r="J56" s="300">
        <f t="shared" si="21"/>
        <v>1.1950888541857075E-2</v>
      </c>
      <c r="K56" s="300">
        <f t="shared" si="21"/>
        <v>1.202606605740675E-2</v>
      </c>
      <c r="L56" s="300">
        <f t="shared" si="21"/>
        <v>1.2070561283177789E-2</v>
      </c>
      <c r="M56" s="300">
        <f t="shared" si="21"/>
        <v>1.2270244617913305E-2</v>
      </c>
      <c r="N56" s="300">
        <f t="shared" si="21"/>
        <v>1.2446080594139108E-2</v>
      </c>
      <c r="O56" s="300">
        <f t="shared" si="21"/>
        <v>1.2594921718246336E-2</v>
      </c>
      <c r="P56" s="300">
        <f t="shared" si="21"/>
        <v>1.2713615016637751E-2</v>
      </c>
      <c r="Q56" s="300">
        <f t="shared" si="21"/>
        <v>1.2799074090572958E-2</v>
      </c>
      <c r="R56" s="300">
        <f t="shared" si="21"/>
        <v>1.3984472724141939E-2</v>
      </c>
      <c r="S56" s="300">
        <f t="shared" si="21"/>
        <v>1.5150645978421359E-2</v>
      </c>
      <c r="T56" s="300">
        <f t="shared" si="21"/>
        <v>1.6271521466590097E-2</v>
      </c>
      <c r="U56" s="300">
        <f t="shared" si="21"/>
        <v>1.7321631354843901E-2</v>
      </c>
      <c r="V56" s="300">
        <f t="shared" si="21"/>
        <v>1.8277816861750146E-2</v>
      </c>
      <c r="W56" s="300">
        <f t="shared" si="21"/>
        <v>1.9120718903451434E-2</v>
      </c>
      <c r="X56" s="300">
        <f t="shared" si="21"/>
        <v>1.9835857996068816E-2</v>
      </c>
      <c r="Y56" s="300">
        <f t="shared" si="21"/>
        <v>2.0414187073857601E-2</v>
      </c>
      <c r="Z56" s="300">
        <f t="shared" si="21"/>
        <v>2.0852100628500791E-2</v>
      </c>
      <c r="AA56" s="300">
        <f t="shared" si="21"/>
        <v>2.1150974275561323E-2</v>
      </c>
      <c r="AB56" s="300">
        <f t="shared" si="21"/>
        <v>2.1316369190731335E-2</v>
      </c>
      <c r="AC56" s="300">
        <f t="shared" si="21"/>
        <v>2.1357057661281691E-2</v>
      </c>
      <c r="AD56" s="300">
        <f t="shared" si="21"/>
        <v>2.1284013864475922E-2</v>
      </c>
      <c r="AE56" s="300">
        <f t="shared" si="21"/>
        <v>2.1109480200089042E-2</v>
      </c>
      <c r="AF56" s="300">
        <f t="shared" si="21"/>
        <v>2.0846177848856746E-2</v>
      </c>
      <c r="AG56" s="300">
        <f t="shared" si="21"/>
        <v>2.0506691507112228E-2</v>
      </c>
      <c r="AH56" s="300">
        <f t="shared" si="21"/>
        <v>2.0103028524501059E-2</v>
      </c>
      <c r="AI56" s="300">
        <f t="shared" si="21"/>
        <v>1.964633367837779E-2</v>
      </c>
      <c r="AJ56" s="300">
        <f t="shared" si="21"/>
        <v>1.9146731412751243E-2</v>
      </c>
      <c r="AK56" s="300">
        <f t="shared" si="21"/>
        <v>1.8613265086325038E-2</v>
      </c>
    </row>
    <row r="57" spans="1:37">
      <c r="A57" s="300" t="str">
        <f t="shared" si="14"/>
        <v>Géothermie et  PAC géothermique</v>
      </c>
      <c r="B57" s="300">
        <f t="shared" si="22"/>
        <v>7.4203626268943843E-3</v>
      </c>
      <c r="C57" s="300">
        <f t="shared" si="21"/>
        <v>7.8107248285893454E-3</v>
      </c>
      <c r="D57" s="300">
        <f t="shared" si="21"/>
        <v>8.2132842945836174E-3</v>
      </c>
      <c r="E57" s="300">
        <f t="shared" si="21"/>
        <v>8.6223888912367545E-3</v>
      </c>
      <c r="F57" s="300">
        <f t="shared" si="21"/>
        <v>9.0233783457712245E-3</v>
      </c>
      <c r="G57" s="300">
        <f t="shared" si="21"/>
        <v>9.3790803950716799E-3</v>
      </c>
      <c r="H57" s="300">
        <f t="shared" si="21"/>
        <v>1.0620299452033419E-2</v>
      </c>
      <c r="I57" s="300">
        <f t="shared" si="21"/>
        <v>1.2002500952775165E-2</v>
      </c>
      <c r="J57" s="300">
        <f t="shared" si="21"/>
        <v>1.3535658403304365E-2</v>
      </c>
      <c r="K57" s="300">
        <f t="shared" si="21"/>
        <v>1.522884478494879E-2</v>
      </c>
      <c r="L57" s="300">
        <f t="shared" si="21"/>
        <v>1.708972310930908E-2</v>
      </c>
      <c r="M57" s="300">
        <f t="shared" si="21"/>
        <v>1.9810445838598211E-2</v>
      </c>
      <c r="N57" s="300">
        <f t="shared" si="21"/>
        <v>2.2914326945100625E-2</v>
      </c>
      <c r="O57" s="300">
        <f t="shared" si="21"/>
        <v>2.6442556244360847E-2</v>
      </c>
      <c r="P57" s="300">
        <f t="shared" si="21"/>
        <v>3.0437605813394296E-2</v>
      </c>
      <c r="Q57" s="300">
        <f t="shared" si="21"/>
        <v>3.4942458083423042E-2</v>
      </c>
      <c r="R57" s="300">
        <f t="shared" si="21"/>
        <v>4.0027028045015241E-2</v>
      </c>
      <c r="S57" s="300">
        <f t="shared" si="21"/>
        <v>4.5464325154142164E-2</v>
      </c>
      <c r="T57" s="300">
        <f t="shared" si="21"/>
        <v>5.1191765978578829E-2</v>
      </c>
      <c r="U57" s="300">
        <f t="shared" si="21"/>
        <v>5.7133797263686857E-2</v>
      </c>
      <c r="V57" s="300">
        <f t="shared" si="21"/>
        <v>6.320638742744368E-2</v>
      </c>
      <c r="W57" s="300">
        <f t="shared" si="21"/>
        <v>6.9322339955116177E-2</v>
      </c>
      <c r="X57" s="300">
        <f t="shared" si="21"/>
        <v>7.5396699833586642E-2</v>
      </c>
      <c r="Y57" s="300">
        <f t="shared" si="21"/>
        <v>8.1351541414701911E-2</v>
      </c>
      <c r="Z57" s="300">
        <f t="shared" si="21"/>
        <v>8.7119596941600666E-2</v>
      </c>
      <c r="AA57" s="300">
        <f t="shared" si="21"/>
        <v>9.264644768705077E-2</v>
      </c>
      <c r="AB57" s="300">
        <f t="shared" si="21"/>
        <v>9.7891273374513463E-2</v>
      </c>
      <c r="AC57" s="300">
        <f t="shared" si="21"/>
        <v>0.10282637228059079</v>
      </c>
      <c r="AD57" s="300">
        <f t="shared" si="21"/>
        <v>0.1074357887558129</v>
      </c>
      <c r="AE57" s="300">
        <f t="shared" si="21"/>
        <v>0.11171341609504024</v>
      </c>
      <c r="AF57" s="300">
        <f t="shared" si="21"/>
        <v>0.1156609036561745</v>
      </c>
      <c r="AG57" s="300">
        <f t="shared" si="21"/>
        <v>0.11928561943991257</v>
      </c>
      <c r="AH57" s="300">
        <f t="shared" si="21"/>
        <v>0.12259883135872762</v>
      </c>
      <c r="AI57" s="300">
        <f t="shared" si="21"/>
        <v>0.12561419137473923</v>
      </c>
      <c r="AJ57" s="300">
        <f t="shared" si="21"/>
        <v>0.12834654600686779</v>
      </c>
      <c r="AK57" s="300">
        <f t="shared" si="21"/>
        <v>0.13081105629454137</v>
      </c>
    </row>
    <row r="58" spans="1:37">
      <c r="A58" s="300" t="str">
        <f t="shared" si="14"/>
        <v>Autres (solaire thermique, chaleur fatale, pac AEROTHERMIQUE)</v>
      </c>
      <c r="B58" s="300">
        <f t="shared" si="22"/>
        <v>3.1160349838108812E-2</v>
      </c>
      <c r="C58" s="300">
        <f t="shared" si="21"/>
        <v>3.42464685336187E-2</v>
      </c>
      <c r="D58" s="300">
        <f t="shared" si="21"/>
        <v>3.7600063001134464E-2</v>
      </c>
      <c r="E58" s="300">
        <f t="shared" si="21"/>
        <v>4.1214172481044031E-2</v>
      </c>
      <c r="F58" s="300">
        <f t="shared" si="21"/>
        <v>4.5033469322761616E-2</v>
      </c>
      <c r="G58" s="300">
        <f t="shared" si="21"/>
        <v>4.8873535564352838E-2</v>
      </c>
      <c r="H58" s="300">
        <f t="shared" si="21"/>
        <v>5.442738122178345E-2</v>
      </c>
      <c r="I58" s="300">
        <f t="shared" si="21"/>
        <v>6.0495016960291845E-2</v>
      </c>
      <c r="J58" s="300">
        <f t="shared" si="21"/>
        <v>6.7095658058608593E-2</v>
      </c>
      <c r="K58" s="300">
        <f t="shared" si="21"/>
        <v>7.4241915542320069E-2</v>
      </c>
      <c r="L58" s="300">
        <f t="shared" si="21"/>
        <v>8.1937821312039708E-2</v>
      </c>
      <c r="M58" s="300">
        <f t="shared" si="21"/>
        <v>8.7437918112949709E-2</v>
      </c>
      <c r="N58" s="300">
        <f t="shared" si="21"/>
        <v>9.3104106705966083E-2</v>
      </c>
      <c r="O58" s="300">
        <f t="shared" si="21"/>
        <v>9.8905704827949137E-2</v>
      </c>
      <c r="P58" s="300">
        <f t="shared" si="21"/>
        <v>0.10480561890510161</v>
      </c>
      <c r="Q58" s="300">
        <f t="shared" si="21"/>
        <v>0.11076019321003829</v>
      </c>
      <c r="R58" s="300">
        <f t="shared" si="21"/>
        <v>0.12227755551207781</v>
      </c>
      <c r="S58" s="300">
        <f t="shared" si="21"/>
        <v>0.13385275127673971</v>
      </c>
      <c r="T58" s="300">
        <f t="shared" si="21"/>
        <v>0.14525122902404006</v>
      </c>
      <c r="U58" s="300">
        <f t="shared" si="21"/>
        <v>0.156234141067498</v>
      </c>
      <c r="V58" s="300">
        <f t="shared" si="21"/>
        <v>0.16657390779357789</v>
      </c>
      <c r="W58" s="300">
        <f t="shared" si="21"/>
        <v>0.1760687860853917</v>
      </c>
      <c r="X58" s="300">
        <f t="shared" si="21"/>
        <v>0.18455450202921403</v>
      </c>
      <c r="Y58" s="300">
        <f t="shared" si="21"/>
        <v>0.19191160778613406</v>
      </c>
      <c r="Z58" s="300">
        <f t="shared" si="21"/>
        <v>0.19806806823325057</v>
      </c>
      <c r="AA58" s="300">
        <f t="shared" si="21"/>
        <v>0.20299742600154491</v>
      </c>
      <c r="AB58" s="300">
        <f t="shared" si="21"/>
        <v>0.20671352255868489</v>
      </c>
      <c r="AC58" s="300">
        <f t="shared" si="21"/>
        <v>0.20926306152394217</v>
      </c>
      <c r="AD58" s="300">
        <f t="shared" si="21"/>
        <v>0.21071729762336394</v>
      </c>
      <c r="AE58" s="300">
        <f t="shared" si="21"/>
        <v>0.21116390973793561</v>
      </c>
      <c r="AF58" s="300">
        <f t="shared" si="21"/>
        <v>0.21069978572636566</v>
      </c>
      <c r="AG58" s="300">
        <f t="shared" si="21"/>
        <v>0.20942511072234377</v>
      </c>
      <c r="AH58" s="300">
        <f t="shared" si="21"/>
        <v>0.20743887320579607</v>
      </c>
      <c r="AI58" s="300">
        <f t="shared" si="21"/>
        <v>0.20483571021556465</v>
      </c>
      <c r="AJ58" s="300">
        <f t="shared" si="21"/>
        <v>0.20170390276179789</v>
      </c>
      <c r="AK58" s="300">
        <f t="shared" si="21"/>
        <v>0.19812428811955055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BZ216"/>
  <sheetViews>
    <sheetView workbookViewId="0"/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300"/>
  </cols>
  <sheetData>
    <row r="1" spans="1:15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43278</v>
      </c>
    </row>
    <row r="5" spans="1:15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5" ht="15.75">
      <c r="A7" s="79">
        <v>2015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9" spans="1:15">
      <c r="O9" s="82"/>
    </row>
    <row r="10" spans="1:15" ht="45">
      <c r="A10" s="83" t="s">
        <v>51</v>
      </c>
      <c r="B10" s="301" t="s">
        <v>42</v>
      </c>
      <c r="C10" s="301" t="s">
        <v>52</v>
      </c>
      <c r="D10" s="301" t="s">
        <v>53</v>
      </c>
      <c r="E10" s="302" t="s">
        <v>54</v>
      </c>
      <c r="F10" s="302" t="s">
        <v>20</v>
      </c>
      <c r="G10" s="302" t="s">
        <v>55</v>
      </c>
      <c r="H10" s="301" t="s">
        <v>56</v>
      </c>
      <c r="I10" s="301" t="s">
        <v>57</v>
      </c>
      <c r="J10" s="301" t="s">
        <v>58</v>
      </c>
      <c r="K10" s="301" t="s">
        <v>31</v>
      </c>
      <c r="L10" s="301" t="s">
        <v>10</v>
      </c>
    </row>
    <row r="11" spans="1:15" ht="15.75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15">
      <c r="A12" s="303" t="s">
        <v>59</v>
      </c>
      <c r="B12" s="86">
        <v>0</v>
      </c>
      <c r="C12" s="86">
        <v>0.99</v>
      </c>
      <c r="D12" s="86">
        <v>0</v>
      </c>
      <c r="E12" s="86">
        <v>1.9114359415305246E-2</v>
      </c>
      <c r="F12" s="86">
        <v>113.97587222178795</v>
      </c>
      <c r="G12" s="86">
        <v>7.1744464316423038</v>
      </c>
      <c r="H12" s="86">
        <v>17.623063691890987</v>
      </c>
      <c r="I12" s="86">
        <v>0</v>
      </c>
      <c r="J12" s="86">
        <v>0</v>
      </c>
      <c r="K12" s="86"/>
      <c r="L12" s="86">
        <v>139.78249670473656</v>
      </c>
    </row>
    <row r="13" spans="1:15">
      <c r="A13" s="303" t="s">
        <v>60</v>
      </c>
      <c r="B13" s="86">
        <v>8.8097723628054307</v>
      </c>
      <c r="C13" s="86">
        <v>58.756</v>
      </c>
      <c r="D13" s="86">
        <v>41.304000000000002</v>
      </c>
      <c r="E13" s="86">
        <v>39.381556147893384</v>
      </c>
      <c r="F13" s="86">
        <v>0</v>
      </c>
      <c r="G13" s="86">
        <v>0</v>
      </c>
      <c r="H13" s="86">
        <v>0.60762719977070789</v>
      </c>
      <c r="I13" s="86">
        <v>0.85649183147033525</v>
      </c>
      <c r="J13" s="86">
        <v>0</v>
      </c>
      <c r="K13" s="86"/>
      <c r="L13" s="86">
        <v>149.71544754193985</v>
      </c>
    </row>
    <row r="14" spans="1:15">
      <c r="A14" s="303" t="s">
        <v>61</v>
      </c>
      <c r="B14" s="86">
        <v>-0.129456001503714</v>
      </c>
      <c r="C14" s="86">
        <v>-9.7000000000000003E-2</v>
      </c>
      <c r="D14" s="86">
        <v>-21.164999999999999</v>
      </c>
      <c r="E14" s="86">
        <v>-4.864952708512468</v>
      </c>
      <c r="F14" s="86">
        <v>0</v>
      </c>
      <c r="G14" s="86">
        <v>0</v>
      </c>
      <c r="H14" s="86">
        <v>-0.17842572847998472</v>
      </c>
      <c r="I14" s="86">
        <v>-6.3649183147033543</v>
      </c>
      <c r="J14" s="86">
        <v>0</v>
      </c>
      <c r="K14" s="86"/>
      <c r="L14" s="86">
        <v>-32.79975275319952</v>
      </c>
    </row>
    <row r="15" spans="1:15">
      <c r="A15" s="303" t="s">
        <v>62</v>
      </c>
      <c r="B15" s="86">
        <v>0</v>
      </c>
      <c r="C15" s="86">
        <v>0</v>
      </c>
      <c r="D15" s="86">
        <v>-1.6180000000000001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/>
      <c r="L15" s="86">
        <v>-5.9379999999999997</v>
      </c>
    </row>
    <row r="16" spans="1:15">
      <c r="A16" s="303" t="s">
        <v>63</v>
      </c>
      <c r="B16" s="86">
        <v>0</v>
      </c>
      <c r="C16" s="86">
        <v>0</v>
      </c>
      <c r="D16" s="86">
        <v>-5.9379999999999997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/>
      <c r="L16" s="86">
        <v>-1.6180000000000001</v>
      </c>
    </row>
    <row r="17" spans="1:12">
      <c r="A17" s="303" t="s">
        <v>64</v>
      </c>
      <c r="B17" s="86">
        <v>0.114672336797846</v>
      </c>
      <c r="C17" s="86">
        <v>0.107</v>
      </c>
      <c r="D17" s="86">
        <v>-6.5000000000000002E-2</v>
      </c>
      <c r="E17" s="86">
        <v>0.50447579385934049</v>
      </c>
      <c r="F17" s="86">
        <v>0</v>
      </c>
      <c r="G17" s="86">
        <v>0</v>
      </c>
      <c r="H17" s="86">
        <v>0</v>
      </c>
      <c r="I17" s="86">
        <v>0</v>
      </c>
      <c r="J17" s="86">
        <v>0</v>
      </c>
      <c r="K17" s="86"/>
      <c r="L17" s="86">
        <v>0.66114813065718647</v>
      </c>
    </row>
    <row r="18" spans="1:12" ht="15.75">
      <c r="A18" s="304" t="s">
        <v>65</v>
      </c>
      <c r="B18" s="87">
        <v>8.7949886980995622</v>
      </c>
      <c r="C18" s="87">
        <v>59.756</v>
      </c>
      <c r="D18" s="87">
        <v>12.518000000000004</v>
      </c>
      <c r="E18" s="87">
        <v>35.040193592655562</v>
      </c>
      <c r="F18" s="87">
        <v>113.97587222178795</v>
      </c>
      <c r="G18" s="87">
        <v>7.1744464316423038</v>
      </c>
      <c r="H18" s="87">
        <v>18.052265163181708</v>
      </c>
      <c r="I18" s="87">
        <v>-5.508426483233019</v>
      </c>
      <c r="J18" s="87">
        <v>0</v>
      </c>
      <c r="K18" s="87"/>
      <c r="L18" s="87">
        <v>249.80333962413408</v>
      </c>
    </row>
    <row r="19" spans="1:12" ht="15.75">
      <c r="A19" s="84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</row>
    <row r="20" spans="1:12">
      <c r="A20" s="303" t="s">
        <v>66</v>
      </c>
      <c r="B20" s="86">
        <v>0</v>
      </c>
      <c r="C20" s="86">
        <v>-0.32500000000000001</v>
      </c>
      <c r="D20" s="86">
        <v>0.25</v>
      </c>
      <c r="E20" s="86">
        <v>0</v>
      </c>
      <c r="F20" s="86">
        <v>0</v>
      </c>
      <c r="G20" s="86">
        <v>0</v>
      </c>
      <c r="H20" s="89">
        <v>0</v>
      </c>
      <c r="I20" s="86">
        <v>0</v>
      </c>
      <c r="J20" s="86">
        <v>0</v>
      </c>
      <c r="K20" s="86"/>
      <c r="L20" s="86">
        <v>-7.5000000000000011E-2</v>
      </c>
    </row>
    <row r="21" spans="1:12">
      <c r="A21" s="303" t="s">
        <v>67</v>
      </c>
      <c r="B21" s="86">
        <v>0.25449943513061157</v>
      </c>
      <c r="C21" s="86">
        <v>9.6000000000003638E-2</v>
      </c>
      <c r="D21" s="86">
        <v>1.9070000000000071</v>
      </c>
      <c r="E21" s="86">
        <v>9.2719287991815946E-6</v>
      </c>
      <c r="F21" s="86">
        <v>0</v>
      </c>
      <c r="G21" s="86">
        <v>0</v>
      </c>
      <c r="H21" s="86">
        <v>2.3884589662749591E-5</v>
      </c>
      <c r="I21" s="86">
        <v>-9.6560619088564059E-2</v>
      </c>
      <c r="J21" s="86">
        <v>0</v>
      </c>
      <c r="K21" s="86"/>
      <c r="L21" s="86">
        <v>2.1609719725605201</v>
      </c>
    </row>
    <row r="22" spans="1:12">
      <c r="A22" s="303" t="s">
        <v>68</v>
      </c>
      <c r="B22" s="86">
        <v>2.8177717473010411</v>
      </c>
      <c r="C22" s="86">
        <v>0</v>
      </c>
      <c r="D22" s="86">
        <v>0.46200000000000002</v>
      </c>
      <c r="E22" s="86">
        <v>1.748834832017226</v>
      </c>
      <c r="F22" s="86">
        <v>113.97587222178795</v>
      </c>
      <c r="G22" s="86">
        <v>7.1744464316423038</v>
      </c>
      <c r="H22" s="86">
        <v>1.3081350912391323</v>
      </c>
      <c r="I22" s="86">
        <v>-47.166809974204646</v>
      </c>
      <c r="J22" s="86">
        <v>0</v>
      </c>
      <c r="K22" s="86"/>
      <c r="L22" s="86">
        <v>80.320250349783009</v>
      </c>
    </row>
    <row r="23" spans="1:12">
      <c r="A23" s="303" t="s">
        <v>69</v>
      </c>
      <c r="B23" s="86">
        <v>0.17574077042132416</v>
      </c>
      <c r="C23" s="86">
        <v>0</v>
      </c>
      <c r="D23" s="86">
        <v>0.24</v>
      </c>
      <c r="E23" s="86">
        <v>2.0854259827438875</v>
      </c>
      <c r="F23" s="86">
        <v>0</v>
      </c>
      <c r="G23" s="86">
        <v>0</v>
      </c>
      <c r="H23" s="86">
        <v>2.3690407948791439</v>
      </c>
      <c r="I23" s="86">
        <v>-1.4459157351676697</v>
      </c>
      <c r="J23" s="86">
        <v>-1.9220112484952707</v>
      </c>
      <c r="K23" s="86"/>
      <c r="L23" s="86">
        <v>1.502280564381415</v>
      </c>
    </row>
    <row r="24" spans="1:12">
      <c r="A24" s="303" t="s">
        <v>70</v>
      </c>
      <c r="B24" s="86">
        <v>0.18260499999999999</v>
      </c>
      <c r="C24" s="86">
        <v>0</v>
      </c>
      <c r="D24" s="86">
        <v>7.0000000000000007E-2</v>
      </c>
      <c r="E24" s="86">
        <v>0.65908241891659469</v>
      </c>
      <c r="F24" s="86">
        <v>0</v>
      </c>
      <c r="G24" s="86">
        <v>0</v>
      </c>
      <c r="H24" s="86">
        <v>0.77558039552880487</v>
      </c>
      <c r="I24" s="89">
        <v>0</v>
      </c>
      <c r="J24" s="86">
        <v>-1.90296</v>
      </c>
      <c r="K24" s="86"/>
      <c r="L24" s="86">
        <v>-0.21569218555460057</v>
      </c>
    </row>
    <row r="25" spans="1:12">
      <c r="A25" s="303" t="s">
        <v>71</v>
      </c>
      <c r="B25" s="86">
        <v>0</v>
      </c>
      <c r="C25" s="86">
        <v>0</v>
      </c>
      <c r="D25" s="86">
        <v>0</v>
      </c>
      <c r="E25" s="305">
        <v>-6.3456577815993124E-3</v>
      </c>
      <c r="F25" s="86">
        <v>0</v>
      </c>
      <c r="G25" s="86">
        <v>0</v>
      </c>
      <c r="H25" s="305">
        <v>6.3533008502913921E-3</v>
      </c>
      <c r="I25" s="89">
        <v>0</v>
      </c>
      <c r="J25" s="86">
        <v>0</v>
      </c>
      <c r="K25" s="86"/>
      <c r="L25" s="86">
        <v>7.6430686920796881E-6</v>
      </c>
    </row>
    <row r="26" spans="1:12">
      <c r="A26" s="303" t="s">
        <v>72</v>
      </c>
      <c r="B26" s="86">
        <v>0</v>
      </c>
      <c r="C26" s="86">
        <v>61.207000000000001</v>
      </c>
      <c r="D26" s="86">
        <v>-60.67</v>
      </c>
      <c r="E26" s="86">
        <v>0</v>
      </c>
      <c r="F26" s="86">
        <v>0</v>
      </c>
      <c r="G26" s="86">
        <v>0</v>
      </c>
      <c r="H26" s="89">
        <v>0</v>
      </c>
      <c r="I26" s="86">
        <v>0</v>
      </c>
      <c r="J26" s="86">
        <v>0</v>
      </c>
      <c r="K26" s="86"/>
      <c r="L26" s="86">
        <v>0.53699999999999903</v>
      </c>
    </row>
    <row r="27" spans="1:12">
      <c r="A27" s="303" t="s">
        <v>73</v>
      </c>
      <c r="B27" s="86"/>
      <c r="C27" s="86"/>
      <c r="D27" s="86"/>
      <c r="E27" s="86"/>
      <c r="F27" s="86"/>
      <c r="G27" s="86"/>
      <c r="H27" s="89"/>
      <c r="I27" s="86"/>
      <c r="J27" s="86"/>
      <c r="K27" s="86"/>
      <c r="L27" s="86"/>
    </row>
    <row r="28" spans="1:12">
      <c r="A28" s="303" t="s">
        <v>74</v>
      </c>
      <c r="B28" s="86">
        <v>2.9093146706792772</v>
      </c>
      <c r="C28" s="86">
        <v>-1.222</v>
      </c>
      <c r="D28" s="86">
        <v>1.208</v>
      </c>
      <c r="E28" s="86">
        <v>0</v>
      </c>
      <c r="F28" s="86">
        <v>0</v>
      </c>
      <c r="G28" s="86">
        <v>0</v>
      </c>
      <c r="H28" s="89">
        <v>0</v>
      </c>
      <c r="I28" s="86">
        <v>0</v>
      </c>
      <c r="J28" s="86">
        <v>0</v>
      </c>
      <c r="K28" s="86"/>
      <c r="L28" s="86">
        <v>2.8953146706792774</v>
      </c>
    </row>
    <row r="29" spans="1:12">
      <c r="A29" s="303" t="s">
        <v>75</v>
      </c>
      <c r="B29" s="86">
        <v>1.0374988057705168</v>
      </c>
      <c r="C29" s="86">
        <v>0</v>
      </c>
      <c r="D29" s="86">
        <v>1.7969999999999999</v>
      </c>
      <c r="E29" s="86">
        <v>1.2420767288044043</v>
      </c>
      <c r="F29" s="86">
        <v>0</v>
      </c>
      <c r="G29" s="86">
        <v>0</v>
      </c>
      <c r="H29" s="305">
        <v>5.1017483519633131E-2</v>
      </c>
      <c r="I29" s="86">
        <v>2.7822871883061051</v>
      </c>
      <c r="J29" s="86">
        <v>5.632857184772793E-2</v>
      </c>
      <c r="K29" s="86"/>
      <c r="L29" s="86">
        <v>6.9662087782483875</v>
      </c>
    </row>
    <row r="30" spans="1:12">
      <c r="A30" s="303" t="s">
        <v>76</v>
      </c>
      <c r="B30" s="86">
        <v>0</v>
      </c>
      <c r="C30" s="86">
        <v>0</v>
      </c>
      <c r="D30" s="86">
        <v>0</v>
      </c>
      <c r="E30" s="86">
        <v>0.46122098022355978</v>
      </c>
      <c r="F30" s="86">
        <v>0</v>
      </c>
      <c r="G30" s="86">
        <v>0</v>
      </c>
      <c r="H30" s="89">
        <v>0</v>
      </c>
      <c r="I30" s="86">
        <v>3.0435941530524504</v>
      </c>
      <c r="J30" s="86">
        <v>0.80882690971625104</v>
      </c>
      <c r="K30" s="86"/>
      <c r="L30" s="86">
        <v>4.3136420429922611</v>
      </c>
    </row>
    <row r="31" spans="1:12" ht="15.75">
      <c r="A31" s="304" t="s">
        <v>77</v>
      </c>
      <c r="B31" s="87">
        <v>7.3774304293027715</v>
      </c>
      <c r="C31" s="87">
        <v>59.756</v>
      </c>
      <c r="D31" s="87">
        <v>-54.735999999999997</v>
      </c>
      <c r="E31" s="87">
        <v>6.1903045568528725</v>
      </c>
      <c r="F31" s="87">
        <v>113.97587222178795</v>
      </c>
      <c r="G31" s="87">
        <v>7.1744464316423038</v>
      </c>
      <c r="H31" s="90">
        <v>4.5101509506066684</v>
      </c>
      <c r="I31" s="87">
        <v>-42.883404987102317</v>
      </c>
      <c r="J31" s="87">
        <v>-2.9598157669312917</v>
      </c>
      <c r="K31" s="87"/>
      <c r="L31" s="87">
        <v>98.404983836158948</v>
      </c>
    </row>
    <row r="32" spans="1:12" ht="15.75">
      <c r="A32" s="84"/>
      <c r="B32" s="88"/>
      <c r="C32" s="88"/>
      <c r="D32" s="88"/>
      <c r="E32" s="88"/>
      <c r="F32" s="88"/>
      <c r="G32" s="88"/>
      <c r="H32" s="88"/>
      <c r="I32" s="88"/>
      <c r="J32" s="333"/>
      <c r="K32" s="88"/>
      <c r="L32" s="88"/>
    </row>
    <row r="33" spans="1:12" ht="15.75">
      <c r="A33" s="306" t="s">
        <v>78</v>
      </c>
      <c r="B33" s="86">
        <v>1.0493092649428299</v>
      </c>
      <c r="C33" s="86">
        <v>0</v>
      </c>
      <c r="D33" s="86">
        <v>2.3566094604778205</v>
      </c>
      <c r="E33" s="86">
        <v>10.203836493244836</v>
      </c>
      <c r="F33" s="86">
        <v>0</v>
      </c>
      <c r="G33" s="86">
        <v>0</v>
      </c>
      <c r="H33" s="86">
        <v>1.3655536447883825</v>
      </c>
      <c r="I33" s="86">
        <v>10.069552160227975</v>
      </c>
      <c r="J33" s="86">
        <v>1.1415347236508666</v>
      </c>
      <c r="K33" s="86"/>
      <c r="L33" s="86">
        <v>26.186395747332714</v>
      </c>
    </row>
    <row r="34" spans="1:12" ht="15.75">
      <c r="A34" s="306" t="s">
        <v>79</v>
      </c>
      <c r="B34" s="86">
        <v>0</v>
      </c>
      <c r="C34" s="86">
        <v>0</v>
      </c>
      <c r="D34" s="86">
        <v>39.807000000000002</v>
      </c>
      <c r="E34" s="86">
        <v>6.6215426095074262E-2</v>
      </c>
      <c r="F34" s="86">
        <v>0</v>
      </c>
      <c r="G34" s="86">
        <v>0</v>
      </c>
      <c r="H34" s="86">
        <v>2.9481554218018533</v>
      </c>
      <c r="I34" s="86">
        <v>0.9447119518486673</v>
      </c>
      <c r="J34" s="86">
        <v>0</v>
      </c>
      <c r="K34" s="86"/>
      <c r="L34" s="86">
        <v>43.766082799745597</v>
      </c>
    </row>
    <row r="35" spans="1:12">
      <c r="A35" s="303" t="s">
        <v>80</v>
      </c>
      <c r="B35" s="86">
        <v>3.6764196608413298E-2</v>
      </c>
      <c r="C35" s="86">
        <v>0</v>
      </c>
      <c r="D35" s="86">
        <v>6.675295411054611</v>
      </c>
      <c r="E35" s="86">
        <v>11.782543572350074</v>
      </c>
      <c r="F35" s="86">
        <v>0</v>
      </c>
      <c r="G35" s="86">
        <v>0</v>
      </c>
      <c r="H35" s="86">
        <v>8.8384757709717583</v>
      </c>
      <c r="I35" s="86">
        <v>13.620367058142639</v>
      </c>
      <c r="J35" s="86">
        <v>1.211844363001864</v>
      </c>
      <c r="K35" s="86"/>
      <c r="L35" s="86">
        <v>42.165290372129363</v>
      </c>
    </row>
    <row r="36" spans="1:12">
      <c r="A36" s="303" t="s">
        <v>81</v>
      </c>
      <c r="B36" s="86">
        <v>4.3073392295861899E-2</v>
      </c>
      <c r="C36" s="86">
        <v>0</v>
      </c>
      <c r="D36" s="86">
        <v>3.0154656446401722</v>
      </c>
      <c r="E36" s="86">
        <v>7.1387763292293327</v>
      </c>
      <c r="F36" s="86">
        <v>0</v>
      </c>
      <c r="G36" s="86">
        <v>0</v>
      </c>
      <c r="H36" s="86">
        <v>0.89658244032112444</v>
      </c>
      <c r="I36" s="86">
        <v>12.701365476499774</v>
      </c>
      <c r="J36" s="86">
        <v>0.710753475039681</v>
      </c>
      <c r="K36" s="86"/>
      <c r="L36" s="86">
        <v>24.506016758025943</v>
      </c>
    </row>
    <row r="37" spans="1:12">
      <c r="A37" s="303" t="s">
        <v>82</v>
      </c>
      <c r="B37" s="86">
        <v>2.2137192704974398E-3</v>
      </c>
      <c r="C37" s="86">
        <v>0</v>
      </c>
      <c r="D37" s="86">
        <v>3.371</v>
      </c>
      <c r="E37" s="86">
        <v>0.20038837309893262</v>
      </c>
      <c r="F37" s="86">
        <v>0</v>
      </c>
      <c r="G37" s="86">
        <v>0</v>
      </c>
      <c r="H37" s="86">
        <v>0.15947740517817902</v>
      </c>
      <c r="I37" s="86">
        <v>0.74651762682717115</v>
      </c>
      <c r="J37" s="86">
        <v>6.4536710533781346E-3</v>
      </c>
      <c r="K37" s="86"/>
      <c r="L37" s="86">
        <v>4.4860507954281577</v>
      </c>
    </row>
    <row r="38" spans="1:12" ht="15.75">
      <c r="A38" s="304" t="s">
        <v>83</v>
      </c>
      <c r="B38" s="87">
        <v>1.1313605731176026</v>
      </c>
      <c r="C38" s="87">
        <v>0</v>
      </c>
      <c r="D38" s="87">
        <v>55.22537051617261</v>
      </c>
      <c r="E38" s="87">
        <v>29.391760194018246</v>
      </c>
      <c r="F38" s="87">
        <v>0</v>
      </c>
      <c r="G38" s="87">
        <v>0</v>
      </c>
      <c r="H38" s="87">
        <v>14.208244683061297</v>
      </c>
      <c r="I38" s="87">
        <v>38.082441502020473</v>
      </c>
      <c r="J38" s="87">
        <v>3.0705862327457898</v>
      </c>
      <c r="K38" s="87"/>
      <c r="L38" s="87">
        <v>141.10976370113602</v>
      </c>
    </row>
    <row r="39" spans="1:12">
      <c r="A39" s="303" t="s">
        <v>84</v>
      </c>
      <c r="B39" s="86">
        <v>0.30500413491505901</v>
      </c>
      <c r="C39" s="86">
        <v>0</v>
      </c>
      <c r="D39" s="86">
        <v>12.452999999999999</v>
      </c>
      <c r="E39" s="86">
        <v>1.101586241324729</v>
      </c>
      <c r="F39" s="86">
        <v>0</v>
      </c>
      <c r="G39" s="86">
        <v>0</v>
      </c>
      <c r="H39" s="86">
        <v>0</v>
      </c>
      <c r="I39" s="86">
        <v>0</v>
      </c>
      <c r="J39" s="86">
        <v>0</v>
      </c>
      <c r="K39" s="86"/>
      <c r="L39" s="86">
        <v>13.859590376239787</v>
      </c>
    </row>
    <row r="40" spans="1:12" ht="15.75">
      <c r="A40" s="304" t="s">
        <v>85</v>
      </c>
      <c r="B40" s="87">
        <v>1.4363647080326616</v>
      </c>
      <c r="C40" s="87">
        <v>0</v>
      </c>
      <c r="D40" s="87">
        <v>67.678370516172606</v>
      </c>
      <c r="E40" s="87">
        <v>30.493346435342975</v>
      </c>
      <c r="F40" s="87">
        <v>0</v>
      </c>
      <c r="G40" s="87">
        <v>0</v>
      </c>
      <c r="H40" s="87">
        <v>14.208244683061297</v>
      </c>
      <c r="I40" s="87">
        <v>38.082441502020473</v>
      </c>
      <c r="J40" s="87">
        <v>3.0705862327457898</v>
      </c>
      <c r="K40" s="87"/>
      <c r="L40" s="87">
        <v>154.96935407737581</v>
      </c>
    </row>
    <row r="51" spans="1:14" ht="15.75">
      <c r="A51" s="91" t="s">
        <v>86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4" ht="45">
      <c r="A54" s="83" t="s">
        <v>51</v>
      </c>
      <c r="B54" s="301" t="s">
        <v>42</v>
      </c>
      <c r="C54" s="301" t="s">
        <v>52</v>
      </c>
      <c r="D54" s="301" t="s">
        <v>53</v>
      </c>
      <c r="E54" s="302" t="s">
        <v>54</v>
      </c>
      <c r="F54" s="302" t="s">
        <v>20</v>
      </c>
      <c r="G54" s="302" t="s">
        <v>55</v>
      </c>
      <c r="H54" s="301" t="s">
        <v>56</v>
      </c>
      <c r="I54" s="301" t="s">
        <v>57</v>
      </c>
      <c r="J54" s="301" t="s">
        <v>58</v>
      </c>
      <c r="K54" s="301" t="s">
        <v>31</v>
      </c>
      <c r="L54" s="301" t="s">
        <v>10</v>
      </c>
    </row>
    <row r="55" spans="1:14" ht="15.75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</row>
    <row r="56" spans="1:14">
      <c r="A56" s="303" t="s">
        <v>59</v>
      </c>
      <c r="B56" s="94">
        <v>0</v>
      </c>
      <c r="C56" s="94">
        <v>0.8</v>
      </c>
      <c r="D56" s="94">
        <v>0</v>
      </c>
      <c r="E56" s="94">
        <v>0.03</v>
      </c>
      <c r="F56" s="95">
        <v>109.38183514566988</v>
      </c>
      <c r="G56" s="95">
        <v>10.318142734307823</v>
      </c>
      <c r="H56" s="94">
        <v>19.853132642623823</v>
      </c>
      <c r="I56" s="96"/>
      <c r="J56" s="96"/>
      <c r="K56" s="96"/>
      <c r="L56" s="96">
        <v>140.38311052260153</v>
      </c>
    </row>
    <row r="57" spans="1:14">
      <c r="A57" s="303" t="s">
        <v>60</v>
      </c>
      <c r="B57" s="94">
        <v>6.0924579523016948</v>
      </c>
      <c r="C57" s="94">
        <v>47.800000000000004</v>
      </c>
      <c r="D57" s="94">
        <v>25.349495228581368</v>
      </c>
      <c r="E57" s="94">
        <v>36.698715601251486</v>
      </c>
      <c r="F57" s="96"/>
      <c r="G57" s="96"/>
      <c r="H57" s="96">
        <v>2.2308964938133506</v>
      </c>
      <c r="I57" s="96">
        <v>0</v>
      </c>
      <c r="J57" s="96"/>
      <c r="K57" s="96"/>
      <c r="L57" s="96">
        <v>118.17156527594788</v>
      </c>
    </row>
    <row r="58" spans="1:14">
      <c r="A58" s="303" t="s">
        <v>61</v>
      </c>
      <c r="B58" s="94">
        <v>0</v>
      </c>
      <c r="C58" s="94">
        <v>0</v>
      </c>
      <c r="D58" s="94">
        <v>0</v>
      </c>
      <c r="E58" s="94">
        <v>0</v>
      </c>
      <c r="F58" s="96"/>
      <c r="G58" s="96"/>
      <c r="H58" s="94">
        <v>0</v>
      </c>
      <c r="I58" s="96">
        <v>-4.5928786597159572</v>
      </c>
      <c r="J58" s="96"/>
      <c r="K58" s="96"/>
      <c r="L58" s="96">
        <v>-4.5928786597159572</v>
      </c>
    </row>
    <row r="59" spans="1:14">
      <c r="A59" s="303" t="s">
        <v>62</v>
      </c>
      <c r="B59" s="94"/>
      <c r="C59" s="94"/>
      <c r="D59" s="94">
        <v>-1.1000000000000001</v>
      </c>
      <c r="E59" s="94"/>
      <c r="F59" s="96"/>
      <c r="G59" s="96"/>
      <c r="H59" s="96"/>
      <c r="I59" s="96"/>
      <c r="J59" s="96"/>
      <c r="K59" s="96"/>
      <c r="L59" s="96">
        <v>-1.1000000000000001</v>
      </c>
    </row>
    <row r="60" spans="1:14">
      <c r="A60" s="303" t="s">
        <v>63</v>
      </c>
      <c r="B60" s="94"/>
      <c r="C60" s="94"/>
      <c r="D60" s="94">
        <v>-6.3128842627624397</v>
      </c>
      <c r="E60" s="94"/>
      <c r="F60" s="96"/>
      <c r="G60" s="96"/>
      <c r="H60" s="96"/>
      <c r="I60" s="96"/>
      <c r="J60" s="96"/>
      <c r="K60" s="96"/>
      <c r="L60" s="96">
        <v>-6.3128842627624397</v>
      </c>
      <c r="N60" s="97"/>
    </row>
    <row r="61" spans="1:14">
      <c r="A61" s="303" t="s">
        <v>64</v>
      </c>
      <c r="B61" s="94"/>
      <c r="C61" s="94"/>
      <c r="D61" s="94"/>
      <c r="E61" s="94"/>
      <c r="F61" s="96"/>
      <c r="G61" s="96"/>
      <c r="H61" s="96"/>
      <c r="I61" s="96"/>
      <c r="J61" s="96"/>
      <c r="K61" s="96"/>
      <c r="L61" s="96">
        <v>0</v>
      </c>
    </row>
    <row r="62" spans="1:14" ht="15.75">
      <c r="A62" s="304" t="s">
        <v>65</v>
      </c>
      <c r="B62" s="98">
        <v>6.0924579523016948</v>
      </c>
      <c r="C62" s="98">
        <v>48.6</v>
      </c>
      <c r="D62" s="98">
        <v>17.936610965818929</v>
      </c>
      <c r="E62" s="98">
        <v>36.728715601251487</v>
      </c>
      <c r="F62" s="98">
        <v>109.38183514566988</v>
      </c>
      <c r="G62" s="98">
        <v>10.318142734307823</v>
      </c>
      <c r="H62" s="98">
        <v>22.084029136437174</v>
      </c>
      <c r="I62" s="98">
        <v>-4.5928786597159572</v>
      </c>
      <c r="J62" s="98">
        <v>0</v>
      </c>
      <c r="K62" s="98"/>
      <c r="L62" s="98">
        <v>246.548912876071</v>
      </c>
      <c r="N62" s="82"/>
    </row>
    <row r="63" spans="1:14" ht="15.75">
      <c r="A63" s="84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4">
      <c r="A64" s="303" t="s">
        <v>66</v>
      </c>
      <c r="B64" s="94"/>
      <c r="C64" s="94"/>
      <c r="D64" s="94"/>
      <c r="E64" s="94"/>
      <c r="F64" s="96"/>
      <c r="G64" s="96"/>
      <c r="H64" s="96"/>
      <c r="I64" s="96"/>
      <c r="J64" s="96"/>
      <c r="K64" s="96"/>
      <c r="L64" s="96">
        <v>0</v>
      </c>
    </row>
    <row r="65" spans="1:17">
      <c r="A65" s="303" t="s">
        <v>67</v>
      </c>
      <c r="B65" s="94"/>
      <c r="C65" s="94"/>
      <c r="D65" s="94"/>
      <c r="E65" s="94"/>
      <c r="F65" s="96"/>
      <c r="G65" s="96"/>
      <c r="H65" s="94"/>
      <c r="I65" s="94"/>
      <c r="J65" s="96"/>
      <c r="K65" s="96"/>
      <c r="L65" s="96">
        <v>0</v>
      </c>
    </row>
    <row r="66" spans="1:17">
      <c r="A66" s="303" t="s">
        <v>68</v>
      </c>
      <c r="B66" s="94">
        <v>2.56997984007758</v>
      </c>
      <c r="C66" s="94">
        <v>0</v>
      </c>
      <c r="D66" s="94"/>
      <c r="E66" s="94">
        <v>4.1842754045985986</v>
      </c>
      <c r="F66" s="95">
        <v>109.38183514566988</v>
      </c>
      <c r="G66" s="95">
        <v>10.318142734307823</v>
      </c>
      <c r="H66" s="94">
        <v>2.7631806275096813</v>
      </c>
      <c r="I66" s="94">
        <v>-48.340599999999995</v>
      </c>
      <c r="J66" s="96"/>
      <c r="K66" s="96"/>
      <c r="L66" s="96">
        <v>80.876813752163571</v>
      </c>
    </row>
    <row r="67" spans="1:17">
      <c r="A67" s="303" t="s">
        <v>69</v>
      </c>
      <c r="B67" s="94"/>
      <c r="C67" s="94"/>
      <c r="D67" s="94"/>
      <c r="E67" s="94"/>
      <c r="F67" s="96"/>
      <c r="G67" s="96"/>
      <c r="H67" s="94"/>
      <c r="I67" s="94"/>
      <c r="J67" s="96"/>
      <c r="K67" s="96"/>
      <c r="L67" s="96">
        <v>0</v>
      </c>
    </row>
    <row r="68" spans="1:17">
      <c r="A68" s="303" t="s">
        <v>70</v>
      </c>
      <c r="B68" s="94">
        <v>0.23610978878389122</v>
      </c>
      <c r="C68" s="94"/>
      <c r="D68" s="94">
        <v>4.4938385611804459E-2</v>
      </c>
      <c r="E68" s="94">
        <v>1.5659570450451636</v>
      </c>
      <c r="F68" s="96"/>
      <c r="G68" s="96"/>
      <c r="H68" s="94">
        <v>2.6132241323505561</v>
      </c>
      <c r="I68" s="94"/>
      <c r="J68" s="96">
        <v>-4.0575435552405965</v>
      </c>
      <c r="K68" s="96"/>
      <c r="L68" s="96">
        <v>0.40268579655081904</v>
      </c>
    </row>
    <row r="69" spans="1:17">
      <c r="A69" s="303" t="s">
        <v>71</v>
      </c>
      <c r="B69" s="94"/>
      <c r="C69" s="94"/>
      <c r="D69" s="94"/>
      <c r="E69" s="94">
        <v>-0.74956562451533659</v>
      </c>
      <c r="F69" s="96"/>
      <c r="G69" s="96"/>
      <c r="H69" s="94">
        <v>0.93695703064417069</v>
      </c>
      <c r="I69" s="94"/>
      <c r="J69" s="96"/>
      <c r="K69" s="96"/>
      <c r="L69" s="96">
        <v>0.18739140612883409</v>
      </c>
    </row>
    <row r="70" spans="1:17">
      <c r="A70" s="303" t="s">
        <v>72</v>
      </c>
      <c r="B70" s="94"/>
      <c r="C70" s="94">
        <v>48.6</v>
      </c>
      <c r="D70" s="94">
        <v>-46.5</v>
      </c>
      <c r="E70" s="94">
        <v>0.50416821869521233</v>
      </c>
      <c r="F70" s="96"/>
      <c r="G70" s="96"/>
      <c r="H70" s="94"/>
      <c r="I70" s="94"/>
      <c r="J70" s="96"/>
      <c r="K70" s="96"/>
      <c r="L70" s="96">
        <v>2.6041682186952135</v>
      </c>
    </row>
    <row r="71" spans="1:17">
      <c r="A71" s="303" t="s">
        <v>73</v>
      </c>
      <c r="B71" s="94"/>
      <c r="C71" s="94"/>
      <c r="D71" s="94"/>
      <c r="E71" s="94"/>
      <c r="F71" s="96"/>
      <c r="G71" s="96"/>
      <c r="H71" s="94"/>
      <c r="I71" s="94">
        <v>0</v>
      </c>
      <c r="J71" s="96"/>
      <c r="K71" s="96">
        <v>0</v>
      </c>
      <c r="L71" s="96">
        <v>0</v>
      </c>
    </row>
    <row r="72" spans="1:17">
      <c r="A72" s="303" t="s">
        <v>74</v>
      </c>
      <c r="B72" s="94">
        <v>2.7441420256170312</v>
      </c>
      <c r="C72" s="94"/>
      <c r="D72" s="94"/>
      <c r="E72" s="94"/>
      <c r="F72" s="96"/>
      <c r="G72" s="96"/>
      <c r="H72" s="94"/>
      <c r="I72" s="94"/>
      <c r="J72" s="96"/>
      <c r="K72" s="96"/>
      <c r="L72" s="96">
        <v>2.7441420256170312</v>
      </c>
    </row>
    <row r="73" spans="1:17">
      <c r="A73" s="303" t="s">
        <v>75</v>
      </c>
      <c r="B73" s="94">
        <v>0</v>
      </c>
      <c r="C73" s="94"/>
      <c r="D73" s="94">
        <v>1.70001406904591</v>
      </c>
      <c r="E73" s="94">
        <v>1.2420767288044043</v>
      </c>
      <c r="F73" s="96"/>
      <c r="G73" s="96"/>
      <c r="H73" s="94">
        <v>5.1017483519633131E-2</v>
      </c>
      <c r="I73" s="94">
        <v>2.4572470482821185</v>
      </c>
      <c r="J73" s="96"/>
      <c r="K73" s="96"/>
      <c r="L73" s="96">
        <v>5.4503553296520657</v>
      </c>
    </row>
    <row r="74" spans="1:17">
      <c r="A74" s="303" t="s">
        <v>76</v>
      </c>
      <c r="B74" s="94"/>
      <c r="C74" s="94"/>
      <c r="D74" s="94"/>
      <c r="E74" s="94">
        <v>0.44732624375977414</v>
      </c>
      <c r="F74" s="96"/>
      <c r="G74" s="96"/>
      <c r="H74" s="94"/>
      <c r="I74" s="94">
        <v>3.1333411601296381</v>
      </c>
      <c r="J74" s="96">
        <v>0.84596568973356112</v>
      </c>
      <c r="K74" s="96"/>
      <c r="L74" s="96">
        <v>4.4266330936229732</v>
      </c>
    </row>
    <row r="75" spans="1:17" ht="15.75">
      <c r="A75" s="304" t="s">
        <v>77</v>
      </c>
      <c r="B75" s="98">
        <v>5.5502316544785026</v>
      </c>
      <c r="C75" s="98">
        <v>48.6</v>
      </c>
      <c r="D75" s="98">
        <v>-44.755047545342279</v>
      </c>
      <c r="E75" s="98">
        <v>7.1942380163878168</v>
      </c>
      <c r="F75" s="98">
        <v>109.38183514566988</v>
      </c>
      <c r="G75" s="98">
        <v>10.318142734307823</v>
      </c>
      <c r="H75" s="98">
        <v>6.3643792740240412</v>
      </c>
      <c r="I75" s="98">
        <v>-42.750011791588236</v>
      </c>
      <c r="J75" s="98">
        <v>-3.2115778655070355</v>
      </c>
      <c r="K75" s="98">
        <v>0</v>
      </c>
      <c r="L75" s="98">
        <v>96.692189622430504</v>
      </c>
    </row>
    <row r="76" spans="1:17" ht="15.75">
      <c r="A76" s="84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1:17" ht="15.75">
      <c r="A77" s="306" t="s">
        <v>78</v>
      </c>
      <c r="B77" s="94">
        <v>0.32210674831575531</v>
      </c>
      <c r="C77" s="96"/>
      <c r="D77" s="94">
        <v>1.9299776400292732</v>
      </c>
      <c r="E77" s="94">
        <v>10.885100099493346</v>
      </c>
      <c r="F77" s="96"/>
      <c r="G77" s="96"/>
      <c r="H77" s="94">
        <v>1.844034937757657</v>
      </c>
      <c r="I77" s="94">
        <v>10.072222086615001</v>
      </c>
      <c r="J77" s="94">
        <v>1.1461133930541632</v>
      </c>
      <c r="K77" s="94"/>
      <c r="L77" s="96">
        <v>26.199554905265195</v>
      </c>
      <c r="M77" s="100"/>
      <c r="Q77" s="100"/>
    </row>
    <row r="78" spans="1:17" ht="15.75">
      <c r="A78" s="306" t="s">
        <v>79</v>
      </c>
      <c r="B78" s="96"/>
      <c r="C78" s="96"/>
      <c r="D78" s="94">
        <v>38.438862637881712</v>
      </c>
      <c r="E78" s="94">
        <v>0.17718839974083389</v>
      </c>
      <c r="F78" s="96"/>
      <c r="G78" s="96"/>
      <c r="H78" s="94">
        <v>3.0072968916095459</v>
      </c>
      <c r="I78" s="94">
        <v>1.2661303855523829</v>
      </c>
      <c r="J78" s="94"/>
      <c r="K78" s="94"/>
      <c r="L78" s="96">
        <v>42.889478314784476</v>
      </c>
      <c r="M78" s="100"/>
      <c r="Q78" s="100"/>
    </row>
    <row r="79" spans="1:17">
      <c r="A79" s="303" t="s">
        <v>80</v>
      </c>
      <c r="B79" s="94">
        <v>0</v>
      </c>
      <c r="C79" s="96"/>
      <c r="D79" s="94">
        <v>5.666777520480518</v>
      </c>
      <c r="E79" s="94">
        <v>11.041115748636887</v>
      </c>
      <c r="F79" s="96"/>
      <c r="G79" s="96"/>
      <c r="H79" s="94">
        <v>9.2185082939483429</v>
      </c>
      <c r="I79" s="94">
        <v>13.00983683571549</v>
      </c>
      <c r="J79" s="94">
        <v>1.289495245663796</v>
      </c>
      <c r="K79" s="94"/>
      <c r="L79" s="96">
        <v>40.225733644445036</v>
      </c>
      <c r="M79" s="100"/>
      <c r="Q79" s="100"/>
    </row>
    <row r="80" spans="1:17">
      <c r="A80" s="303" t="s">
        <v>81</v>
      </c>
      <c r="B80" s="94">
        <v>0</v>
      </c>
      <c r="C80" s="96"/>
      <c r="D80" s="94">
        <v>1.9715966805851073</v>
      </c>
      <c r="E80" s="94">
        <v>6.057342656522982</v>
      </c>
      <c r="F80" s="96"/>
      <c r="G80" s="96"/>
      <c r="H80" s="94">
        <v>1.4770309618520476</v>
      </c>
      <c r="I80" s="94">
        <v>13.031439326384481</v>
      </c>
      <c r="J80" s="94">
        <v>0.76951555573569785</v>
      </c>
      <c r="K80" s="94"/>
      <c r="L80" s="96">
        <v>23.306925181080313</v>
      </c>
      <c r="M80" s="100"/>
      <c r="Q80" s="100"/>
    </row>
    <row r="81" spans="1:17">
      <c r="A81" s="303" t="s">
        <v>82</v>
      </c>
      <c r="B81" s="94">
        <v>2.2137192704974398E-3</v>
      </c>
      <c r="C81" s="96"/>
      <c r="D81" s="94">
        <v>3.02362860179693</v>
      </c>
      <c r="E81" s="94">
        <v>0.345557554491078</v>
      </c>
      <c r="F81" s="96"/>
      <c r="G81" s="96"/>
      <c r="H81" s="94">
        <v>0.172778777245539</v>
      </c>
      <c r="I81" s="94">
        <v>0.77750449760492502</v>
      </c>
      <c r="J81" s="94">
        <v>6.4536710533781346E-3</v>
      </c>
      <c r="K81" s="94"/>
      <c r="L81" s="96">
        <v>4.3281368214623477</v>
      </c>
      <c r="M81" s="100"/>
      <c r="Q81" s="100"/>
    </row>
    <row r="82" spans="1:17" ht="15.75">
      <c r="A82" s="304" t="s">
        <v>83</v>
      </c>
      <c r="B82" s="98">
        <v>0.32432046758625277</v>
      </c>
      <c r="C82" s="98">
        <v>0</v>
      </c>
      <c r="D82" s="98">
        <v>51.030843080773536</v>
      </c>
      <c r="E82" s="98">
        <v>28.506304458885129</v>
      </c>
      <c r="F82" s="98">
        <v>0</v>
      </c>
      <c r="G82" s="98">
        <v>0</v>
      </c>
      <c r="H82" s="98">
        <v>15.719649862413132</v>
      </c>
      <c r="I82" s="98">
        <v>38.157133131872278</v>
      </c>
      <c r="J82" s="98">
        <v>3.2115778655070355</v>
      </c>
      <c r="K82" s="98">
        <v>0</v>
      </c>
      <c r="L82" s="98">
        <v>136.94982886703738</v>
      </c>
    </row>
    <row r="83" spans="1:17">
      <c r="A83" s="303" t="s">
        <v>84</v>
      </c>
      <c r="B83" s="96">
        <v>0.21790583023693955</v>
      </c>
      <c r="C83" s="96"/>
      <c r="D83" s="101">
        <v>11.660815430387672</v>
      </c>
      <c r="E83" s="101">
        <v>1.0281731259785394</v>
      </c>
      <c r="F83" s="96"/>
      <c r="G83" s="96"/>
      <c r="H83" s="96"/>
      <c r="I83" s="96"/>
      <c r="J83" s="96"/>
      <c r="K83" s="96">
        <v>0</v>
      </c>
      <c r="L83" s="96">
        <v>12.906894386603149</v>
      </c>
    </row>
    <row r="84" spans="1:17" ht="15.75">
      <c r="A84" s="304" t="s">
        <v>85</v>
      </c>
      <c r="B84" s="98">
        <v>0.54222629782319232</v>
      </c>
      <c r="C84" s="98">
        <v>0</v>
      </c>
      <c r="D84" s="98">
        <v>62.691658511161208</v>
      </c>
      <c r="E84" s="98">
        <v>29.534477584863669</v>
      </c>
      <c r="F84" s="98">
        <v>0</v>
      </c>
      <c r="G84" s="98">
        <v>0</v>
      </c>
      <c r="H84" s="98">
        <v>15.719649862413132</v>
      </c>
      <c r="I84" s="98">
        <v>38.157133131872278</v>
      </c>
      <c r="J84" s="98">
        <v>3.2115778655070355</v>
      </c>
      <c r="K84" s="98"/>
      <c r="L84" s="98">
        <v>149.85672325364052</v>
      </c>
    </row>
    <row r="95" spans="1:17" ht="15.75">
      <c r="A95" s="91" t="s">
        <v>87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2" ht="45">
      <c r="A98" s="83" t="s">
        <v>51</v>
      </c>
      <c r="B98" s="301" t="s">
        <v>42</v>
      </c>
      <c r="C98" s="301" t="s">
        <v>52</v>
      </c>
      <c r="D98" s="301" t="s">
        <v>53</v>
      </c>
      <c r="E98" s="302" t="s">
        <v>54</v>
      </c>
      <c r="F98" s="302" t="s">
        <v>20</v>
      </c>
      <c r="G98" s="302" t="s">
        <v>55</v>
      </c>
      <c r="H98" s="301" t="s">
        <v>56</v>
      </c>
      <c r="I98" s="301" t="s">
        <v>57</v>
      </c>
      <c r="J98" s="301" t="s">
        <v>58</v>
      </c>
      <c r="K98" s="301" t="s">
        <v>31</v>
      </c>
      <c r="L98" s="301" t="s">
        <v>10</v>
      </c>
    </row>
    <row r="99" spans="1:12" ht="15.75">
      <c r="A99" s="92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</row>
    <row r="100" spans="1:12">
      <c r="A100" s="303" t="s">
        <v>59</v>
      </c>
      <c r="B100" s="94">
        <v>0</v>
      </c>
      <c r="C100" s="94">
        <v>0.7</v>
      </c>
      <c r="D100" s="94">
        <v>0</v>
      </c>
      <c r="E100" s="94">
        <v>0.02</v>
      </c>
      <c r="F100" s="95">
        <v>103.91274338838639</v>
      </c>
      <c r="G100" s="95">
        <v>14.961306964746345</v>
      </c>
      <c r="H100" s="94">
        <v>23.557057880608284</v>
      </c>
      <c r="I100" s="96"/>
      <c r="J100" s="96"/>
      <c r="K100" s="96"/>
      <c r="L100" s="96">
        <v>143.15110823374101</v>
      </c>
    </row>
    <row r="101" spans="1:12">
      <c r="A101" s="303" t="s">
        <v>60</v>
      </c>
      <c r="B101" s="94">
        <v>2.6488212454034969</v>
      </c>
      <c r="C101" s="94">
        <v>47.0782111969732</v>
      </c>
      <c r="D101" s="94">
        <v>15.597678413553723</v>
      </c>
      <c r="E101" s="94">
        <v>32.40491197538708</v>
      </c>
      <c r="F101" s="96"/>
      <c r="G101" s="96"/>
      <c r="H101" s="96">
        <v>1.6146683170390475</v>
      </c>
      <c r="I101" s="96">
        <v>0</v>
      </c>
      <c r="J101" s="96"/>
      <c r="K101" s="96"/>
      <c r="L101" s="96">
        <v>99.344291148356547</v>
      </c>
    </row>
    <row r="102" spans="1:12">
      <c r="A102" s="303" t="s">
        <v>61</v>
      </c>
      <c r="B102" s="94">
        <v>0</v>
      </c>
      <c r="C102" s="94">
        <v>0</v>
      </c>
      <c r="D102" s="94">
        <v>0</v>
      </c>
      <c r="E102" s="94">
        <v>0</v>
      </c>
      <c r="F102" s="96"/>
      <c r="G102" s="96"/>
      <c r="H102" s="94">
        <v>0</v>
      </c>
      <c r="I102" s="96">
        <v>-6.8529198133149265</v>
      </c>
      <c r="J102" s="96"/>
      <c r="K102" s="96"/>
      <c r="L102" s="96">
        <v>-6.8529198133149265</v>
      </c>
    </row>
    <row r="103" spans="1:12">
      <c r="A103" s="303" t="s">
        <v>62</v>
      </c>
      <c r="B103" s="94"/>
      <c r="C103" s="94"/>
      <c r="D103" s="94">
        <v>-1.1000000000000001</v>
      </c>
      <c r="E103" s="94"/>
      <c r="F103" s="96"/>
      <c r="G103" s="96"/>
      <c r="H103" s="94"/>
      <c r="I103" s="96"/>
      <c r="J103" s="96"/>
      <c r="K103" s="96"/>
      <c r="L103" s="96">
        <v>-1.1000000000000001</v>
      </c>
    </row>
    <row r="104" spans="1:12">
      <c r="A104" s="303" t="s">
        <v>63</v>
      </c>
      <c r="B104" s="94"/>
      <c r="C104" s="94"/>
      <c r="D104" s="94">
        <v>-6.8007692346473698</v>
      </c>
      <c r="E104" s="94"/>
      <c r="F104" s="96"/>
      <c r="G104" s="96"/>
      <c r="H104" s="96"/>
      <c r="I104" s="96"/>
      <c r="J104" s="96"/>
      <c r="K104" s="96"/>
      <c r="L104" s="96">
        <v>-6.8007692346473698</v>
      </c>
    </row>
    <row r="105" spans="1:12">
      <c r="A105" s="303" t="s">
        <v>64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>
        <v>0</v>
      </c>
    </row>
    <row r="106" spans="1:12" ht="15.75">
      <c r="A106" s="304" t="s">
        <v>65</v>
      </c>
      <c r="B106" s="98">
        <v>2.6488212454034969</v>
      </c>
      <c r="C106" s="98">
        <v>47.778211196973203</v>
      </c>
      <c r="D106" s="98">
        <v>7.6969091789063535</v>
      </c>
      <c r="E106" s="98">
        <v>32.424911975387083</v>
      </c>
      <c r="F106" s="98">
        <v>103.91274338838639</v>
      </c>
      <c r="G106" s="98">
        <v>14.961306964746345</v>
      </c>
      <c r="H106" s="98">
        <v>25.171726197647331</v>
      </c>
      <c r="I106" s="98">
        <v>-6.8529198133149265</v>
      </c>
      <c r="J106" s="98">
        <v>0</v>
      </c>
      <c r="K106" s="98">
        <v>0</v>
      </c>
      <c r="L106" s="98">
        <v>227.74171033413526</v>
      </c>
    </row>
    <row r="107" spans="1:12" ht="15.75">
      <c r="A107" s="84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1:12">
      <c r="A108" s="303" t="s">
        <v>66</v>
      </c>
      <c r="B108" s="94"/>
      <c r="C108" s="94"/>
      <c r="D108" s="94"/>
      <c r="E108" s="94"/>
      <c r="F108" s="96"/>
      <c r="G108" s="96"/>
      <c r="H108" s="96"/>
      <c r="I108" s="96"/>
      <c r="J108" s="96"/>
      <c r="K108" s="96"/>
      <c r="L108" s="96">
        <v>0</v>
      </c>
    </row>
    <row r="109" spans="1:12">
      <c r="A109" s="303" t="s">
        <v>67</v>
      </c>
      <c r="B109" s="94"/>
      <c r="C109" s="94"/>
      <c r="D109" s="94"/>
      <c r="E109" s="94"/>
      <c r="F109" s="96"/>
      <c r="G109" s="96"/>
      <c r="H109" s="94"/>
      <c r="I109" s="94"/>
      <c r="J109" s="96"/>
      <c r="K109" s="96"/>
      <c r="L109" s="96">
        <v>0</v>
      </c>
    </row>
    <row r="110" spans="1:12">
      <c r="A110" s="303" t="s">
        <v>68</v>
      </c>
      <c r="B110" s="94">
        <v>0</v>
      </c>
      <c r="C110" s="94">
        <v>0</v>
      </c>
      <c r="D110" s="94"/>
      <c r="E110" s="94">
        <v>4.20632773002602</v>
      </c>
      <c r="F110" s="95">
        <v>103.91274338838639</v>
      </c>
      <c r="G110" s="95">
        <v>14.961306964746345</v>
      </c>
      <c r="H110" s="94">
        <v>2.4180820758374684</v>
      </c>
      <c r="I110" s="94">
        <v>-50.696999999999996</v>
      </c>
      <c r="J110" s="96"/>
      <c r="K110" s="96"/>
      <c r="L110" s="96">
        <v>74.801460158996235</v>
      </c>
    </row>
    <row r="111" spans="1:12">
      <c r="A111" s="303" t="s">
        <v>69</v>
      </c>
      <c r="B111" s="94"/>
      <c r="C111" s="94"/>
      <c r="D111" s="94"/>
      <c r="E111" s="94"/>
      <c r="F111" s="96"/>
      <c r="G111" s="96"/>
      <c r="H111" s="94"/>
      <c r="I111" s="94"/>
      <c r="J111" s="96"/>
      <c r="K111" s="96"/>
      <c r="L111" s="96">
        <v>0</v>
      </c>
    </row>
    <row r="112" spans="1:12">
      <c r="A112" s="303" t="s">
        <v>70</v>
      </c>
      <c r="B112" s="94">
        <v>5.3419770632032383E-2</v>
      </c>
      <c r="C112" s="94"/>
      <c r="D112" s="94">
        <v>0</v>
      </c>
      <c r="E112" s="94">
        <v>1.2147336798111752</v>
      </c>
      <c r="F112" s="96"/>
      <c r="G112" s="96"/>
      <c r="H112" s="94">
        <v>3.3160878375169278</v>
      </c>
      <c r="I112" s="94"/>
      <c r="J112" s="96">
        <v>-4.5900902111438011</v>
      </c>
      <c r="K112" s="96"/>
      <c r="L112" s="96">
        <v>-5.8489231836658107E-3</v>
      </c>
    </row>
    <row r="113" spans="1:13">
      <c r="A113" s="303" t="s">
        <v>71</v>
      </c>
      <c r="B113" s="94"/>
      <c r="C113" s="94"/>
      <c r="D113" s="94"/>
      <c r="E113" s="94">
        <v>-1.7065743144940571</v>
      </c>
      <c r="F113" s="96"/>
      <c r="G113" s="96"/>
      <c r="H113" s="94">
        <v>2.1332178931175712</v>
      </c>
      <c r="I113" s="94"/>
      <c r="J113" s="96"/>
      <c r="K113" s="96"/>
      <c r="L113" s="96">
        <v>0.4266435786235141</v>
      </c>
    </row>
    <row r="114" spans="1:13">
      <c r="A114" s="303" t="s">
        <v>72</v>
      </c>
      <c r="B114" s="94"/>
      <c r="C114" s="94">
        <v>47.778211196973203</v>
      </c>
      <c r="D114" s="94">
        <v>-46.473309251920703</v>
      </c>
      <c r="E114" s="94">
        <v>0.42321213691880566</v>
      </c>
      <c r="F114" s="96"/>
      <c r="G114" s="96"/>
      <c r="H114" s="94"/>
      <c r="I114" s="94"/>
      <c r="J114" s="96"/>
      <c r="K114" s="96"/>
      <c r="L114" s="96">
        <v>1.728114081971305</v>
      </c>
    </row>
    <row r="115" spans="1:13">
      <c r="A115" s="303" t="s">
        <v>73</v>
      </c>
      <c r="B115" s="94"/>
      <c r="C115" s="94"/>
      <c r="D115" s="94"/>
      <c r="E115" s="94"/>
      <c r="F115" s="96"/>
      <c r="G115" s="96"/>
      <c r="H115" s="94"/>
      <c r="I115" s="94">
        <v>0.53740326741186584</v>
      </c>
      <c r="J115" s="96"/>
      <c r="K115" s="96">
        <v>-0.42992261392949266</v>
      </c>
      <c r="L115" s="96">
        <v>0.10748065348237318</v>
      </c>
    </row>
    <row r="116" spans="1:13">
      <c r="A116" s="303" t="s">
        <v>74</v>
      </c>
      <c r="B116" s="94">
        <v>2.4786780164701674</v>
      </c>
      <c r="C116" s="94"/>
      <c r="D116" s="94"/>
      <c r="E116" s="334">
        <v>0</v>
      </c>
      <c r="F116" s="96"/>
      <c r="G116" s="96"/>
      <c r="H116" s="94"/>
      <c r="I116" s="102">
        <v>-3.4393809114359415E-2</v>
      </c>
      <c r="J116" s="96"/>
      <c r="K116" s="107">
        <v>4.2992261392949267E-2</v>
      </c>
      <c r="L116" s="96">
        <v>2.4872764687487572</v>
      </c>
    </row>
    <row r="117" spans="1:13">
      <c r="A117" s="303" t="s">
        <v>75</v>
      </c>
      <c r="B117" s="94">
        <v>0</v>
      </c>
      <c r="C117" s="94"/>
      <c r="D117" s="94">
        <v>1.0782</v>
      </c>
      <c r="E117" s="94">
        <v>1.2420767288044043</v>
      </c>
      <c r="F117" s="96"/>
      <c r="G117" s="96"/>
      <c r="H117" s="94">
        <v>5.1017483519633131E-2</v>
      </c>
      <c r="I117" s="94">
        <v>2.3564918314703358</v>
      </c>
      <c r="J117" s="96"/>
      <c r="K117" s="96"/>
      <c r="L117" s="96">
        <v>4.7277860437943726</v>
      </c>
    </row>
    <row r="118" spans="1:13">
      <c r="A118" s="303" t="s">
        <v>76</v>
      </c>
      <c r="B118" s="94"/>
      <c r="C118" s="94"/>
      <c r="D118" s="94"/>
      <c r="E118" s="94">
        <v>0.40459209271542057</v>
      </c>
      <c r="F118" s="96"/>
      <c r="G118" s="96"/>
      <c r="H118" s="94"/>
      <c r="I118" s="94">
        <v>3.2860783026088267</v>
      </c>
      <c r="J118" s="96">
        <v>0.95699744896004757</v>
      </c>
      <c r="K118" s="96"/>
      <c r="L118" s="96">
        <v>4.6476678442842951</v>
      </c>
    </row>
    <row r="119" spans="1:13" ht="15.75">
      <c r="A119" s="304" t="s">
        <v>77</v>
      </c>
      <c r="B119" s="98">
        <v>2.5320977871021997</v>
      </c>
      <c r="C119" s="98">
        <v>47.778211196973203</v>
      </c>
      <c r="D119" s="98">
        <v>-45.395109251920701</v>
      </c>
      <c r="E119" s="98">
        <v>5.7843680537817681</v>
      </c>
      <c r="F119" s="98">
        <v>103.91274338838639</v>
      </c>
      <c r="G119" s="98">
        <v>14.961306964746345</v>
      </c>
      <c r="H119" s="98">
        <v>7.9184052899916004</v>
      </c>
      <c r="I119" s="98">
        <v>-44.551420407623326</v>
      </c>
      <c r="J119" s="98">
        <v>-3.6330927621837534</v>
      </c>
      <c r="K119" s="98">
        <v>-0.3869303525365434</v>
      </c>
      <c r="L119" s="98">
        <v>88.92057990671718</v>
      </c>
    </row>
    <row r="120" spans="1:13" ht="15.75">
      <c r="A120" s="84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1:13" ht="15.75">
      <c r="A121" s="306" t="s">
        <v>78</v>
      </c>
      <c r="B121" s="94">
        <v>0</v>
      </c>
      <c r="C121" s="96"/>
      <c r="D121" s="94">
        <v>1.4729206178416236</v>
      </c>
      <c r="E121" s="94">
        <v>10.500396800049039</v>
      </c>
      <c r="F121" s="96"/>
      <c r="G121" s="96"/>
      <c r="H121" s="94">
        <v>2.2533883417615286</v>
      </c>
      <c r="I121" s="94">
        <v>9.9189000147829578</v>
      </c>
      <c r="J121" s="94">
        <v>1.0888044989932395</v>
      </c>
      <c r="K121" s="94"/>
      <c r="L121" s="96">
        <v>25.234410273428388</v>
      </c>
      <c r="M121" s="100"/>
    </row>
    <row r="122" spans="1:13" ht="15.75">
      <c r="A122" s="306" t="s">
        <v>79</v>
      </c>
      <c r="B122" s="96"/>
      <c r="C122" s="96"/>
      <c r="D122" s="94">
        <v>33.467243817501647</v>
      </c>
      <c r="E122" s="94">
        <v>0.45902890397400081</v>
      </c>
      <c r="F122" s="96"/>
      <c r="G122" s="96"/>
      <c r="H122" s="94">
        <v>3.0649318006802346</v>
      </c>
      <c r="I122" s="94">
        <v>2.1184928132217893</v>
      </c>
      <c r="J122" s="94"/>
      <c r="K122" s="103">
        <v>0</v>
      </c>
      <c r="L122" s="96">
        <v>39.109697335377675</v>
      </c>
      <c r="M122" s="100"/>
    </row>
    <row r="123" spans="1:13">
      <c r="A123" s="303" t="s">
        <v>80</v>
      </c>
      <c r="B123" s="94">
        <v>0</v>
      </c>
      <c r="C123" s="96"/>
      <c r="D123" s="94">
        <v>3.9393678084627735</v>
      </c>
      <c r="E123" s="94">
        <v>9.6715864226456425</v>
      </c>
      <c r="F123" s="96"/>
      <c r="G123" s="96"/>
      <c r="H123" s="94">
        <v>9.5694574161932415</v>
      </c>
      <c r="I123" s="94">
        <v>12.545996400325794</v>
      </c>
      <c r="J123" s="94">
        <v>1.7548492723748692</v>
      </c>
      <c r="K123" s="94"/>
      <c r="L123" s="96">
        <v>37.481257320002321</v>
      </c>
      <c r="M123" s="100"/>
    </row>
    <row r="124" spans="1:13">
      <c r="A124" s="303" t="s">
        <v>81</v>
      </c>
      <c r="B124" s="94">
        <v>0</v>
      </c>
      <c r="C124" s="96"/>
      <c r="D124" s="94">
        <v>1.2037428576368416</v>
      </c>
      <c r="E124" s="94">
        <v>4.7420165632308739</v>
      </c>
      <c r="F124" s="96"/>
      <c r="G124" s="96"/>
      <c r="H124" s="94">
        <v>2.1255433490207265</v>
      </c>
      <c r="I124" s="94">
        <v>12.383405198063125</v>
      </c>
      <c r="J124" s="94">
        <v>0.78298531976226649</v>
      </c>
      <c r="K124" s="94"/>
      <c r="L124" s="96">
        <v>21.237693287713832</v>
      </c>
      <c r="M124" s="100"/>
    </row>
    <row r="125" spans="1:13">
      <c r="A125" s="303" t="s">
        <v>82</v>
      </c>
      <c r="B125" s="94">
        <v>2.2137192704974398E-3</v>
      </c>
      <c r="C125" s="96"/>
      <c r="D125" s="94">
        <v>2.65</v>
      </c>
      <c r="E125" s="94">
        <v>0.41</v>
      </c>
      <c r="F125" s="96"/>
      <c r="G125" s="96"/>
      <c r="H125" s="94">
        <v>0.24</v>
      </c>
      <c r="I125" s="94">
        <v>0.73170616791472998</v>
      </c>
      <c r="J125" s="94">
        <v>6.4536710533781346E-3</v>
      </c>
      <c r="K125" s="94"/>
      <c r="L125" s="96">
        <v>4.0403735582386053</v>
      </c>
      <c r="M125" s="100"/>
    </row>
    <row r="126" spans="1:13" ht="15.75">
      <c r="A126" s="304" t="s">
        <v>83</v>
      </c>
      <c r="B126" s="98">
        <v>2.2137192704974398E-3</v>
      </c>
      <c r="C126" s="98">
        <v>0</v>
      </c>
      <c r="D126" s="98">
        <v>42.733275101442885</v>
      </c>
      <c r="E126" s="98">
        <v>25.783028689899556</v>
      </c>
      <c r="F126" s="98">
        <v>0</v>
      </c>
      <c r="G126" s="98">
        <v>0</v>
      </c>
      <c r="H126" s="98">
        <v>17.253320907655731</v>
      </c>
      <c r="I126" s="98">
        <v>37.698500594308399</v>
      </c>
      <c r="J126" s="98">
        <v>3.6330927621837534</v>
      </c>
      <c r="K126" s="98">
        <v>0</v>
      </c>
      <c r="L126" s="98">
        <v>127.10343177476082</v>
      </c>
    </row>
    <row r="127" spans="1:13">
      <c r="A127" s="303" t="s">
        <v>84</v>
      </c>
      <c r="B127" s="96">
        <v>0.11450973903079993</v>
      </c>
      <c r="C127" s="96"/>
      <c r="D127" s="101">
        <v>10.358743329384168</v>
      </c>
      <c r="E127" s="101">
        <v>0.8575152317057565</v>
      </c>
      <c r="F127" s="96"/>
      <c r="G127" s="96"/>
      <c r="H127" s="96"/>
      <c r="I127" s="96"/>
      <c r="J127" s="96"/>
      <c r="K127" s="96">
        <v>0.3869303525365434</v>
      </c>
      <c r="L127" s="96">
        <v>11.717698652657267</v>
      </c>
    </row>
    <row r="128" spans="1:13" ht="15.75">
      <c r="A128" s="304" t="s">
        <v>85</v>
      </c>
      <c r="B128" s="98">
        <v>0.11672345830129738</v>
      </c>
      <c r="C128" s="98">
        <v>0</v>
      </c>
      <c r="D128" s="98">
        <v>53.092018430827054</v>
      </c>
      <c r="E128" s="98">
        <v>26.640543921605314</v>
      </c>
      <c r="F128" s="98">
        <v>0</v>
      </c>
      <c r="G128" s="98">
        <v>0</v>
      </c>
      <c r="H128" s="98">
        <v>17.253320907655731</v>
      </c>
      <c r="I128" s="98">
        <v>37.698500594308399</v>
      </c>
      <c r="J128" s="98">
        <v>3.6330927621837534</v>
      </c>
      <c r="K128" s="98">
        <v>0.3869303525365434</v>
      </c>
      <c r="L128" s="98">
        <v>138.8211304274181</v>
      </c>
    </row>
    <row r="139" spans="1:12" ht="15.75">
      <c r="A139" s="91" t="s">
        <v>88</v>
      </c>
      <c r="B139" s="80"/>
      <c r="C139" s="80"/>
      <c r="D139" s="80"/>
      <c r="E139" s="80"/>
      <c r="F139" s="80"/>
      <c r="G139" s="81"/>
      <c r="H139" s="80"/>
      <c r="I139" s="80"/>
      <c r="J139" s="80"/>
      <c r="K139" s="80"/>
      <c r="L139" s="80"/>
    </row>
    <row r="142" spans="1:12" ht="45">
      <c r="A142" s="83" t="s">
        <v>51</v>
      </c>
      <c r="B142" s="301" t="s">
        <v>42</v>
      </c>
      <c r="C142" s="301" t="s">
        <v>52</v>
      </c>
      <c r="D142" s="301" t="s">
        <v>53</v>
      </c>
      <c r="E142" s="302" t="s">
        <v>54</v>
      </c>
      <c r="F142" s="302" t="s">
        <v>20</v>
      </c>
      <c r="G142" s="302" t="s">
        <v>55</v>
      </c>
      <c r="H142" s="301" t="s">
        <v>56</v>
      </c>
      <c r="I142" s="301" t="s">
        <v>57</v>
      </c>
      <c r="J142" s="301" t="s">
        <v>58</v>
      </c>
      <c r="K142" s="301" t="s">
        <v>31</v>
      </c>
      <c r="L142" s="301" t="s">
        <v>10</v>
      </c>
    </row>
    <row r="143" spans="1:12" ht="15.75">
      <c r="A143" s="92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</row>
    <row r="144" spans="1:12">
      <c r="A144" s="303" t="s">
        <v>59</v>
      </c>
      <c r="B144" s="94">
        <v>0</v>
      </c>
      <c r="C144" s="94">
        <v>0.6</v>
      </c>
      <c r="D144" s="94">
        <v>0</v>
      </c>
      <c r="E144" s="94">
        <v>0.01</v>
      </c>
      <c r="F144" s="95">
        <v>87.505468116535909</v>
      </c>
      <c r="G144" s="95">
        <v>19.604471195184864</v>
      </c>
      <c r="H144" s="94">
        <v>27.652813608001015</v>
      </c>
      <c r="I144" s="96"/>
      <c r="J144" s="96"/>
      <c r="K144" s="96"/>
      <c r="L144" s="96">
        <v>135.37275291972179</v>
      </c>
    </row>
    <row r="145" spans="1:12">
      <c r="A145" s="303" t="s">
        <v>60</v>
      </c>
      <c r="B145" s="94">
        <v>2.1426447253399448</v>
      </c>
      <c r="C145" s="94">
        <v>40.135568603962227</v>
      </c>
      <c r="D145" s="94">
        <v>11.603738828489348</v>
      </c>
      <c r="E145" s="94">
        <v>27.110364556531959</v>
      </c>
      <c r="F145" s="96"/>
      <c r="G145" s="96"/>
      <c r="H145" s="96">
        <v>1.1840600232316554</v>
      </c>
      <c r="I145" s="96">
        <v>0</v>
      </c>
      <c r="J145" s="96"/>
      <c r="K145" s="96"/>
      <c r="L145" s="96">
        <v>82.176376737555131</v>
      </c>
    </row>
    <row r="146" spans="1:12">
      <c r="A146" s="303" t="s">
        <v>61</v>
      </c>
      <c r="B146" s="104">
        <v>0</v>
      </c>
      <c r="C146" s="104">
        <v>0</v>
      </c>
      <c r="D146" s="94">
        <v>0</v>
      </c>
      <c r="E146" s="104">
        <v>0</v>
      </c>
      <c r="F146" s="96"/>
      <c r="G146" s="96"/>
      <c r="H146" s="104">
        <v>0</v>
      </c>
      <c r="I146" s="96">
        <v>-5.338388011490764</v>
      </c>
      <c r="J146" s="96"/>
      <c r="K146" s="96"/>
      <c r="L146" s="96">
        <v>-5.338388011490764</v>
      </c>
    </row>
    <row r="147" spans="1:12">
      <c r="A147" s="303" t="s">
        <v>62</v>
      </c>
      <c r="B147" s="96"/>
      <c r="C147" s="96"/>
      <c r="D147" s="96">
        <v>-1.1000000000000001</v>
      </c>
      <c r="E147" s="96"/>
      <c r="F147" s="96"/>
      <c r="G147" s="96"/>
      <c r="H147" s="96"/>
      <c r="I147" s="96"/>
      <c r="J147" s="96"/>
      <c r="K147" s="96"/>
      <c r="L147" s="96">
        <v>-1.1000000000000001</v>
      </c>
    </row>
    <row r="148" spans="1:12">
      <c r="A148" s="303" t="s">
        <v>63</v>
      </c>
      <c r="B148" s="96"/>
      <c r="C148" s="96"/>
      <c r="D148" s="96">
        <v>-7.3263599105945998</v>
      </c>
      <c r="E148" s="96"/>
      <c r="F148" s="96"/>
      <c r="G148" s="96"/>
      <c r="H148" s="96"/>
      <c r="I148" s="96"/>
      <c r="J148" s="96"/>
      <c r="K148" s="96"/>
      <c r="L148" s="96">
        <v>-7.3263599105945998</v>
      </c>
    </row>
    <row r="149" spans="1:12">
      <c r="A149" s="303" t="s">
        <v>64</v>
      </c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>
        <v>0</v>
      </c>
    </row>
    <row r="150" spans="1:12" ht="15.75">
      <c r="A150" s="304" t="s">
        <v>65</v>
      </c>
      <c r="B150" s="105">
        <v>2.1426447253399448</v>
      </c>
      <c r="C150" s="105">
        <v>40.735568603962228</v>
      </c>
      <c r="D150" s="105">
        <v>3.1773789178947487</v>
      </c>
      <c r="E150" s="105">
        <v>27.12036455653196</v>
      </c>
      <c r="F150" s="105">
        <v>87.505468116535909</v>
      </c>
      <c r="G150" s="105">
        <v>19.604471195184864</v>
      </c>
      <c r="H150" s="105">
        <v>28.83687363123267</v>
      </c>
      <c r="I150" s="105">
        <v>-5.338388011490764</v>
      </c>
      <c r="J150" s="105">
        <v>0</v>
      </c>
      <c r="K150" s="105"/>
      <c r="L150" s="105">
        <v>203.78438173519157</v>
      </c>
    </row>
    <row r="151" spans="1:12" ht="15.75">
      <c r="A151" s="84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</row>
    <row r="152" spans="1:12">
      <c r="A152" s="303" t="s">
        <v>66</v>
      </c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>
        <v>0</v>
      </c>
    </row>
    <row r="153" spans="1:12">
      <c r="A153" s="303" t="s">
        <v>67</v>
      </c>
      <c r="B153" s="94"/>
      <c r="C153" s="94"/>
      <c r="D153" s="94"/>
      <c r="E153" s="94"/>
      <c r="F153" s="96"/>
      <c r="G153" s="96"/>
      <c r="H153" s="96"/>
      <c r="I153" s="96"/>
      <c r="J153" s="96"/>
      <c r="K153" s="96"/>
      <c r="L153" s="96">
        <v>0</v>
      </c>
    </row>
    <row r="154" spans="1:12">
      <c r="A154" s="303" t="s">
        <v>68</v>
      </c>
      <c r="B154" s="94">
        <v>0</v>
      </c>
      <c r="C154" s="94">
        <v>0</v>
      </c>
      <c r="D154" s="94"/>
      <c r="E154" s="94">
        <v>4.0829815025015792</v>
      </c>
      <c r="F154" s="95">
        <v>87.505468116535909</v>
      </c>
      <c r="G154" s="95">
        <v>19.604471195184864</v>
      </c>
      <c r="H154" s="94">
        <v>2.3645743766122096</v>
      </c>
      <c r="I154" s="94">
        <v>-50.266999999999996</v>
      </c>
      <c r="J154" s="96"/>
      <c r="K154" s="96"/>
      <c r="L154" s="96">
        <v>63.290495190834577</v>
      </c>
    </row>
    <row r="155" spans="1:12">
      <c r="A155" s="303" t="s">
        <v>69</v>
      </c>
      <c r="B155" s="94"/>
      <c r="C155" s="94"/>
      <c r="D155" s="94"/>
      <c r="E155" s="94"/>
      <c r="F155" s="96"/>
      <c r="G155" s="96"/>
      <c r="H155" s="94"/>
      <c r="I155" s="94"/>
      <c r="J155" s="96"/>
      <c r="K155" s="96"/>
      <c r="L155" s="96">
        <v>0</v>
      </c>
    </row>
    <row r="156" spans="1:12">
      <c r="A156" s="303" t="s">
        <v>70</v>
      </c>
      <c r="B156" s="94">
        <v>0</v>
      </c>
      <c r="C156" s="94"/>
      <c r="D156" s="94">
        <v>0</v>
      </c>
      <c r="E156" s="94">
        <v>1.1033714738962501</v>
      </c>
      <c r="F156" s="96"/>
      <c r="G156" s="96"/>
      <c r="H156" s="94">
        <v>3.4223564102833111</v>
      </c>
      <c r="I156" s="94"/>
      <c r="J156" s="96">
        <v>-5.0031456465819746</v>
      </c>
      <c r="K156" s="96"/>
      <c r="L156" s="96">
        <v>-0.47741776240241318</v>
      </c>
    </row>
    <row r="157" spans="1:12">
      <c r="A157" s="303" t="s">
        <v>71</v>
      </c>
      <c r="B157" s="94"/>
      <c r="C157" s="94"/>
      <c r="D157" s="94"/>
      <c r="E157" s="94">
        <v>-3.0305707441718415</v>
      </c>
      <c r="F157" s="96"/>
      <c r="G157" s="96"/>
      <c r="H157" s="94">
        <v>3.7882134302148018</v>
      </c>
      <c r="I157" s="94"/>
      <c r="J157" s="96"/>
      <c r="K157" s="96"/>
      <c r="L157" s="96">
        <v>0.75764268604296037</v>
      </c>
    </row>
    <row r="158" spans="1:12">
      <c r="A158" s="303" t="s">
        <v>72</v>
      </c>
      <c r="B158" s="94"/>
      <c r="C158" s="94">
        <v>40.735568603962228</v>
      </c>
      <c r="D158" s="94">
        <v>-39.731196478800598</v>
      </c>
      <c r="E158" s="94">
        <v>0.33698049084305848</v>
      </c>
      <c r="F158" s="96"/>
      <c r="G158" s="96"/>
      <c r="H158" s="94"/>
      <c r="I158" s="94"/>
      <c r="J158" s="96"/>
      <c r="K158" s="96"/>
      <c r="L158" s="96">
        <v>1.3413526160046889</v>
      </c>
    </row>
    <row r="159" spans="1:12">
      <c r="A159" s="303" t="s">
        <v>73</v>
      </c>
      <c r="B159" s="94"/>
      <c r="C159" s="94"/>
      <c r="D159" s="94"/>
      <c r="E159" s="94"/>
      <c r="F159" s="96"/>
      <c r="G159" s="96"/>
      <c r="H159" s="94"/>
      <c r="I159" s="94">
        <v>2.1496130696474633</v>
      </c>
      <c r="J159" s="96"/>
      <c r="K159" s="96">
        <v>-1.7196904557179706</v>
      </c>
      <c r="L159" s="96">
        <v>0.42992261392949271</v>
      </c>
    </row>
    <row r="160" spans="1:12">
      <c r="A160" s="303" t="s">
        <v>74</v>
      </c>
      <c r="B160" s="94">
        <v>2.1404310060694471</v>
      </c>
      <c r="C160" s="94"/>
      <c r="D160" s="94"/>
      <c r="E160" s="102">
        <v>-0.15477214101461736</v>
      </c>
      <c r="F160" s="107"/>
      <c r="G160" s="107"/>
      <c r="H160" s="102"/>
      <c r="I160" s="102">
        <v>-0.2063628546861565</v>
      </c>
      <c r="J160" s="96"/>
      <c r="K160" s="107">
        <v>0.42992261392949271</v>
      </c>
      <c r="L160" s="96">
        <v>2.209218624298166</v>
      </c>
    </row>
    <row r="161" spans="1:13">
      <c r="A161" s="303" t="s">
        <v>75</v>
      </c>
      <c r="B161" s="94">
        <v>0</v>
      </c>
      <c r="C161" s="94"/>
      <c r="D161" s="94">
        <v>1.0782</v>
      </c>
      <c r="E161" s="94">
        <v>1.2420767288044043</v>
      </c>
      <c r="F161" s="96"/>
      <c r="G161" s="96"/>
      <c r="H161" s="94">
        <v>5.1017483519633131E-2</v>
      </c>
      <c r="I161" s="94">
        <v>2.3520206362854692</v>
      </c>
      <c r="J161" s="96"/>
      <c r="K161" s="96"/>
      <c r="L161" s="96">
        <v>4.7233148486095065</v>
      </c>
    </row>
    <row r="162" spans="1:13">
      <c r="A162" s="303" t="s">
        <v>76</v>
      </c>
      <c r="B162" s="94"/>
      <c r="C162" s="94"/>
      <c r="D162" s="94"/>
      <c r="E162" s="94">
        <v>0.3535258483957765</v>
      </c>
      <c r="F162" s="96"/>
      <c r="G162" s="96"/>
      <c r="H162" s="94"/>
      <c r="I162" s="94">
        <v>3.2582065612805073</v>
      </c>
      <c r="J162" s="96">
        <v>1.0431162352605265</v>
      </c>
      <c r="K162" s="96"/>
      <c r="L162" s="96">
        <v>4.6548486449368109</v>
      </c>
    </row>
    <row r="163" spans="1:13" ht="15.75">
      <c r="A163" s="304" t="s">
        <v>77</v>
      </c>
      <c r="B163" s="105">
        <v>2.1404310060694471</v>
      </c>
      <c r="C163" s="105">
        <v>40.735568603962228</v>
      </c>
      <c r="D163" s="105">
        <v>-38.652996478800596</v>
      </c>
      <c r="E163" s="105">
        <v>3.9335931592546101</v>
      </c>
      <c r="F163" s="105">
        <v>87.505468116535909</v>
      </c>
      <c r="G163" s="105">
        <v>19.604471195184864</v>
      </c>
      <c r="H163" s="105">
        <v>9.6261617006299556</v>
      </c>
      <c r="I163" s="105">
        <v>-42.71352258747271</v>
      </c>
      <c r="J163" s="105">
        <v>-3.960029411321448</v>
      </c>
      <c r="K163" s="98">
        <v>-1.2897678417884779</v>
      </c>
      <c r="L163" s="105">
        <v>76.929377462253782</v>
      </c>
    </row>
    <row r="164" spans="1:13" ht="15.75">
      <c r="A164" s="84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</row>
    <row r="165" spans="1:13" ht="15.75">
      <c r="A165" s="306" t="s">
        <v>78</v>
      </c>
      <c r="B165" s="94">
        <v>0</v>
      </c>
      <c r="C165" s="96"/>
      <c r="D165" s="94">
        <v>0.91047471072988595</v>
      </c>
      <c r="E165" s="94">
        <v>9.2828412206946656</v>
      </c>
      <c r="F165" s="96"/>
      <c r="G165" s="96"/>
      <c r="H165" s="94">
        <v>2.797481014933286</v>
      </c>
      <c r="I165" s="94">
        <v>9.8446264808181319</v>
      </c>
      <c r="J165" s="94">
        <v>1.0065715207299948</v>
      </c>
      <c r="K165" s="94"/>
      <c r="L165" s="96">
        <v>23.841994947905963</v>
      </c>
      <c r="M165" s="100"/>
    </row>
    <row r="166" spans="1:13" ht="15.75">
      <c r="A166" s="306" t="s">
        <v>79</v>
      </c>
      <c r="B166" s="96"/>
      <c r="C166" s="96"/>
      <c r="D166" s="94">
        <v>27.751715068457877</v>
      </c>
      <c r="E166" s="94">
        <v>0.93047307809883106</v>
      </c>
      <c r="F166" s="96"/>
      <c r="G166" s="96"/>
      <c r="H166" s="94">
        <v>3.2186817504954033</v>
      </c>
      <c r="I166" s="94">
        <v>3.1579242402183425</v>
      </c>
      <c r="J166" s="94"/>
      <c r="K166" s="103">
        <v>0</v>
      </c>
      <c r="L166" s="108">
        <v>35.058794137270453</v>
      </c>
      <c r="M166" s="100"/>
    </row>
    <row r="167" spans="1:13">
      <c r="A167" s="303" t="s">
        <v>80</v>
      </c>
      <c r="B167" s="94">
        <v>0</v>
      </c>
      <c r="C167" s="96"/>
      <c r="D167" s="94">
        <v>1.746497298641001</v>
      </c>
      <c r="E167" s="94">
        <v>8.4644882734430098</v>
      </c>
      <c r="F167" s="96"/>
      <c r="G167" s="96"/>
      <c r="H167" s="94">
        <v>10.300321992032506</v>
      </c>
      <c r="I167" s="94">
        <v>11.885627565252159</v>
      </c>
      <c r="J167" s="94">
        <v>2.1555790280909841</v>
      </c>
      <c r="K167" s="94"/>
      <c r="L167" s="96">
        <v>34.552514157459662</v>
      </c>
      <c r="M167" s="100"/>
    </row>
    <row r="168" spans="1:13">
      <c r="A168" s="303" t="s">
        <v>81</v>
      </c>
      <c r="B168" s="94">
        <v>0</v>
      </c>
      <c r="C168" s="96"/>
      <c r="D168" s="94">
        <v>0.60659804706016329</v>
      </c>
      <c r="E168" s="94">
        <v>3.373347366526199</v>
      </c>
      <c r="F168" s="96"/>
      <c r="G168" s="96"/>
      <c r="H168" s="94">
        <v>2.5554110979101758</v>
      </c>
      <c r="I168" s="94">
        <v>11.711297347178387</v>
      </c>
      <c r="J168" s="94">
        <v>0.79142519144709034</v>
      </c>
      <c r="K168" s="94"/>
      <c r="L168" s="96">
        <v>19.038079050122015</v>
      </c>
      <c r="M168" s="100"/>
    </row>
    <row r="169" spans="1:13">
      <c r="A169" s="303" t="s">
        <v>82</v>
      </c>
      <c r="B169" s="94">
        <v>2.2137192704974398E-3</v>
      </c>
      <c r="C169" s="96"/>
      <c r="D169" s="94">
        <v>2.28816075231342</v>
      </c>
      <c r="E169" s="94">
        <v>0.47763215046268398</v>
      </c>
      <c r="F169" s="96"/>
      <c r="G169" s="96"/>
      <c r="H169" s="94">
        <v>0.338816075231342</v>
      </c>
      <c r="I169" s="94">
        <v>0.77565894251492096</v>
      </c>
      <c r="J169" s="94">
        <v>6.4536710533781346E-3</v>
      </c>
      <c r="K169" s="94"/>
      <c r="L169" s="96">
        <v>3.8889353108462426</v>
      </c>
      <c r="M169" s="100"/>
    </row>
    <row r="170" spans="1:13" ht="15.75">
      <c r="A170" s="304" t="s">
        <v>83</v>
      </c>
      <c r="B170" s="105">
        <v>2.2137192704974398E-3</v>
      </c>
      <c r="C170" s="105">
        <v>0</v>
      </c>
      <c r="D170" s="105">
        <v>33.30344587720235</v>
      </c>
      <c r="E170" s="105">
        <v>22.528782089225395</v>
      </c>
      <c r="F170" s="105">
        <v>0</v>
      </c>
      <c r="G170" s="105">
        <v>0</v>
      </c>
      <c r="H170" s="105">
        <v>19.210711930602717</v>
      </c>
      <c r="I170" s="105">
        <v>37.375134575981946</v>
      </c>
      <c r="J170" s="105">
        <v>3.9600294113214476</v>
      </c>
      <c r="K170" s="98">
        <v>0</v>
      </c>
      <c r="L170" s="105">
        <v>116.38031760360433</v>
      </c>
    </row>
    <row r="171" spans="1:13">
      <c r="A171" s="303" t="s">
        <v>84</v>
      </c>
      <c r="B171" s="96">
        <v>0</v>
      </c>
      <c r="C171" s="96"/>
      <c r="D171" s="94">
        <v>8.5269295194929953</v>
      </c>
      <c r="E171" s="94">
        <v>0.65798930805195532</v>
      </c>
      <c r="F171" s="96"/>
      <c r="G171" s="96"/>
      <c r="H171" s="96"/>
      <c r="I171" s="96"/>
      <c r="J171" s="96"/>
      <c r="K171" s="96">
        <v>1.2897678417884779</v>
      </c>
      <c r="L171" s="96">
        <v>10.47468666933343</v>
      </c>
    </row>
    <row r="172" spans="1:13" ht="15.75">
      <c r="A172" s="304" t="s">
        <v>85</v>
      </c>
      <c r="B172" s="105">
        <v>2.2137192704974398E-3</v>
      </c>
      <c r="C172" s="105">
        <v>0</v>
      </c>
      <c r="D172" s="105">
        <v>41.830375396695345</v>
      </c>
      <c r="E172" s="105">
        <v>23.186771397277351</v>
      </c>
      <c r="F172" s="105">
        <v>0</v>
      </c>
      <c r="G172" s="105">
        <v>0</v>
      </c>
      <c r="H172" s="105">
        <v>19.210711930602717</v>
      </c>
      <c r="I172" s="105">
        <v>37.375134575981946</v>
      </c>
      <c r="J172" s="105">
        <v>3.9600294113214476</v>
      </c>
      <c r="K172" s="105">
        <v>1.2897678417884779</v>
      </c>
      <c r="L172" s="105">
        <v>126.85500427293775</v>
      </c>
    </row>
    <row r="183" spans="1:14" ht="15.75">
      <c r="A183" s="91" t="s">
        <v>89</v>
      </c>
      <c r="B183" s="80"/>
      <c r="C183" s="80"/>
      <c r="D183" s="80"/>
      <c r="E183" s="80"/>
      <c r="F183" s="80"/>
      <c r="G183" s="81"/>
      <c r="H183" s="80"/>
      <c r="I183" s="80"/>
      <c r="J183" s="80"/>
      <c r="K183" s="80"/>
      <c r="L183" s="80"/>
    </row>
    <row r="186" spans="1:14" ht="45">
      <c r="A186" s="83" t="s">
        <v>51</v>
      </c>
      <c r="B186" s="301" t="s">
        <v>42</v>
      </c>
      <c r="C186" s="301" t="s">
        <v>52</v>
      </c>
      <c r="D186" s="301" t="s">
        <v>53</v>
      </c>
      <c r="E186" s="302" t="s">
        <v>54</v>
      </c>
      <c r="F186" s="302" t="s">
        <v>20</v>
      </c>
      <c r="G186" s="302" t="s">
        <v>55</v>
      </c>
      <c r="H186" s="301" t="s">
        <v>56</v>
      </c>
      <c r="I186" s="301" t="s">
        <v>57</v>
      </c>
      <c r="J186" s="301" t="s">
        <v>58</v>
      </c>
      <c r="K186" s="301" t="s">
        <v>31</v>
      </c>
      <c r="L186" s="301" t="s">
        <v>10</v>
      </c>
    </row>
    <row r="187" spans="1:14" ht="15.75">
      <c r="A187" s="92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N187" s="82"/>
    </row>
    <row r="188" spans="1:14">
      <c r="A188" s="303" t="s">
        <v>59</v>
      </c>
      <c r="B188" s="94">
        <v>0</v>
      </c>
      <c r="C188" s="94">
        <v>0</v>
      </c>
      <c r="D188" s="94">
        <v>0</v>
      </c>
      <c r="E188" s="94">
        <v>0</v>
      </c>
      <c r="F188" s="95">
        <v>27.345458786417471</v>
      </c>
      <c r="G188" s="95">
        <v>46.775580395528799</v>
      </c>
      <c r="H188" s="94">
        <v>39.150228110130641</v>
      </c>
      <c r="I188" s="96"/>
      <c r="J188" s="96"/>
      <c r="K188" s="96"/>
      <c r="L188" s="96">
        <v>113.27126729207691</v>
      </c>
    </row>
    <row r="189" spans="1:14">
      <c r="A189" s="303" t="s">
        <v>60</v>
      </c>
      <c r="B189" s="94">
        <v>0.74697394369004599</v>
      </c>
      <c r="C189" s="94">
        <v>0</v>
      </c>
      <c r="D189" s="94">
        <v>15.265776616616671</v>
      </c>
      <c r="E189" s="94">
        <v>0</v>
      </c>
      <c r="F189" s="96"/>
      <c r="G189" s="96"/>
      <c r="H189" s="96">
        <v>0</v>
      </c>
      <c r="I189" s="108">
        <v>0</v>
      </c>
      <c r="J189" s="96"/>
      <c r="K189" s="96"/>
      <c r="L189" s="96">
        <v>16.012750560306717</v>
      </c>
    </row>
    <row r="190" spans="1:14">
      <c r="A190" s="303" t="s">
        <v>61</v>
      </c>
      <c r="B190" s="94">
        <v>0</v>
      </c>
      <c r="C190" s="94">
        <v>0</v>
      </c>
      <c r="D190" s="94">
        <v>0</v>
      </c>
      <c r="E190" s="94">
        <v>0</v>
      </c>
      <c r="F190" s="96"/>
      <c r="G190" s="96"/>
      <c r="H190" s="94">
        <v>0</v>
      </c>
      <c r="I190" s="96">
        <v>-1.7515441453990022</v>
      </c>
      <c r="J190" s="96"/>
      <c r="K190" s="96"/>
      <c r="L190" s="96">
        <v>-1.7515441453990022</v>
      </c>
    </row>
    <row r="191" spans="1:14">
      <c r="A191" s="303" t="s">
        <v>62</v>
      </c>
      <c r="B191" s="94"/>
      <c r="C191" s="94"/>
      <c r="D191" s="94">
        <v>-1.1000000000000001</v>
      </c>
      <c r="E191" s="94"/>
      <c r="F191" s="96"/>
      <c r="G191" s="96"/>
      <c r="H191" s="96"/>
      <c r="I191" s="96"/>
      <c r="J191" s="96"/>
      <c r="K191" s="96"/>
      <c r="L191" s="96">
        <v>-1.1000000000000001</v>
      </c>
    </row>
    <row r="192" spans="1:14">
      <c r="A192" s="303" t="s">
        <v>63</v>
      </c>
      <c r="B192" s="94"/>
      <c r="C192" s="94"/>
      <c r="D192" s="94">
        <v>-9.8675445253719403</v>
      </c>
      <c r="E192" s="94"/>
      <c r="F192" s="96"/>
      <c r="G192" s="96"/>
      <c r="H192" s="96"/>
      <c r="I192" s="96"/>
      <c r="J192" s="96"/>
      <c r="K192" s="96"/>
      <c r="L192" s="96">
        <v>-9.8675445253719403</v>
      </c>
    </row>
    <row r="193" spans="1:14">
      <c r="A193" s="303" t="s">
        <v>64</v>
      </c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>
        <v>0</v>
      </c>
    </row>
    <row r="194" spans="1:14" ht="15.75">
      <c r="A194" s="304" t="s">
        <v>65</v>
      </c>
      <c r="B194" s="98">
        <v>0.74697394369004599</v>
      </c>
      <c r="C194" s="98">
        <v>0</v>
      </c>
      <c r="D194" s="98">
        <v>4.2982320912447314</v>
      </c>
      <c r="E194" s="98">
        <v>0</v>
      </c>
      <c r="F194" s="98">
        <v>27.345458786417471</v>
      </c>
      <c r="G194" s="98">
        <v>46.775580395528799</v>
      </c>
      <c r="H194" s="98">
        <v>39.150228110130641</v>
      </c>
      <c r="I194" s="98">
        <v>-1.7515441453990022</v>
      </c>
      <c r="J194" s="98">
        <v>0</v>
      </c>
      <c r="K194" s="98"/>
      <c r="L194" s="98">
        <v>116.5649291816127</v>
      </c>
    </row>
    <row r="195" spans="1:14" ht="15.75">
      <c r="A195" s="84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</row>
    <row r="196" spans="1:14">
      <c r="A196" s="303" t="s">
        <v>66</v>
      </c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>
        <v>0</v>
      </c>
    </row>
    <row r="197" spans="1:14">
      <c r="A197" s="303" t="s">
        <v>67</v>
      </c>
      <c r="B197" s="94"/>
      <c r="C197" s="94"/>
      <c r="D197" s="94"/>
      <c r="E197" s="94"/>
      <c r="F197" s="96"/>
      <c r="G197" s="96"/>
      <c r="H197" s="94"/>
      <c r="I197" s="94"/>
      <c r="J197" s="96"/>
      <c r="K197" s="96"/>
      <c r="L197" s="96">
        <v>0</v>
      </c>
    </row>
    <row r="198" spans="1:14">
      <c r="A198" s="303" t="s">
        <v>68</v>
      </c>
      <c r="B198" s="94">
        <v>0</v>
      </c>
      <c r="C198" s="94">
        <v>0</v>
      </c>
      <c r="D198" s="94"/>
      <c r="E198" s="94">
        <v>2.1496130696474633</v>
      </c>
      <c r="F198" s="94">
        <v>27.345458786417471</v>
      </c>
      <c r="G198" s="94">
        <v>46.775580395528799</v>
      </c>
      <c r="H198" s="94">
        <v>0</v>
      </c>
      <c r="I198" s="94">
        <v>-56.673999999999992</v>
      </c>
      <c r="J198" s="96"/>
      <c r="K198" s="96"/>
      <c r="L198" s="96">
        <v>19.596652251593738</v>
      </c>
    </row>
    <row r="199" spans="1:14">
      <c r="A199" s="303" t="s">
        <v>69</v>
      </c>
      <c r="B199" s="94"/>
      <c r="C199" s="94"/>
      <c r="D199" s="94"/>
      <c r="E199" s="94"/>
      <c r="F199" s="96"/>
      <c r="G199" s="96"/>
      <c r="H199" s="94"/>
      <c r="I199" s="94"/>
      <c r="J199" s="96"/>
      <c r="K199" s="96"/>
      <c r="L199" s="96">
        <v>0</v>
      </c>
    </row>
    <row r="200" spans="1:14">
      <c r="A200" s="303" t="s">
        <v>70</v>
      </c>
      <c r="B200" s="94">
        <v>0</v>
      </c>
      <c r="C200" s="94"/>
      <c r="D200" s="94">
        <v>0</v>
      </c>
      <c r="E200" s="94">
        <v>0.85449177920296737</v>
      </c>
      <c r="F200" s="96"/>
      <c r="G200" s="96"/>
      <c r="H200" s="94">
        <v>3.403615539978218</v>
      </c>
      <c r="I200" s="94"/>
      <c r="J200" s="96">
        <v>-5.1661619878122789</v>
      </c>
      <c r="K200" s="96"/>
      <c r="L200" s="96">
        <v>-0.90805466863109352</v>
      </c>
    </row>
    <row r="201" spans="1:14">
      <c r="A201" s="303" t="s">
        <v>71</v>
      </c>
      <c r="B201" s="94"/>
      <c r="C201" s="94"/>
      <c r="D201" s="94"/>
      <c r="E201" s="94">
        <v>-13.268132354256622</v>
      </c>
      <c r="F201" s="96"/>
      <c r="G201" s="96"/>
      <c r="H201" s="94">
        <v>16.585165442820777</v>
      </c>
      <c r="I201" s="94"/>
      <c r="J201" s="96"/>
      <c r="K201" s="96"/>
      <c r="L201" s="96">
        <v>3.3170330885641555</v>
      </c>
    </row>
    <row r="202" spans="1:14">
      <c r="A202" s="303" t="s">
        <v>72</v>
      </c>
      <c r="B202" s="94"/>
      <c r="C202" s="94">
        <v>0</v>
      </c>
      <c r="D202" s="94">
        <v>0</v>
      </c>
      <c r="E202" s="94">
        <v>0</v>
      </c>
      <c r="F202" s="96"/>
      <c r="G202" s="96"/>
      <c r="H202" s="94"/>
      <c r="I202" s="94"/>
      <c r="J202" s="96"/>
      <c r="K202" s="96"/>
      <c r="L202" s="96">
        <v>0</v>
      </c>
    </row>
    <row r="203" spans="1:14">
      <c r="A203" s="303" t="s">
        <v>73</v>
      </c>
      <c r="B203" s="94"/>
      <c r="C203" s="94"/>
      <c r="D203" s="94"/>
      <c r="E203" s="94"/>
      <c r="F203" s="96"/>
      <c r="G203" s="96"/>
      <c r="H203" s="94"/>
      <c r="I203" s="94">
        <v>4.2992261392949267</v>
      </c>
      <c r="J203" s="96"/>
      <c r="K203" s="96">
        <v>-3.4393809114359413</v>
      </c>
      <c r="L203" s="96">
        <v>0.85984522785898543</v>
      </c>
    </row>
    <row r="204" spans="1:14">
      <c r="A204" s="303" t="s">
        <v>74</v>
      </c>
      <c r="B204" s="94">
        <v>0.74476022441954859</v>
      </c>
      <c r="C204" s="94"/>
      <c r="D204" s="94"/>
      <c r="E204" s="102">
        <v>-0.30954428202923473</v>
      </c>
      <c r="F204" s="96"/>
      <c r="G204" s="96"/>
      <c r="H204" s="94"/>
      <c r="I204" s="94">
        <v>-1.0318142734307825</v>
      </c>
      <c r="J204" s="96"/>
      <c r="K204" s="107">
        <v>1.633705932932072</v>
      </c>
      <c r="L204" s="96">
        <v>1.0371076018916034</v>
      </c>
    </row>
    <row r="205" spans="1:14">
      <c r="A205" s="303" t="s">
        <v>75</v>
      </c>
      <c r="B205" s="94">
        <v>0</v>
      </c>
      <c r="C205" s="94"/>
      <c r="D205" s="94">
        <v>0</v>
      </c>
      <c r="E205" s="334">
        <v>0</v>
      </c>
      <c r="F205" s="96"/>
      <c r="G205" s="96"/>
      <c r="H205" s="94">
        <v>5.1017483519633131E-2</v>
      </c>
      <c r="I205" s="94">
        <v>2.3441960447119525</v>
      </c>
      <c r="J205" s="96"/>
      <c r="K205" s="96"/>
      <c r="L205" s="96">
        <v>2.3952135282315856</v>
      </c>
      <c r="N205" s="97"/>
    </row>
    <row r="206" spans="1:14">
      <c r="A206" s="303" t="s">
        <v>76</v>
      </c>
      <c r="B206" s="94"/>
      <c r="C206" s="94"/>
      <c r="D206" s="94"/>
      <c r="E206" s="94">
        <v>0.15893900909970565</v>
      </c>
      <c r="F206" s="96"/>
      <c r="G206" s="96"/>
      <c r="H206" s="94"/>
      <c r="I206" s="94">
        <v>3.6734955070724626</v>
      </c>
      <c r="J206" s="96">
        <v>1.077103851085037</v>
      </c>
      <c r="K206" s="96"/>
      <c r="L206" s="96">
        <v>4.9095383672572055</v>
      </c>
    </row>
    <row r="207" spans="1:14" ht="15.75">
      <c r="A207" s="304" t="s">
        <v>77</v>
      </c>
      <c r="B207" s="98">
        <v>0.74476022441954859</v>
      </c>
      <c r="C207" s="98">
        <v>0</v>
      </c>
      <c r="D207" s="98">
        <v>0</v>
      </c>
      <c r="E207" s="98">
        <v>-10.414632778335719</v>
      </c>
      <c r="F207" s="98">
        <v>27.345458786417471</v>
      </c>
      <c r="G207" s="98">
        <v>46.775580395528799</v>
      </c>
      <c r="H207" s="98">
        <v>20.039798466318629</v>
      </c>
      <c r="I207" s="98">
        <v>-47.388896582351435</v>
      </c>
      <c r="J207" s="98">
        <v>-4.0890581367272416</v>
      </c>
      <c r="K207" s="98">
        <v>-1.8056749785038693</v>
      </c>
      <c r="L207" s="98">
        <v>31.20733539676618</v>
      </c>
    </row>
    <row r="208" spans="1:14" ht="15.75">
      <c r="A208" s="84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</row>
    <row r="209" spans="1:13" ht="15.75">
      <c r="A209" s="306" t="s">
        <v>78</v>
      </c>
      <c r="B209" s="94">
        <v>0</v>
      </c>
      <c r="C209" s="96"/>
      <c r="D209" s="94">
        <v>0</v>
      </c>
      <c r="E209" s="94">
        <v>2.6196131084152277</v>
      </c>
      <c r="F209" s="96"/>
      <c r="G209" s="96"/>
      <c r="H209" s="94">
        <v>2.4941614081810051</v>
      </c>
      <c r="I209" s="94">
        <v>15.692222796920932</v>
      </c>
      <c r="J209" s="94">
        <v>0.41499583184774225</v>
      </c>
      <c r="K209" s="94"/>
      <c r="L209" s="96">
        <v>21.220993145364908</v>
      </c>
      <c r="M209" s="100"/>
    </row>
    <row r="210" spans="1:13" ht="15.75">
      <c r="A210" s="306" t="s">
        <v>79</v>
      </c>
      <c r="B210" s="108"/>
      <c r="C210" s="108"/>
      <c r="D210" s="94">
        <v>0.93045123347554903</v>
      </c>
      <c r="E210" s="94">
        <v>3.6028639370370201</v>
      </c>
      <c r="F210" s="96"/>
      <c r="G210" s="96"/>
      <c r="H210" s="94">
        <v>4.2184772740988761</v>
      </c>
      <c r="I210" s="94">
        <v>8.1773954821011205</v>
      </c>
      <c r="J210" s="94"/>
      <c r="K210" s="94">
        <v>8.5984522785898534E-2</v>
      </c>
      <c r="L210" s="96">
        <v>17.015172449498465</v>
      </c>
      <c r="M210" s="100"/>
    </row>
    <row r="211" spans="1:13">
      <c r="A211" s="303" t="s">
        <v>80</v>
      </c>
      <c r="B211" s="94">
        <v>0</v>
      </c>
      <c r="C211" s="96"/>
      <c r="D211" s="94">
        <v>0.16812387266585074</v>
      </c>
      <c r="E211" s="94">
        <v>2.6677723755245331</v>
      </c>
      <c r="F211" s="96"/>
      <c r="G211" s="96"/>
      <c r="H211" s="94">
        <v>9.1119423382098859</v>
      </c>
      <c r="I211" s="94">
        <v>11.1263428965709</v>
      </c>
      <c r="J211" s="94">
        <v>2.1285056205612118</v>
      </c>
      <c r="K211" s="94"/>
      <c r="L211" s="96">
        <v>25.202687103532384</v>
      </c>
      <c r="M211" s="100"/>
    </row>
    <row r="212" spans="1:13">
      <c r="A212" s="303" t="s">
        <v>81</v>
      </c>
      <c r="B212" s="94">
        <v>0</v>
      </c>
      <c r="C212" s="96"/>
      <c r="D212" s="94">
        <v>4.3808247608083023E-2</v>
      </c>
      <c r="E212" s="94">
        <v>0.54387058176361458</v>
      </c>
      <c r="F212" s="96"/>
      <c r="G212" s="96"/>
      <c r="H212" s="94">
        <v>2.4071612194730982</v>
      </c>
      <c r="I212" s="94">
        <v>9.9325738092989031</v>
      </c>
      <c r="J212" s="94">
        <v>1.5391030132649095</v>
      </c>
      <c r="K212" s="94"/>
      <c r="L212" s="96">
        <v>14.466516871408608</v>
      </c>
      <c r="M212" s="100"/>
    </row>
    <row r="213" spans="1:13">
      <c r="A213" s="303" t="s">
        <v>82</v>
      </c>
      <c r="B213" s="94">
        <v>2.2137192704974398E-3</v>
      </c>
      <c r="C213" s="96"/>
      <c r="D213" s="94">
        <v>0</v>
      </c>
      <c r="E213" s="94">
        <v>0.69442453716561003</v>
      </c>
      <c r="F213" s="96"/>
      <c r="G213" s="96"/>
      <c r="H213" s="94">
        <v>0.87868740384914412</v>
      </c>
      <c r="I213" s="94">
        <v>0.708817452060579</v>
      </c>
      <c r="J213" s="94">
        <v>6.4536710533781346E-3</v>
      </c>
      <c r="K213" s="94"/>
      <c r="L213" s="96">
        <v>2.2905967833992089</v>
      </c>
      <c r="M213" s="100"/>
    </row>
    <row r="214" spans="1:13" ht="15.75">
      <c r="A214" s="304" t="s">
        <v>83</v>
      </c>
      <c r="B214" s="98">
        <v>2.2137192704974398E-3</v>
      </c>
      <c r="C214" s="98">
        <v>0</v>
      </c>
      <c r="D214" s="98">
        <v>1.1423833537494827</v>
      </c>
      <c r="E214" s="98">
        <v>10.128544539906006</v>
      </c>
      <c r="F214" s="98">
        <v>0</v>
      </c>
      <c r="G214" s="98">
        <v>0</v>
      </c>
      <c r="H214" s="98">
        <v>19.110429643812012</v>
      </c>
      <c r="I214" s="98">
        <v>45.637352436952433</v>
      </c>
      <c r="J214" s="98">
        <v>4.0890581367272416</v>
      </c>
      <c r="K214" s="98">
        <v>8.5984522785898534E-2</v>
      </c>
      <c r="L214" s="98">
        <v>80.195966353203573</v>
      </c>
    </row>
    <row r="215" spans="1:13">
      <c r="A215" s="303" t="s">
        <v>84</v>
      </c>
      <c r="B215" s="96">
        <v>0</v>
      </c>
      <c r="C215" s="96"/>
      <c r="D215" s="101">
        <v>3.1558487374952491</v>
      </c>
      <c r="E215" s="101">
        <v>0.28608823842971293</v>
      </c>
      <c r="F215" s="96"/>
      <c r="G215" s="96"/>
      <c r="H215" s="96"/>
      <c r="I215" s="96"/>
      <c r="J215" s="96"/>
      <c r="K215" s="96">
        <v>1.7196904557179706</v>
      </c>
      <c r="L215" s="96">
        <v>5.1616274316429323</v>
      </c>
    </row>
    <row r="216" spans="1:13" ht="15.75">
      <c r="A216" s="304" t="s">
        <v>85</v>
      </c>
      <c r="B216" s="98">
        <v>2.2137192704974398E-3</v>
      </c>
      <c r="C216" s="98">
        <v>0</v>
      </c>
      <c r="D216" s="98">
        <v>4.2982320912447314</v>
      </c>
      <c r="E216" s="98">
        <v>10.414632778335719</v>
      </c>
      <c r="F216" s="98">
        <v>0</v>
      </c>
      <c r="G216" s="98">
        <v>0</v>
      </c>
      <c r="H216" s="98">
        <v>19.110429643812012</v>
      </c>
      <c r="I216" s="98">
        <v>45.637352436952433</v>
      </c>
      <c r="J216" s="98">
        <v>4.0890581367272416</v>
      </c>
      <c r="K216" s="98">
        <v>1.8056749785038693</v>
      </c>
      <c r="L216" s="98">
        <v>85.3575937848465</v>
      </c>
    </row>
  </sheetData>
  <conditionalFormatting sqref="B11:L11">
    <cfRule type="cellIs" dxfId="224" priority="63" operator="equal">
      <formula>0</formula>
    </cfRule>
  </conditionalFormatting>
  <conditionalFormatting sqref="B55:L55">
    <cfRule type="cellIs" dxfId="223" priority="62" operator="equal">
      <formula>0</formula>
    </cfRule>
  </conditionalFormatting>
  <conditionalFormatting sqref="B99:L99">
    <cfRule type="cellIs" dxfId="222" priority="61" operator="equal">
      <formula>0</formula>
    </cfRule>
  </conditionalFormatting>
  <conditionalFormatting sqref="B187:L187">
    <cfRule type="cellIs" dxfId="221" priority="57" operator="equal">
      <formula>0</formula>
    </cfRule>
  </conditionalFormatting>
  <conditionalFormatting sqref="L215">
    <cfRule type="cellIs" dxfId="220" priority="56" operator="equal">
      <formula>0</formula>
    </cfRule>
  </conditionalFormatting>
  <conditionalFormatting sqref="B143:L143">
    <cfRule type="cellIs" dxfId="219" priority="60" operator="equal">
      <formula>0</formula>
    </cfRule>
  </conditionalFormatting>
  <conditionalFormatting sqref="B188:E188 B199:K200 J198:K198 B194:L195 J189:K190 B205:K206 C204:K204 B202:K203 B201:G201 I201:K201 B207:J207 L207 B196:K197 B191:K193 B208:L214 B216:L216 H188:K188 B198:H198">
    <cfRule type="cellIs" dxfId="218" priority="59" operator="equal">
      <formula>0</formula>
    </cfRule>
  </conditionalFormatting>
  <conditionalFormatting sqref="B215:K215">
    <cfRule type="cellIs" dxfId="217" priority="58" operator="equal">
      <formula>0</formula>
    </cfRule>
  </conditionalFormatting>
  <conditionalFormatting sqref="B84:L84 B56:E56 B57:C58 E57:K58 H56:K56 B62:L63 B82:J82 B77:K81 B75:L76 B64:K68 B59:K61 L82 B70:K74 B69:D69 F69:K69">
    <cfRule type="cellIs" dxfId="216" priority="55" operator="equal">
      <formula>0</formula>
    </cfRule>
  </conditionalFormatting>
  <conditionalFormatting sqref="B83:K83">
    <cfRule type="cellIs" dxfId="215" priority="54" operator="equal">
      <formula>0</formula>
    </cfRule>
  </conditionalFormatting>
  <conditionalFormatting sqref="B100:E100 B111:K112 B110:H110 J110:K110 B107:L107 J101:K102 B117:K118 C116:K116 H100:K100 B114:K115 B113:D113 I113:K113 B120:L120 B119:J119 L119 B126:J126 B121:K125 B108:K109 B103:K105 L126 B106:J106 L106 B128:L128 F113:G113">
    <cfRule type="cellIs" dxfId="214" priority="53" operator="equal">
      <formula>0</formula>
    </cfRule>
  </conditionalFormatting>
  <conditionalFormatting sqref="B127:K127">
    <cfRule type="cellIs" dxfId="213" priority="52" operator="equal">
      <formula>0</formula>
    </cfRule>
  </conditionalFormatting>
  <conditionalFormatting sqref="B144:F144 B155:K156 B154:H154 J154:K154 B150:L151 J145:K146 B161:K162 C160:K160 H144:K144 B158:K159 B157:D157 I157:K157 B164:L164 B163:J163 L163 B170:J170 B165:K169 B152:K153 B147:K149 L170 B172:L172 F157:G157">
    <cfRule type="cellIs" dxfId="212" priority="51" operator="equal">
      <formula>0</formula>
    </cfRule>
  </conditionalFormatting>
  <conditionalFormatting sqref="B171:K171">
    <cfRule type="cellIs" dxfId="211" priority="50" operator="equal">
      <formula>0</formula>
    </cfRule>
  </conditionalFormatting>
  <conditionalFormatting sqref="I110">
    <cfRule type="cellIs" dxfId="210" priority="49" operator="equal">
      <formula>0</formula>
    </cfRule>
  </conditionalFormatting>
  <conditionalFormatting sqref="I154">
    <cfRule type="cellIs" dxfId="209" priority="48" operator="equal">
      <formula>0</formula>
    </cfRule>
  </conditionalFormatting>
  <conditionalFormatting sqref="I198">
    <cfRule type="cellIs" dxfId="208" priority="47" operator="equal">
      <formula>0</formula>
    </cfRule>
  </conditionalFormatting>
  <conditionalFormatting sqref="I101:I102">
    <cfRule type="cellIs" dxfId="207" priority="46" operator="equal">
      <formula>0</formula>
    </cfRule>
  </conditionalFormatting>
  <conditionalFormatting sqref="I145:I146">
    <cfRule type="cellIs" dxfId="206" priority="45" operator="equal">
      <formula>0</formula>
    </cfRule>
  </conditionalFormatting>
  <conditionalFormatting sqref="I189:I190">
    <cfRule type="cellIs" dxfId="205" priority="44" operator="equal">
      <formula>0</formula>
    </cfRule>
  </conditionalFormatting>
  <conditionalFormatting sqref="B101:C102 E101:H102">
    <cfRule type="cellIs" dxfId="204" priority="43" operator="equal">
      <formula>0</formula>
    </cfRule>
  </conditionalFormatting>
  <conditionalFormatting sqref="B145:C146 E145:H146">
    <cfRule type="cellIs" dxfId="203" priority="42" operator="equal">
      <formula>0</formula>
    </cfRule>
  </conditionalFormatting>
  <conditionalFormatting sqref="B189:C190 E189:H190">
    <cfRule type="cellIs" dxfId="202" priority="41" operator="equal">
      <formula>0</formula>
    </cfRule>
  </conditionalFormatting>
  <conditionalFormatting sqref="D57:D58">
    <cfRule type="cellIs" dxfId="201" priority="40" operator="equal">
      <formula>0</formula>
    </cfRule>
  </conditionalFormatting>
  <conditionalFormatting sqref="D101:D102">
    <cfRule type="cellIs" dxfId="200" priority="39" operator="equal">
      <formula>0</formula>
    </cfRule>
  </conditionalFormatting>
  <conditionalFormatting sqref="D145:D146">
    <cfRule type="cellIs" dxfId="199" priority="38" operator="equal">
      <formula>0</formula>
    </cfRule>
  </conditionalFormatting>
  <conditionalFormatting sqref="D189:D190">
    <cfRule type="cellIs" dxfId="198" priority="37" operator="equal">
      <formula>0</formula>
    </cfRule>
  </conditionalFormatting>
  <conditionalFormatting sqref="B116">
    <cfRule type="cellIs" dxfId="197" priority="36" operator="equal">
      <formula>0</formula>
    </cfRule>
  </conditionalFormatting>
  <conditionalFormatting sqref="B160">
    <cfRule type="cellIs" dxfId="196" priority="35" operator="equal">
      <formula>0</formula>
    </cfRule>
  </conditionalFormatting>
  <conditionalFormatting sqref="B204">
    <cfRule type="cellIs" dxfId="195" priority="34" operator="equal">
      <formula>0</formula>
    </cfRule>
  </conditionalFormatting>
  <conditionalFormatting sqref="F100">
    <cfRule type="cellIs" dxfId="194" priority="33" operator="equal">
      <formula>0</formula>
    </cfRule>
  </conditionalFormatting>
  <conditionalFormatting sqref="F56:G56">
    <cfRule type="cellIs" dxfId="193" priority="32" operator="equal">
      <formula>0</formula>
    </cfRule>
  </conditionalFormatting>
  <conditionalFormatting sqref="G100">
    <cfRule type="cellIs" dxfId="192" priority="31" operator="equal">
      <formula>0</formula>
    </cfRule>
  </conditionalFormatting>
  <conditionalFormatting sqref="G144">
    <cfRule type="cellIs" dxfId="191" priority="30" operator="equal">
      <formula>0</formula>
    </cfRule>
  </conditionalFormatting>
  <conditionalFormatting sqref="H113">
    <cfRule type="cellIs" dxfId="190" priority="29" operator="equal">
      <formula>0</formula>
    </cfRule>
  </conditionalFormatting>
  <conditionalFormatting sqref="H157">
    <cfRule type="cellIs" dxfId="189" priority="28" operator="equal">
      <formula>0</formula>
    </cfRule>
  </conditionalFormatting>
  <conditionalFormatting sqref="H201">
    <cfRule type="cellIs" dxfId="188" priority="27" operator="equal">
      <formula>0</formula>
    </cfRule>
  </conditionalFormatting>
  <conditionalFormatting sqref="K119">
    <cfRule type="cellIs" dxfId="187" priority="26" operator="equal">
      <formula>0</formula>
    </cfRule>
  </conditionalFormatting>
  <conditionalFormatting sqref="K163">
    <cfRule type="cellIs" dxfId="186" priority="25" operator="equal">
      <formula>0</formula>
    </cfRule>
  </conditionalFormatting>
  <conditionalFormatting sqref="K207">
    <cfRule type="cellIs" dxfId="185" priority="24" operator="equal">
      <formula>0</formula>
    </cfRule>
  </conditionalFormatting>
  <conditionalFormatting sqref="L196:L206">
    <cfRule type="cellIs" dxfId="184" priority="23" operator="equal">
      <formula>0</formula>
    </cfRule>
  </conditionalFormatting>
  <conditionalFormatting sqref="L188:L193">
    <cfRule type="cellIs" dxfId="183" priority="22" operator="equal">
      <formula>0</formula>
    </cfRule>
  </conditionalFormatting>
  <conditionalFormatting sqref="L165:L169">
    <cfRule type="cellIs" dxfId="182" priority="21" operator="equal">
      <formula>0</formula>
    </cfRule>
  </conditionalFormatting>
  <conditionalFormatting sqref="L171">
    <cfRule type="cellIs" dxfId="181" priority="20" operator="equal">
      <formula>0</formula>
    </cfRule>
  </conditionalFormatting>
  <conditionalFormatting sqref="L152:L162">
    <cfRule type="cellIs" dxfId="180" priority="19" operator="equal">
      <formula>0</formula>
    </cfRule>
  </conditionalFormatting>
  <conditionalFormatting sqref="L144:L149">
    <cfRule type="cellIs" dxfId="179" priority="18" operator="equal">
      <formula>0</formula>
    </cfRule>
  </conditionalFormatting>
  <conditionalFormatting sqref="L121:L125">
    <cfRule type="cellIs" dxfId="178" priority="17" operator="equal">
      <formula>0</formula>
    </cfRule>
  </conditionalFormatting>
  <conditionalFormatting sqref="L108:L118">
    <cfRule type="cellIs" dxfId="177" priority="16" operator="equal">
      <formula>0</formula>
    </cfRule>
  </conditionalFormatting>
  <conditionalFormatting sqref="L100:L105">
    <cfRule type="cellIs" dxfId="176" priority="15" operator="equal">
      <formula>0</formula>
    </cfRule>
  </conditionalFormatting>
  <conditionalFormatting sqref="L77:L81">
    <cfRule type="cellIs" dxfId="175" priority="14" operator="equal">
      <formula>0</formula>
    </cfRule>
  </conditionalFormatting>
  <conditionalFormatting sqref="L83">
    <cfRule type="cellIs" dxfId="174" priority="13" operator="equal">
      <formula>0</formula>
    </cfRule>
  </conditionalFormatting>
  <conditionalFormatting sqref="L64:L74">
    <cfRule type="cellIs" dxfId="173" priority="12" operator="equal">
      <formula>0</formula>
    </cfRule>
  </conditionalFormatting>
  <conditionalFormatting sqref="L56:L61">
    <cfRule type="cellIs" dxfId="172" priority="11" operator="equal">
      <formula>0</formula>
    </cfRule>
  </conditionalFormatting>
  <conditionalFormatting sqref="K170">
    <cfRule type="cellIs" dxfId="171" priority="10" operator="equal">
      <formula>0</formula>
    </cfRule>
  </conditionalFormatting>
  <conditionalFormatting sqref="K126">
    <cfRule type="cellIs" dxfId="170" priority="9" operator="equal">
      <formula>0</formula>
    </cfRule>
  </conditionalFormatting>
  <conditionalFormatting sqref="K106">
    <cfRule type="cellIs" dxfId="169" priority="8" operator="equal">
      <formula>0</formula>
    </cfRule>
  </conditionalFormatting>
  <conditionalFormatting sqref="K82">
    <cfRule type="cellIs" dxfId="168" priority="7" operator="equal">
      <formula>0</formula>
    </cfRule>
  </conditionalFormatting>
  <conditionalFormatting sqref="L127">
    <cfRule type="cellIs" dxfId="167" priority="6" operator="equal">
      <formula>0</formula>
    </cfRule>
  </conditionalFormatting>
  <conditionalFormatting sqref="E157">
    <cfRule type="cellIs" dxfId="166" priority="5" operator="equal">
      <formula>0</formula>
    </cfRule>
  </conditionalFormatting>
  <conditionalFormatting sqref="E113">
    <cfRule type="cellIs" dxfId="165" priority="4" operator="equal">
      <formula>0</formula>
    </cfRule>
  </conditionalFormatting>
  <conditionalFormatting sqref="E69">
    <cfRule type="cellIs" dxfId="164" priority="3" operator="equal">
      <formula>0</formula>
    </cfRule>
  </conditionalFormatting>
  <conditionalFormatting sqref="F188">
    <cfRule type="cellIs" dxfId="163" priority="2" operator="equal">
      <formula>0</formula>
    </cfRule>
  </conditionalFormatting>
  <conditionalFormatting sqref="G188">
    <cfRule type="cellIs" dxfId="162" priority="1" operator="equal">
      <formula>0</formula>
    </cfRule>
  </conditionalFormatting>
  <conditionalFormatting sqref="B40:L40 B12:L38">
    <cfRule type="cellIs" dxfId="161" priority="65" operator="equal">
      <formula>0</formula>
    </cfRule>
  </conditionalFormatting>
  <conditionalFormatting sqref="B39:L39">
    <cfRule type="cellIs" dxfId="160" priority="64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BZ173"/>
  <sheetViews>
    <sheetView topLeftCell="E16" workbookViewId="0"/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300"/>
  </cols>
  <sheetData>
    <row r="1" spans="1:14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4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4" s="77" customFormat="1" ht="15.75">
      <c r="A7" s="91" t="s">
        <v>86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4" s="77" customFormat="1" ht="45">
      <c r="A10" s="83" t="s">
        <v>51</v>
      </c>
      <c r="B10" s="301" t="s">
        <v>42</v>
      </c>
      <c r="C10" s="301" t="s">
        <v>52</v>
      </c>
      <c r="D10" s="301" t="s">
        <v>53</v>
      </c>
      <c r="E10" s="302" t="s">
        <v>54</v>
      </c>
      <c r="F10" s="302" t="s">
        <v>20</v>
      </c>
      <c r="G10" s="302" t="s">
        <v>55</v>
      </c>
      <c r="H10" s="301" t="s">
        <v>56</v>
      </c>
      <c r="I10" s="301" t="s">
        <v>57</v>
      </c>
      <c r="J10" s="301" t="s">
        <v>58</v>
      </c>
      <c r="K10" s="301" t="s">
        <v>31</v>
      </c>
      <c r="L10" s="301" t="s">
        <v>10</v>
      </c>
    </row>
    <row r="11" spans="1:14" s="77" customFormat="1" ht="15.75">
      <c r="A11" s="92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</row>
    <row r="12" spans="1:14" s="77" customFormat="1">
      <c r="A12" s="303" t="s">
        <v>59</v>
      </c>
      <c r="B12" s="94">
        <v>0</v>
      </c>
      <c r="C12" s="94">
        <v>0.8</v>
      </c>
      <c r="D12" s="94">
        <v>0</v>
      </c>
      <c r="E12" s="94">
        <v>0.03</v>
      </c>
      <c r="F12" s="95">
        <v>109.38183514566988</v>
      </c>
      <c r="G12" s="95">
        <v>10.318142734307823</v>
      </c>
      <c r="H12" s="94">
        <v>19.853132642623823</v>
      </c>
      <c r="I12" s="96"/>
      <c r="J12" s="96"/>
      <c r="K12" s="96"/>
      <c r="L12" s="96">
        <v>140.38311052260153</v>
      </c>
    </row>
    <row r="13" spans="1:14" s="77" customFormat="1">
      <c r="A13" s="303" t="s">
        <v>60</v>
      </c>
      <c r="B13" s="94">
        <v>6.0924579523016948</v>
      </c>
      <c r="C13" s="94">
        <v>47.800000000000004</v>
      </c>
      <c r="D13" s="94">
        <v>25.349495228581368</v>
      </c>
      <c r="E13" s="94">
        <v>36.698715601251486</v>
      </c>
      <c r="F13" s="96"/>
      <c r="G13" s="96"/>
      <c r="H13" s="96">
        <v>2.2308964938133506</v>
      </c>
      <c r="I13" s="96">
        <v>0</v>
      </c>
      <c r="J13" s="96"/>
      <c r="K13" s="96"/>
      <c r="L13" s="96">
        <v>118.17156527594788</v>
      </c>
    </row>
    <row r="14" spans="1:14" s="77" customFormat="1">
      <c r="A14" s="303" t="s">
        <v>61</v>
      </c>
      <c r="B14" s="94">
        <v>0</v>
      </c>
      <c r="C14" s="94">
        <v>0</v>
      </c>
      <c r="D14" s="94">
        <v>0</v>
      </c>
      <c r="E14" s="94">
        <v>0</v>
      </c>
      <c r="F14" s="96"/>
      <c r="G14" s="96"/>
      <c r="H14" s="94">
        <v>0</v>
      </c>
      <c r="I14" s="96">
        <v>-4.5928786597159572</v>
      </c>
      <c r="J14" s="96"/>
      <c r="K14" s="96"/>
      <c r="L14" s="96">
        <v>-4.5928786597159572</v>
      </c>
    </row>
    <row r="15" spans="1:14" s="77" customFormat="1">
      <c r="A15" s="303" t="s">
        <v>62</v>
      </c>
      <c r="B15" s="94"/>
      <c r="C15" s="94"/>
      <c r="D15" s="94">
        <v>-1.1000000000000001</v>
      </c>
      <c r="E15" s="94"/>
      <c r="F15" s="96"/>
      <c r="G15" s="96"/>
      <c r="H15" s="96"/>
      <c r="I15" s="96"/>
      <c r="J15" s="96"/>
      <c r="K15" s="96"/>
      <c r="L15" s="96">
        <v>-1.1000000000000001</v>
      </c>
    </row>
    <row r="16" spans="1:14" s="77" customFormat="1">
      <c r="A16" s="303" t="s">
        <v>63</v>
      </c>
      <c r="B16" s="94"/>
      <c r="C16" s="94"/>
      <c r="D16" s="94">
        <v>-6.3128842627624397</v>
      </c>
      <c r="E16" s="94"/>
      <c r="F16" s="96"/>
      <c r="G16" s="96"/>
      <c r="H16" s="96"/>
      <c r="I16" s="96"/>
      <c r="J16" s="96"/>
      <c r="K16" s="96"/>
      <c r="L16" s="96">
        <v>-6.3128842627624397</v>
      </c>
      <c r="N16" s="97"/>
    </row>
    <row r="17" spans="1:14" s="77" customFormat="1">
      <c r="A17" s="303" t="s">
        <v>64</v>
      </c>
      <c r="B17" s="94"/>
      <c r="C17" s="94"/>
      <c r="D17" s="94"/>
      <c r="E17" s="94"/>
      <c r="F17" s="96"/>
      <c r="G17" s="96"/>
      <c r="H17" s="96"/>
      <c r="I17" s="96"/>
      <c r="J17" s="96"/>
      <c r="K17" s="96"/>
      <c r="L17" s="96">
        <v>0</v>
      </c>
    </row>
    <row r="18" spans="1:14" s="77" customFormat="1" ht="15.75">
      <c r="A18" s="304" t="s">
        <v>65</v>
      </c>
      <c r="B18" s="98">
        <v>6.0924579523016948</v>
      </c>
      <c r="C18" s="98">
        <v>48.6</v>
      </c>
      <c r="D18" s="98">
        <v>17.936610965818929</v>
      </c>
      <c r="E18" s="98">
        <v>36.728715601251487</v>
      </c>
      <c r="F18" s="98">
        <v>109.38183514566988</v>
      </c>
      <c r="G18" s="98">
        <v>10.318142734307823</v>
      </c>
      <c r="H18" s="98">
        <v>22.084029136437174</v>
      </c>
      <c r="I18" s="98">
        <v>-4.5928786597159572</v>
      </c>
      <c r="J18" s="98">
        <v>0</v>
      </c>
      <c r="K18" s="98"/>
      <c r="L18" s="98">
        <v>246.548912876071</v>
      </c>
      <c r="N18" s="82"/>
    </row>
    <row r="19" spans="1:14" s="77" customFormat="1" ht="15.75">
      <c r="A19" s="84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1:14" s="77" customFormat="1">
      <c r="A20" s="303" t="s">
        <v>66</v>
      </c>
      <c r="B20" s="94"/>
      <c r="C20" s="94"/>
      <c r="D20" s="94"/>
      <c r="E20" s="94"/>
      <c r="F20" s="96"/>
      <c r="G20" s="96"/>
      <c r="H20" s="96"/>
      <c r="I20" s="96"/>
      <c r="J20" s="96"/>
      <c r="K20" s="96"/>
      <c r="L20" s="96">
        <v>0</v>
      </c>
    </row>
    <row r="21" spans="1:14" s="77" customFormat="1">
      <c r="A21" s="303" t="s">
        <v>67</v>
      </c>
      <c r="B21" s="94"/>
      <c r="C21" s="94"/>
      <c r="D21" s="94"/>
      <c r="E21" s="94"/>
      <c r="F21" s="96"/>
      <c r="G21" s="96"/>
      <c r="H21" s="94"/>
      <c r="I21" s="94"/>
      <c r="J21" s="96"/>
      <c r="K21" s="96"/>
      <c r="L21" s="96">
        <v>0</v>
      </c>
    </row>
    <row r="22" spans="1:14" s="77" customFormat="1">
      <c r="A22" s="303" t="s">
        <v>68</v>
      </c>
      <c r="B22" s="94">
        <v>2.56997984007758</v>
      </c>
      <c r="C22" s="94">
        <v>0</v>
      </c>
      <c r="D22" s="94"/>
      <c r="E22" s="94">
        <v>4.1842754045985986</v>
      </c>
      <c r="F22" s="95">
        <v>109.38183514566988</v>
      </c>
      <c r="G22" s="95">
        <v>10.318142734307823</v>
      </c>
      <c r="H22" s="94">
        <v>2.7631806275096813</v>
      </c>
      <c r="I22" s="94">
        <v>-48.340599999999995</v>
      </c>
      <c r="J22" s="96"/>
      <c r="K22" s="96"/>
      <c r="L22" s="96">
        <v>80.876813752163571</v>
      </c>
    </row>
    <row r="23" spans="1:14" s="77" customFormat="1">
      <c r="A23" s="303" t="s">
        <v>69</v>
      </c>
      <c r="B23" s="94"/>
      <c r="C23" s="94"/>
      <c r="D23" s="94"/>
      <c r="E23" s="94"/>
      <c r="F23" s="96"/>
      <c r="G23" s="96"/>
      <c r="H23" s="94"/>
      <c r="I23" s="94"/>
      <c r="J23" s="96"/>
      <c r="K23" s="96"/>
      <c r="L23" s="96">
        <v>0</v>
      </c>
    </row>
    <row r="24" spans="1:14" s="77" customFormat="1">
      <c r="A24" s="303" t="s">
        <v>70</v>
      </c>
      <c r="B24" s="94">
        <v>0.23610978878389122</v>
      </c>
      <c r="C24" s="94"/>
      <c r="D24" s="94">
        <v>4.4938385611804459E-2</v>
      </c>
      <c r="E24" s="94">
        <v>1.5659570450451636</v>
      </c>
      <c r="F24" s="96"/>
      <c r="G24" s="96"/>
      <c r="H24" s="94">
        <v>2.6132241323505561</v>
      </c>
      <c r="I24" s="94"/>
      <c r="J24" s="96">
        <v>-4.0575435552405965</v>
      </c>
      <c r="K24" s="96"/>
      <c r="L24" s="96">
        <v>0.40268579655081904</v>
      </c>
    </row>
    <row r="25" spans="1:14" s="77" customFormat="1">
      <c r="A25" s="303" t="s">
        <v>71</v>
      </c>
      <c r="B25" s="94"/>
      <c r="C25" s="94"/>
      <c r="D25" s="94"/>
      <c r="E25" s="94">
        <v>-0.74956562451533659</v>
      </c>
      <c r="F25" s="96"/>
      <c r="G25" s="96"/>
      <c r="H25" s="94">
        <v>0.93695703064417069</v>
      </c>
      <c r="I25" s="94"/>
      <c r="J25" s="96"/>
      <c r="K25" s="96"/>
      <c r="L25" s="96">
        <v>0.18739140612883409</v>
      </c>
    </row>
    <row r="26" spans="1:14" s="77" customFormat="1">
      <c r="A26" s="303" t="s">
        <v>72</v>
      </c>
      <c r="B26" s="94"/>
      <c r="C26" s="94">
        <v>48.6</v>
      </c>
      <c r="D26" s="94">
        <v>-46.5</v>
      </c>
      <c r="E26" s="94">
        <v>0.50416821869521233</v>
      </c>
      <c r="F26" s="96"/>
      <c r="G26" s="96"/>
      <c r="H26" s="94"/>
      <c r="I26" s="94"/>
      <c r="J26" s="96"/>
      <c r="K26" s="96"/>
      <c r="L26" s="96">
        <v>2.6041682186952135</v>
      </c>
    </row>
    <row r="27" spans="1:14" s="77" customFormat="1">
      <c r="A27" s="303" t="s">
        <v>73</v>
      </c>
      <c r="B27" s="94"/>
      <c r="C27" s="94"/>
      <c r="D27" s="94"/>
      <c r="E27" s="94"/>
      <c r="F27" s="96"/>
      <c r="G27" s="96"/>
      <c r="H27" s="94"/>
      <c r="I27" s="94">
        <v>0</v>
      </c>
      <c r="J27" s="96"/>
      <c r="K27" s="96">
        <v>0</v>
      </c>
      <c r="L27" s="96">
        <v>0</v>
      </c>
    </row>
    <row r="28" spans="1:14" s="77" customFormat="1">
      <c r="A28" s="303" t="s">
        <v>74</v>
      </c>
      <c r="B28" s="94">
        <v>2.7441420256170312</v>
      </c>
      <c r="C28" s="94"/>
      <c r="D28" s="94"/>
      <c r="E28" s="94"/>
      <c r="F28" s="96"/>
      <c r="G28" s="96"/>
      <c r="H28" s="94"/>
      <c r="I28" s="94"/>
      <c r="J28" s="96"/>
      <c r="K28" s="96"/>
      <c r="L28" s="96">
        <v>2.7441420256170312</v>
      </c>
    </row>
    <row r="29" spans="1:14" s="77" customFormat="1">
      <c r="A29" s="303" t="s">
        <v>75</v>
      </c>
      <c r="B29" s="94">
        <v>0</v>
      </c>
      <c r="C29" s="94"/>
      <c r="D29" s="94">
        <v>1.70001406904591</v>
      </c>
      <c r="E29" s="94">
        <v>1.2420767288044043</v>
      </c>
      <c r="F29" s="96"/>
      <c r="G29" s="96"/>
      <c r="H29" s="94">
        <v>5.1017483519633131E-2</v>
      </c>
      <c r="I29" s="94">
        <v>2.4572470482821185</v>
      </c>
      <c r="J29" s="96"/>
      <c r="K29" s="96"/>
      <c r="L29" s="96">
        <v>5.4503553296520657</v>
      </c>
    </row>
    <row r="30" spans="1:14" s="77" customFormat="1">
      <c r="A30" s="303" t="s">
        <v>76</v>
      </c>
      <c r="B30" s="94"/>
      <c r="C30" s="94"/>
      <c r="D30" s="94"/>
      <c r="E30" s="94">
        <v>0.44732624375977414</v>
      </c>
      <c r="F30" s="96"/>
      <c r="G30" s="96"/>
      <c r="H30" s="94"/>
      <c r="I30" s="94">
        <v>3.1333411601296381</v>
      </c>
      <c r="J30" s="96">
        <v>0.84596568973356112</v>
      </c>
      <c r="K30" s="96"/>
      <c r="L30" s="96">
        <v>4.4266330936229732</v>
      </c>
    </row>
    <row r="31" spans="1:14" s="77" customFormat="1" ht="15.75">
      <c r="A31" s="304" t="s">
        <v>77</v>
      </c>
      <c r="B31" s="98">
        <v>5.5502316544785026</v>
      </c>
      <c r="C31" s="98">
        <v>48.6</v>
      </c>
      <c r="D31" s="98">
        <v>-44.755047545342279</v>
      </c>
      <c r="E31" s="98">
        <v>7.1942380163878168</v>
      </c>
      <c r="F31" s="98">
        <v>109.38183514566988</v>
      </c>
      <c r="G31" s="98">
        <v>10.318142734307823</v>
      </c>
      <c r="H31" s="98">
        <v>6.3643792740240412</v>
      </c>
      <c r="I31" s="98">
        <v>-42.750011791588236</v>
      </c>
      <c r="J31" s="98">
        <v>-3.2115778655070355</v>
      </c>
      <c r="K31" s="98">
        <v>0</v>
      </c>
      <c r="L31" s="98">
        <v>96.692189622430504</v>
      </c>
    </row>
    <row r="32" spans="1:14" s="77" customFormat="1" ht="15.75">
      <c r="A32" s="84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1:17" s="77" customFormat="1" ht="15.75">
      <c r="A33" s="306" t="s">
        <v>78</v>
      </c>
      <c r="B33" s="94">
        <v>0.32210674831575531</v>
      </c>
      <c r="C33" s="96"/>
      <c r="D33" s="94">
        <v>1.9299776400292732</v>
      </c>
      <c r="E33" s="94">
        <v>10.885100099493346</v>
      </c>
      <c r="F33" s="96"/>
      <c r="G33" s="96"/>
      <c r="H33" s="94">
        <v>1.844034937757657</v>
      </c>
      <c r="I33" s="94">
        <v>10.072222086615001</v>
      </c>
      <c r="J33" s="94">
        <v>1.1461133930541632</v>
      </c>
      <c r="K33" s="94"/>
      <c r="L33" s="96">
        <v>26.199554905265195</v>
      </c>
      <c r="M33" s="100"/>
      <c r="Q33" s="100"/>
    </row>
    <row r="34" spans="1:17" s="77" customFormat="1" ht="15.75">
      <c r="A34" s="306" t="s">
        <v>79</v>
      </c>
      <c r="B34" s="96"/>
      <c r="C34" s="96"/>
      <c r="D34" s="94">
        <v>38.438862637881712</v>
      </c>
      <c r="E34" s="94">
        <v>0.17718839974083389</v>
      </c>
      <c r="F34" s="96"/>
      <c r="G34" s="96"/>
      <c r="H34" s="94">
        <v>3.0072968916095459</v>
      </c>
      <c r="I34" s="94">
        <v>1.2661303855523829</v>
      </c>
      <c r="J34" s="94"/>
      <c r="K34" s="94"/>
      <c r="L34" s="96">
        <v>42.889478314784476</v>
      </c>
      <c r="M34" s="100"/>
      <c r="Q34" s="100"/>
    </row>
    <row r="35" spans="1:17" s="77" customFormat="1">
      <c r="A35" s="303" t="s">
        <v>80</v>
      </c>
      <c r="B35" s="94">
        <v>0</v>
      </c>
      <c r="C35" s="96"/>
      <c r="D35" s="94">
        <v>5.666777520480518</v>
      </c>
      <c r="E35" s="94">
        <v>11.041115748636887</v>
      </c>
      <c r="F35" s="96"/>
      <c r="G35" s="96"/>
      <c r="H35" s="94">
        <v>9.2185082939483429</v>
      </c>
      <c r="I35" s="94">
        <v>13.00983683571549</v>
      </c>
      <c r="J35" s="94">
        <v>1.289495245663796</v>
      </c>
      <c r="K35" s="94"/>
      <c r="L35" s="96">
        <v>40.225733644445036</v>
      </c>
      <c r="M35" s="100"/>
      <c r="Q35" s="100"/>
    </row>
    <row r="36" spans="1:17" s="77" customFormat="1">
      <c r="A36" s="303" t="s">
        <v>81</v>
      </c>
      <c r="B36" s="94">
        <v>0</v>
      </c>
      <c r="C36" s="96"/>
      <c r="D36" s="94">
        <v>1.9715966805851073</v>
      </c>
      <c r="E36" s="94">
        <v>6.057342656522982</v>
      </c>
      <c r="F36" s="96"/>
      <c r="G36" s="96"/>
      <c r="H36" s="94">
        <v>1.4770309618520476</v>
      </c>
      <c r="I36" s="94">
        <v>13.031439326384481</v>
      </c>
      <c r="J36" s="94">
        <v>0.76951555573569785</v>
      </c>
      <c r="K36" s="94"/>
      <c r="L36" s="96">
        <v>23.306925181080313</v>
      </c>
      <c r="M36" s="100"/>
      <c r="Q36" s="100"/>
    </row>
    <row r="37" spans="1:17" s="77" customFormat="1">
      <c r="A37" s="303" t="s">
        <v>82</v>
      </c>
      <c r="B37" s="94">
        <v>2.2137192704974398E-3</v>
      </c>
      <c r="C37" s="96"/>
      <c r="D37" s="94">
        <v>3.02362860179693</v>
      </c>
      <c r="E37" s="94">
        <v>0.345557554491078</v>
      </c>
      <c r="F37" s="96"/>
      <c r="G37" s="96"/>
      <c r="H37" s="94">
        <v>0.172778777245539</v>
      </c>
      <c r="I37" s="94">
        <v>0.77750449760492502</v>
      </c>
      <c r="J37" s="94">
        <v>6.4536710533781346E-3</v>
      </c>
      <c r="K37" s="94"/>
      <c r="L37" s="96">
        <v>4.3281368214623477</v>
      </c>
      <c r="M37" s="100"/>
      <c r="Q37" s="100"/>
    </row>
    <row r="38" spans="1:17" s="77" customFormat="1" ht="15.75">
      <c r="A38" s="304" t="s">
        <v>83</v>
      </c>
      <c r="B38" s="98">
        <v>0.32432046758625277</v>
      </c>
      <c r="C38" s="98">
        <v>0</v>
      </c>
      <c r="D38" s="98">
        <v>51.030843080773536</v>
      </c>
      <c r="E38" s="98">
        <v>28.506304458885129</v>
      </c>
      <c r="F38" s="98">
        <v>0</v>
      </c>
      <c r="G38" s="98">
        <v>0</v>
      </c>
      <c r="H38" s="98">
        <v>15.719649862413132</v>
      </c>
      <c r="I38" s="98">
        <v>38.157133131872278</v>
      </c>
      <c r="J38" s="98">
        <v>3.2115778655070355</v>
      </c>
      <c r="K38" s="98">
        <v>0</v>
      </c>
      <c r="L38" s="98">
        <v>136.94982886703738</v>
      </c>
    </row>
    <row r="39" spans="1:17" s="77" customFormat="1">
      <c r="A39" s="303" t="s">
        <v>84</v>
      </c>
      <c r="B39" s="96">
        <v>0.21790583023693955</v>
      </c>
      <c r="C39" s="96"/>
      <c r="D39" s="101">
        <v>11.660815430387672</v>
      </c>
      <c r="E39" s="101">
        <v>1.0281731259785394</v>
      </c>
      <c r="F39" s="96"/>
      <c r="G39" s="96"/>
      <c r="H39" s="96"/>
      <c r="I39" s="96"/>
      <c r="J39" s="96"/>
      <c r="K39" s="96">
        <v>0</v>
      </c>
      <c r="L39" s="96">
        <v>12.906894386603149</v>
      </c>
    </row>
    <row r="40" spans="1:17" s="77" customFormat="1" ht="15.75">
      <c r="A40" s="304" t="s">
        <v>85</v>
      </c>
      <c r="B40" s="98">
        <v>0.54222629782319232</v>
      </c>
      <c r="C40" s="98">
        <v>0</v>
      </c>
      <c r="D40" s="98">
        <v>62.691658511161208</v>
      </c>
      <c r="E40" s="98">
        <v>29.534477584863669</v>
      </c>
      <c r="F40" s="98">
        <v>0</v>
      </c>
      <c r="G40" s="98">
        <v>0</v>
      </c>
      <c r="H40" s="98">
        <v>15.719649862413132</v>
      </c>
      <c r="I40" s="98">
        <v>38.157133131872278</v>
      </c>
      <c r="J40" s="98">
        <v>3.2115778655070355</v>
      </c>
      <c r="K40" s="98"/>
      <c r="L40" s="98">
        <v>149.85672325364052</v>
      </c>
    </row>
    <row r="51" spans="1:12" s="77" customFormat="1" ht="15.75">
      <c r="A51" s="91" t="s">
        <v>87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2" s="77" customFormat="1" ht="45">
      <c r="A54" s="83" t="s">
        <v>51</v>
      </c>
      <c r="B54" s="301" t="s">
        <v>42</v>
      </c>
      <c r="C54" s="301" t="s">
        <v>52</v>
      </c>
      <c r="D54" s="301" t="s">
        <v>53</v>
      </c>
      <c r="E54" s="302" t="s">
        <v>54</v>
      </c>
      <c r="F54" s="302" t="s">
        <v>20</v>
      </c>
      <c r="G54" s="302" t="s">
        <v>55</v>
      </c>
      <c r="H54" s="301" t="s">
        <v>56</v>
      </c>
      <c r="I54" s="301" t="s">
        <v>57</v>
      </c>
      <c r="J54" s="301" t="s">
        <v>58</v>
      </c>
      <c r="K54" s="301" t="s">
        <v>31</v>
      </c>
      <c r="L54" s="301" t="s">
        <v>10</v>
      </c>
    </row>
    <row r="55" spans="1:12" s="77" customFormat="1" ht="15.75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</row>
    <row r="56" spans="1:12" s="77" customFormat="1">
      <c r="A56" s="303" t="s">
        <v>59</v>
      </c>
      <c r="B56" s="94">
        <v>0</v>
      </c>
      <c r="C56" s="94">
        <v>0.7</v>
      </c>
      <c r="D56" s="94">
        <v>0</v>
      </c>
      <c r="E56" s="94">
        <v>0.02</v>
      </c>
      <c r="F56" s="95">
        <v>103.91274338838639</v>
      </c>
      <c r="G56" s="95">
        <v>14.961306964746345</v>
      </c>
      <c r="H56" s="94">
        <v>23.557057880608284</v>
      </c>
      <c r="I56" s="96"/>
      <c r="J56" s="96"/>
      <c r="K56" s="96"/>
      <c r="L56" s="96">
        <v>143.15110823374101</v>
      </c>
    </row>
    <row r="57" spans="1:12" s="77" customFormat="1">
      <c r="A57" s="303" t="s">
        <v>60</v>
      </c>
      <c r="B57" s="94">
        <v>2.6488212454034969</v>
      </c>
      <c r="C57" s="94">
        <v>47.0782111969732</v>
      </c>
      <c r="D57" s="94">
        <v>15.597678413553723</v>
      </c>
      <c r="E57" s="94">
        <v>32.40491197538708</v>
      </c>
      <c r="F57" s="96"/>
      <c r="G57" s="96"/>
      <c r="H57" s="96">
        <v>1.6146683170390475</v>
      </c>
      <c r="I57" s="96">
        <v>0</v>
      </c>
      <c r="J57" s="96"/>
      <c r="K57" s="96"/>
      <c r="L57" s="96">
        <v>99.344291148356547</v>
      </c>
    </row>
    <row r="58" spans="1:12" s="77" customFormat="1">
      <c r="A58" s="303" t="s">
        <v>61</v>
      </c>
      <c r="B58" s="94">
        <v>0</v>
      </c>
      <c r="C58" s="94">
        <v>0</v>
      </c>
      <c r="D58" s="94">
        <v>0</v>
      </c>
      <c r="E58" s="94">
        <v>0</v>
      </c>
      <c r="F58" s="96"/>
      <c r="G58" s="96"/>
      <c r="H58" s="94">
        <v>0</v>
      </c>
      <c r="I58" s="96">
        <v>-6.8529198133149265</v>
      </c>
      <c r="J58" s="96"/>
      <c r="K58" s="96"/>
      <c r="L58" s="96">
        <v>-6.8529198133149265</v>
      </c>
    </row>
    <row r="59" spans="1:12" s="77" customFormat="1">
      <c r="A59" s="303" t="s">
        <v>62</v>
      </c>
      <c r="B59" s="94"/>
      <c r="C59" s="94"/>
      <c r="D59" s="94">
        <v>-1.1000000000000001</v>
      </c>
      <c r="E59" s="94"/>
      <c r="F59" s="96"/>
      <c r="G59" s="96"/>
      <c r="H59" s="94"/>
      <c r="I59" s="96"/>
      <c r="J59" s="96"/>
      <c r="K59" s="96"/>
      <c r="L59" s="96">
        <v>-1.1000000000000001</v>
      </c>
    </row>
    <row r="60" spans="1:12" s="77" customFormat="1">
      <c r="A60" s="303" t="s">
        <v>63</v>
      </c>
      <c r="B60" s="94"/>
      <c r="C60" s="94"/>
      <c r="D60" s="94">
        <v>-6.8007692346473698</v>
      </c>
      <c r="E60" s="94"/>
      <c r="F60" s="96"/>
      <c r="G60" s="96"/>
      <c r="H60" s="96"/>
      <c r="I60" s="96"/>
      <c r="J60" s="96"/>
      <c r="K60" s="96"/>
      <c r="L60" s="96">
        <v>-6.8007692346473698</v>
      </c>
    </row>
    <row r="61" spans="1:12" s="77" customFormat="1">
      <c r="A61" s="303" t="s">
        <v>64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>
        <v>0</v>
      </c>
    </row>
    <row r="62" spans="1:12" s="77" customFormat="1" ht="15.75">
      <c r="A62" s="304" t="s">
        <v>65</v>
      </c>
      <c r="B62" s="98">
        <v>2.6488212454034969</v>
      </c>
      <c r="C62" s="98">
        <v>47.778211196973203</v>
      </c>
      <c r="D62" s="98">
        <v>7.6969091789063535</v>
      </c>
      <c r="E62" s="98">
        <v>32.424911975387083</v>
      </c>
      <c r="F62" s="98">
        <v>103.91274338838639</v>
      </c>
      <c r="G62" s="98">
        <v>14.961306964746345</v>
      </c>
      <c r="H62" s="98">
        <v>25.171726197647331</v>
      </c>
      <c r="I62" s="98">
        <v>-6.8529198133149265</v>
      </c>
      <c r="J62" s="98">
        <v>0</v>
      </c>
      <c r="K62" s="98">
        <v>0</v>
      </c>
      <c r="L62" s="98">
        <v>227.74171033413526</v>
      </c>
    </row>
    <row r="63" spans="1:12" s="77" customFormat="1" ht="15.75">
      <c r="A63" s="84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s="77" customFormat="1">
      <c r="A64" s="303" t="s">
        <v>66</v>
      </c>
      <c r="B64" s="94"/>
      <c r="C64" s="94"/>
      <c r="D64" s="94"/>
      <c r="E64" s="94"/>
      <c r="F64" s="96"/>
      <c r="G64" s="96"/>
      <c r="H64" s="96"/>
      <c r="I64" s="96"/>
      <c r="J64" s="96"/>
      <c r="K64" s="96"/>
      <c r="L64" s="96">
        <v>0</v>
      </c>
    </row>
    <row r="65" spans="1:13" s="77" customFormat="1">
      <c r="A65" s="303" t="s">
        <v>67</v>
      </c>
      <c r="B65" s="94"/>
      <c r="C65" s="94"/>
      <c r="D65" s="94"/>
      <c r="E65" s="94"/>
      <c r="F65" s="96"/>
      <c r="G65" s="96"/>
      <c r="H65" s="94"/>
      <c r="I65" s="94"/>
      <c r="J65" s="96"/>
      <c r="K65" s="96"/>
      <c r="L65" s="96">
        <v>0</v>
      </c>
    </row>
    <row r="66" spans="1:13" s="77" customFormat="1">
      <c r="A66" s="303" t="s">
        <v>68</v>
      </c>
      <c r="B66" s="94">
        <v>0</v>
      </c>
      <c r="C66" s="94">
        <v>0</v>
      </c>
      <c r="D66" s="94"/>
      <c r="E66" s="94">
        <v>4.20632773002602</v>
      </c>
      <c r="F66" s="95">
        <v>103.91274338838639</v>
      </c>
      <c r="G66" s="95">
        <v>14.961306964746345</v>
      </c>
      <c r="H66" s="94">
        <v>2.4180820758374684</v>
      </c>
      <c r="I66" s="94">
        <v>-50.696999999999996</v>
      </c>
      <c r="J66" s="96"/>
      <c r="K66" s="96"/>
      <c r="L66" s="96">
        <v>74.801460158996235</v>
      </c>
    </row>
    <row r="67" spans="1:13" s="77" customFormat="1">
      <c r="A67" s="303" t="s">
        <v>69</v>
      </c>
      <c r="B67" s="94"/>
      <c r="C67" s="94"/>
      <c r="D67" s="94"/>
      <c r="E67" s="94"/>
      <c r="F67" s="96"/>
      <c r="G67" s="96"/>
      <c r="H67" s="94"/>
      <c r="I67" s="94"/>
      <c r="J67" s="96"/>
      <c r="K67" s="96"/>
      <c r="L67" s="96">
        <v>0</v>
      </c>
    </row>
    <row r="68" spans="1:13" s="77" customFormat="1">
      <c r="A68" s="303" t="s">
        <v>70</v>
      </c>
      <c r="B68" s="94">
        <v>5.3419770632032383E-2</v>
      </c>
      <c r="C68" s="94"/>
      <c r="D68" s="94">
        <v>0</v>
      </c>
      <c r="E68" s="94">
        <v>1.2147336798111752</v>
      </c>
      <c r="F68" s="96"/>
      <c r="G68" s="96"/>
      <c r="H68" s="94">
        <v>3.3160878375169278</v>
      </c>
      <c r="I68" s="94"/>
      <c r="J68" s="96">
        <v>-4.5900902111438011</v>
      </c>
      <c r="K68" s="96"/>
      <c r="L68" s="96">
        <v>-5.8489231836658107E-3</v>
      </c>
    </row>
    <row r="69" spans="1:13" s="77" customFormat="1">
      <c r="A69" s="303" t="s">
        <v>71</v>
      </c>
      <c r="B69" s="94"/>
      <c r="C69" s="94"/>
      <c r="D69" s="94"/>
      <c r="E69" s="94">
        <v>-1.7065743144940571</v>
      </c>
      <c r="F69" s="96"/>
      <c r="G69" s="96"/>
      <c r="H69" s="94">
        <v>2.1332178931175712</v>
      </c>
      <c r="I69" s="94"/>
      <c r="J69" s="96"/>
      <c r="K69" s="96"/>
      <c r="L69" s="96">
        <v>0.4266435786235141</v>
      </c>
    </row>
    <row r="70" spans="1:13" s="77" customFormat="1">
      <c r="A70" s="303" t="s">
        <v>72</v>
      </c>
      <c r="B70" s="94"/>
      <c r="C70" s="94">
        <v>47.778211196973203</v>
      </c>
      <c r="D70" s="94">
        <v>-46.473309251920703</v>
      </c>
      <c r="E70" s="94">
        <v>0.42321213691880566</v>
      </c>
      <c r="F70" s="96"/>
      <c r="G70" s="96"/>
      <c r="H70" s="94"/>
      <c r="I70" s="94"/>
      <c r="J70" s="96"/>
      <c r="K70" s="96"/>
      <c r="L70" s="96">
        <v>1.728114081971305</v>
      </c>
    </row>
    <row r="71" spans="1:13" s="77" customFormat="1">
      <c r="A71" s="303" t="s">
        <v>73</v>
      </c>
      <c r="B71" s="94"/>
      <c r="C71" s="94"/>
      <c r="D71" s="94"/>
      <c r="E71" s="94"/>
      <c r="F71" s="96"/>
      <c r="G71" s="96"/>
      <c r="H71" s="94"/>
      <c r="I71" s="94">
        <v>0.53740326741186584</v>
      </c>
      <c r="J71" s="96"/>
      <c r="K71" s="96">
        <v>-0.42992261392949266</v>
      </c>
      <c r="L71" s="96">
        <v>0.10748065348237318</v>
      </c>
    </row>
    <row r="72" spans="1:13" s="77" customFormat="1">
      <c r="A72" s="303" t="s">
        <v>74</v>
      </c>
      <c r="B72" s="94">
        <v>2.4786780164701674</v>
      </c>
      <c r="C72" s="94"/>
      <c r="D72" s="94"/>
      <c r="E72" s="334">
        <v>0</v>
      </c>
      <c r="F72" s="96"/>
      <c r="G72" s="96"/>
      <c r="H72" s="94"/>
      <c r="I72" s="102">
        <v>-3.4393809114359415E-2</v>
      </c>
      <c r="J72" s="96"/>
      <c r="K72" s="107">
        <v>4.2992261392949267E-2</v>
      </c>
      <c r="L72" s="96">
        <v>2.4872764687487572</v>
      </c>
    </row>
    <row r="73" spans="1:13" s="77" customFormat="1">
      <c r="A73" s="303" t="s">
        <v>75</v>
      </c>
      <c r="B73" s="94">
        <v>0</v>
      </c>
      <c r="C73" s="94"/>
      <c r="D73" s="94">
        <v>1.0782</v>
      </c>
      <c r="E73" s="94">
        <v>1.2420767288044043</v>
      </c>
      <c r="F73" s="96"/>
      <c r="G73" s="96"/>
      <c r="H73" s="94">
        <v>5.1017483519633131E-2</v>
      </c>
      <c r="I73" s="94">
        <v>2.3564918314703358</v>
      </c>
      <c r="J73" s="96"/>
      <c r="K73" s="96"/>
      <c r="L73" s="96">
        <v>4.7277860437943726</v>
      </c>
    </row>
    <row r="74" spans="1:13" s="77" customFormat="1">
      <c r="A74" s="303" t="s">
        <v>76</v>
      </c>
      <c r="B74" s="94"/>
      <c r="C74" s="94"/>
      <c r="D74" s="94"/>
      <c r="E74" s="94">
        <v>0.40459209271542057</v>
      </c>
      <c r="F74" s="96"/>
      <c r="G74" s="96"/>
      <c r="H74" s="94"/>
      <c r="I74" s="94">
        <v>3.2860783026088267</v>
      </c>
      <c r="J74" s="96">
        <v>0.95699744896004757</v>
      </c>
      <c r="K74" s="96"/>
      <c r="L74" s="96">
        <v>4.6476678442842951</v>
      </c>
    </row>
    <row r="75" spans="1:13" s="77" customFormat="1" ht="15.75">
      <c r="A75" s="304" t="s">
        <v>77</v>
      </c>
      <c r="B75" s="98">
        <v>2.5320977871021997</v>
      </c>
      <c r="C75" s="98">
        <v>47.778211196973203</v>
      </c>
      <c r="D75" s="98">
        <v>-45.395109251920701</v>
      </c>
      <c r="E75" s="98">
        <v>5.7843680537817681</v>
      </c>
      <c r="F75" s="98">
        <v>103.91274338838639</v>
      </c>
      <c r="G75" s="98">
        <v>14.961306964746345</v>
      </c>
      <c r="H75" s="98">
        <v>7.9184052899916004</v>
      </c>
      <c r="I75" s="98">
        <v>-44.551420407623326</v>
      </c>
      <c r="J75" s="98">
        <v>-3.6330927621837534</v>
      </c>
      <c r="K75" s="98">
        <v>-0.3869303525365434</v>
      </c>
      <c r="L75" s="98">
        <v>88.92057990671718</v>
      </c>
    </row>
    <row r="76" spans="1:13" s="77" customFormat="1" ht="15.75">
      <c r="A76" s="84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1:13" s="77" customFormat="1" ht="15.75">
      <c r="A77" s="306" t="s">
        <v>78</v>
      </c>
      <c r="B77" s="94">
        <v>0</v>
      </c>
      <c r="C77" s="96"/>
      <c r="D77" s="94">
        <v>1.4729206178416236</v>
      </c>
      <c r="E77" s="94">
        <v>10.500396800049039</v>
      </c>
      <c r="F77" s="96"/>
      <c r="G77" s="96"/>
      <c r="H77" s="94">
        <v>2.2533883417615286</v>
      </c>
      <c r="I77" s="94">
        <v>9.9189000147829578</v>
      </c>
      <c r="J77" s="94">
        <v>1.0888044989932395</v>
      </c>
      <c r="K77" s="94"/>
      <c r="L77" s="96">
        <v>25.234410273428388</v>
      </c>
      <c r="M77" s="100"/>
    </row>
    <row r="78" spans="1:13" s="77" customFormat="1" ht="15.75">
      <c r="A78" s="306" t="s">
        <v>79</v>
      </c>
      <c r="B78" s="96"/>
      <c r="C78" s="96"/>
      <c r="D78" s="94">
        <v>33.467243817501647</v>
      </c>
      <c r="E78" s="94">
        <v>0.45902890397400081</v>
      </c>
      <c r="F78" s="96"/>
      <c r="G78" s="96"/>
      <c r="H78" s="94">
        <v>3.0649318006802346</v>
      </c>
      <c r="I78" s="94">
        <v>2.1184928132217893</v>
      </c>
      <c r="J78" s="94"/>
      <c r="K78" s="103">
        <v>0</v>
      </c>
      <c r="L78" s="96">
        <v>39.109697335377675</v>
      </c>
      <c r="M78" s="100"/>
    </row>
    <row r="79" spans="1:13" s="77" customFormat="1">
      <c r="A79" s="303" t="s">
        <v>80</v>
      </c>
      <c r="B79" s="94">
        <v>0</v>
      </c>
      <c r="C79" s="96"/>
      <c r="D79" s="94">
        <v>3.9393678084627735</v>
      </c>
      <c r="E79" s="94">
        <v>9.6715864226456425</v>
      </c>
      <c r="F79" s="96"/>
      <c r="G79" s="96"/>
      <c r="H79" s="94">
        <v>9.5694574161932415</v>
      </c>
      <c r="I79" s="94">
        <v>12.545996400325794</v>
      </c>
      <c r="J79" s="94">
        <v>1.7548492723748692</v>
      </c>
      <c r="K79" s="94"/>
      <c r="L79" s="96">
        <v>37.481257320002321</v>
      </c>
      <c r="M79" s="100"/>
    </row>
    <row r="80" spans="1:13" s="77" customFormat="1">
      <c r="A80" s="303" t="s">
        <v>81</v>
      </c>
      <c r="B80" s="94">
        <v>0</v>
      </c>
      <c r="C80" s="96"/>
      <c r="D80" s="94">
        <v>1.2037428576368416</v>
      </c>
      <c r="E80" s="94">
        <v>4.7420165632308739</v>
      </c>
      <c r="F80" s="96"/>
      <c r="G80" s="96"/>
      <c r="H80" s="94">
        <v>2.1255433490207265</v>
      </c>
      <c r="I80" s="94">
        <v>12.383405198063125</v>
      </c>
      <c r="J80" s="94">
        <v>0.78298531976226649</v>
      </c>
      <c r="K80" s="94"/>
      <c r="L80" s="96">
        <v>21.237693287713832</v>
      </c>
      <c r="M80" s="100"/>
    </row>
    <row r="81" spans="1:13" s="77" customFormat="1">
      <c r="A81" s="303" t="s">
        <v>82</v>
      </c>
      <c r="B81" s="94">
        <v>2.2137192704974398E-3</v>
      </c>
      <c r="C81" s="96"/>
      <c r="D81" s="94">
        <v>2.65</v>
      </c>
      <c r="E81" s="94">
        <v>0.41</v>
      </c>
      <c r="F81" s="96"/>
      <c r="G81" s="96"/>
      <c r="H81" s="94">
        <v>0.24</v>
      </c>
      <c r="I81" s="94">
        <v>0.73170616791472998</v>
      </c>
      <c r="J81" s="94">
        <v>6.4536710533781346E-3</v>
      </c>
      <c r="K81" s="94"/>
      <c r="L81" s="96">
        <v>4.0403735582386053</v>
      </c>
      <c r="M81" s="100"/>
    </row>
    <row r="82" spans="1:13" s="77" customFormat="1" ht="15.75">
      <c r="A82" s="304" t="s">
        <v>83</v>
      </c>
      <c r="B82" s="98">
        <v>2.2137192704974398E-3</v>
      </c>
      <c r="C82" s="98">
        <v>0</v>
      </c>
      <c r="D82" s="98">
        <v>42.733275101442885</v>
      </c>
      <c r="E82" s="98">
        <v>25.783028689899556</v>
      </c>
      <c r="F82" s="98">
        <v>0</v>
      </c>
      <c r="G82" s="98">
        <v>0</v>
      </c>
      <c r="H82" s="98">
        <v>17.253320907655731</v>
      </c>
      <c r="I82" s="98">
        <v>37.698500594308399</v>
      </c>
      <c r="J82" s="98">
        <v>3.6330927621837534</v>
      </c>
      <c r="K82" s="98">
        <v>0</v>
      </c>
      <c r="L82" s="98">
        <v>127.10343177476082</v>
      </c>
    </row>
    <row r="83" spans="1:13" s="77" customFormat="1">
      <c r="A83" s="303" t="s">
        <v>84</v>
      </c>
      <c r="B83" s="96">
        <v>0.11450973903079993</v>
      </c>
      <c r="C83" s="96"/>
      <c r="D83" s="101">
        <v>10.358743329384168</v>
      </c>
      <c r="E83" s="101">
        <v>0.8575152317057565</v>
      </c>
      <c r="F83" s="96"/>
      <c r="G83" s="96"/>
      <c r="H83" s="96"/>
      <c r="I83" s="96"/>
      <c r="J83" s="96"/>
      <c r="K83" s="96">
        <v>0.3869303525365434</v>
      </c>
      <c r="L83" s="96">
        <v>11.717698652657267</v>
      </c>
    </row>
    <row r="84" spans="1:13" s="77" customFormat="1" ht="15.75">
      <c r="A84" s="304" t="s">
        <v>85</v>
      </c>
      <c r="B84" s="98">
        <v>0.11672345830129738</v>
      </c>
      <c r="C84" s="98">
        <v>0</v>
      </c>
      <c r="D84" s="98">
        <v>53.092018430827054</v>
      </c>
      <c r="E84" s="98">
        <v>26.640543921605314</v>
      </c>
      <c r="F84" s="98">
        <v>0</v>
      </c>
      <c r="G84" s="98">
        <v>0</v>
      </c>
      <c r="H84" s="98">
        <v>17.253320907655731</v>
      </c>
      <c r="I84" s="98">
        <v>37.698500594308399</v>
      </c>
      <c r="J84" s="98">
        <v>3.6330927621837534</v>
      </c>
      <c r="K84" s="98">
        <v>0.3869303525365434</v>
      </c>
      <c r="L84" s="98">
        <v>138.8211304274181</v>
      </c>
    </row>
    <row r="95" spans="1:13" s="77" customFormat="1" ht="15.75">
      <c r="A95" s="91" t="s">
        <v>88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2" s="77" customFormat="1" ht="45">
      <c r="A98" s="83" t="s">
        <v>51</v>
      </c>
      <c r="B98" s="301" t="s">
        <v>42</v>
      </c>
      <c r="C98" s="301" t="s">
        <v>52</v>
      </c>
      <c r="D98" s="301" t="s">
        <v>53</v>
      </c>
      <c r="E98" s="302" t="s">
        <v>54</v>
      </c>
      <c r="F98" s="302" t="s">
        <v>20</v>
      </c>
      <c r="G98" s="302" t="s">
        <v>55</v>
      </c>
      <c r="H98" s="301" t="s">
        <v>56</v>
      </c>
      <c r="I98" s="301" t="s">
        <v>57</v>
      </c>
      <c r="J98" s="301" t="s">
        <v>58</v>
      </c>
      <c r="K98" s="301" t="s">
        <v>31</v>
      </c>
      <c r="L98" s="301" t="s">
        <v>10</v>
      </c>
    </row>
    <row r="99" spans="1:12" s="77" customFormat="1" ht="15.75">
      <c r="A99" s="92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</row>
    <row r="100" spans="1:12" s="77" customFormat="1">
      <c r="A100" s="303" t="s">
        <v>59</v>
      </c>
      <c r="B100" s="94">
        <v>0</v>
      </c>
      <c r="C100" s="94">
        <v>0.6</v>
      </c>
      <c r="D100" s="94">
        <v>0</v>
      </c>
      <c r="E100" s="94">
        <v>0.01</v>
      </c>
      <c r="F100" s="95">
        <v>87.505468116535909</v>
      </c>
      <c r="G100" s="95">
        <v>19.604471195184864</v>
      </c>
      <c r="H100" s="94">
        <v>27.652813608001015</v>
      </c>
      <c r="I100" s="96"/>
      <c r="J100" s="96"/>
      <c r="K100" s="96"/>
      <c r="L100" s="96">
        <v>135.37275291972179</v>
      </c>
    </row>
    <row r="101" spans="1:12" s="77" customFormat="1">
      <c r="A101" s="303" t="s">
        <v>60</v>
      </c>
      <c r="B101" s="94">
        <v>2.1426447253399448</v>
      </c>
      <c r="C101" s="94">
        <v>40.135568603962227</v>
      </c>
      <c r="D101" s="94">
        <v>11.603738828489348</v>
      </c>
      <c r="E101" s="94">
        <v>27.110364556531959</v>
      </c>
      <c r="F101" s="96"/>
      <c r="G101" s="96"/>
      <c r="H101" s="96">
        <v>1.1840600232316554</v>
      </c>
      <c r="I101" s="96">
        <v>0</v>
      </c>
      <c r="J101" s="96"/>
      <c r="K101" s="96"/>
      <c r="L101" s="96">
        <v>82.176376737555131</v>
      </c>
    </row>
    <row r="102" spans="1:12" s="77" customFormat="1">
      <c r="A102" s="303" t="s">
        <v>61</v>
      </c>
      <c r="B102" s="104">
        <v>0</v>
      </c>
      <c r="C102" s="104">
        <v>0</v>
      </c>
      <c r="D102" s="94">
        <v>0</v>
      </c>
      <c r="E102" s="104">
        <v>0</v>
      </c>
      <c r="F102" s="96"/>
      <c r="G102" s="96"/>
      <c r="H102" s="104">
        <v>0</v>
      </c>
      <c r="I102" s="96">
        <v>-5.338388011490764</v>
      </c>
      <c r="J102" s="96"/>
      <c r="K102" s="96"/>
      <c r="L102" s="96">
        <v>-5.338388011490764</v>
      </c>
    </row>
    <row r="103" spans="1:12" s="77" customFormat="1">
      <c r="A103" s="303" t="s">
        <v>62</v>
      </c>
      <c r="B103" s="96"/>
      <c r="C103" s="96"/>
      <c r="D103" s="96">
        <v>-1.1000000000000001</v>
      </c>
      <c r="E103" s="96"/>
      <c r="F103" s="96"/>
      <c r="G103" s="96"/>
      <c r="H103" s="96"/>
      <c r="I103" s="96"/>
      <c r="J103" s="96"/>
      <c r="K103" s="96"/>
      <c r="L103" s="96">
        <v>-1.1000000000000001</v>
      </c>
    </row>
    <row r="104" spans="1:12" s="77" customFormat="1">
      <c r="A104" s="303" t="s">
        <v>63</v>
      </c>
      <c r="B104" s="96"/>
      <c r="C104" s="96"/>
      <c r="D104" s="96">
        <v>-7.3263599105945998</v>
      </c>
      <c r="E104" s="96"/>
      <c r="F104" s="96"/>
      <c r="G104" s="96"/>
      <c r="H104" s="96"/>
      <c r="I104" s="96"/>
      <c r="J104" s="96"/>
      <c r="K104" s="96"/>
      <c r="L104" s="96">
        <v>-7.3263599105945998</v>
      </c>
    </row>
    <row r="105" spans="1:12" s="77" customFormat="1">
      <c r="A105" s="303" t="s">
        <v>64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>
        <v>0</v>
      </c>
    </row>
    <row r="106" spans="1:12" s="77" customFormat="1" ht="15.75">
      <c r="A106" s="304" t="s">
        <v>65</v>
      </c>
      <c r="B106" s="105">
        <v>2.1426447253399448</v>
      </c>
      <c r="C106" s="105">
        <v>40.735568603962228</v>
      </c>
      <c r="D106" s="105">
        <v>3.1773789178947487</v>
      </c>
      <c r="E106" s="105">
        <v>27.12036455653196</v>
      </c>
      <c r="F106" s="105">
        <v>87.505468116535909</v>
      </c>
      <c r="G106" s="105">
        <v>19.604471195184864</v>
      </c>
      <c r="H106" s="105">
        <v>28.83687363123267</v>
      </c>
      <c r="I106" s="105">
        <v>-5.338388011490764</v>
      </c>
      <c r="J106" s="105">
        <v>0</v>
      </c>
      <c r="K106" s="105"/>
      <c r="L106" s="105">
        <v>203.78438173519157</v>
      </c>
    </row>
    <row r="107" spans="1:12" s="77" customFormat="1" ht="15.75">
      <c r="A107" s="84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</row>
    <row r="108" spans="1:12" s="77" customFormat="1">
      <c r="A108" s="303" t="s">
        <v>66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>
        <v>0</v>
      </c>
    </row>
    <row r="109" spans="1:12" s="77" customFormat="1">
      <c r="A109" s="303" t="s">
        <v>67</v>
      </c>
      <c r="B109" s="94"/>
      <c r="C109" s="94"/>
      <c r="D109" s="94"/>
      <c r="E109" s="94"/>
      <c r="F109" s="96"/>
      <c r="G109" s="96"/>
      <c r="H109" s="96"/>
      <c r="I109" s="96"/>
      <c r="J109" s="96"/>
      <c r="K109" s="96"/>
      <c r="L109" s="96">
        <v>0</v>
      </c>
    </row>
    <row r="110" spans="1:12" s="77" customFormat="1">
      <c r="A110" s="303" t="s">
        <v>68</v>
      </c>
      <c r="B110" s="94">
        <v>0</v>
      </c>
      <c r="C110" s="94">
        <v>0</v>
      </c>
      <c r="D110" s="94"/>
      <c r="E110" s="94">
        <v>4.0829815025015792</v>
      </c>
      <c r="F110" s="95">
        <v>87.505468116535909</v>
      </c>
      <c r="G110" s="95">
        <v>19.604471195184864</v>
      </c>
      <c r="H110" s="94">
        <v>2.3645743766122096</v>
      </c>
      <c r="I110" s="94">
        <v>-50.266999999999996</v>
      </c>
      <c r="J110" s="96"/>
      <c r="K110" s="96"/>
      <c r="L110" s="96">
        <v>63.290495190834577</v>
      </c>
    </row>
    <row r="111" spans="1:12" s="77" customFormat="1">
      <c r="A111" s="303" t="s">
        <v>69</v>
      </c>
      <c r="B111" s="94"/>
      <c r="C111" s="94"/>
      <c r="D111" s="94"/>
      <c r="E111" s="94"/>
      <c r="F111" s="96"/>
      <c r="G111" s="96"/>
      <c r="H111" s="94"/>
      <c r="I111" s="94"/>
      <c r="J111" s="96"/>
      <c r="K111" s="96"/>
      <c r="L111" s="96">
        <v>0</v>
      </c>
    </row>
    <row r="112" spans="1:12" s="77" customFormat="1">
      <c r="A112" s="303" t="s">
        <v>70</v>
      </c>
      <c r="B112" s="94">
        <v>0</v>
      </c>
      <c r="C112" s="94"/>
      <c r="D112" s="94">
        <v>0</v>
      </c>
      <c r="E112" s="94">
        <v>1.1033714738962501</v>
      </c>
      <c r="F112" s="96"/>
      <c r="G112" s="96"/>
      <c r="H112" s="94">
        <v>3.4223564102833111</v>
      </c>
      <c r="I112" s="94"/>
      <c r="J112" s="96">
        <v>-5.0031456465819746</v>
      </c>
      <c r="K112" s="96"/>
      <c r="L112" s="96">
        <v>-0.47741776240241318</v>
      </c>
    </row>
    <row r="113" spans="1:13" s="77" customFormat="1">
      <c r="A113" s="303" t="s">
        <v>71</v>
      </c>
      <c r="B113" s="94"/>
      <c r="C113" s="94"/>
      <c r="D113" s="94"/>
      <c r="E113" s="94">
        <v>-3.0305707441718415</v>
      </c>
      <c r="F113" s="96"/>
      <c r="G113" s="96"/>
      <c r="H113" s="94">
        <v>3.7882134302148018</v>
      </c>
      <c r="I113" s="94"/>
      <c r="J113" s="96"/>
      <c r="K113" s="96"/>
      <c r="L113" s="96">
        <v>0.75764268604296037</v>
      </c>
    </row>
    <row r="114" spans="1:13" s="77" customFormat="1">
      <c r="A114" s="303" t="s">
        <v>72</v>
      </c>
      <c r="B114" s="94"/>
      <c r="C114" s="94">
        <v>40.735568603962228</v>
      </c>
      <c r="D114" s="94">
        <v>-39.731196478800598</v>
      </c>
      <c r="E114" s="94">
        <v>0.33698049084305848</v>
      </c>
      <c r="F114" s="96"/>
      <c r="G114" s="96"/>
      <c r="H114" s="94"/>
      <c r="I114" s="94"/>
      <c r="J114" s="96"/>
      <c r="K114" s="96"/>
      <c r="L114" s="96">
        <v>1.3413526160046889</v>
      </c>
    </row>
    <row r="115" spans="1:13" s="77" customFormat="1">
      <c r="A115" s="303" t="s">
        <v>73</v>
      </c>
      <c r="B115" s="94"/>
      <c r="C115" s="94"/>
      <c r="D115" s="94"/>
      <c r="E115" s="94"/>
      <c r="F115" s="96"/>
      <c r="G115" s="96"/>
      <c r="H115" s="94"/>
      <c r="I115" s="94">
        <v>2.1496130696474633</v>
      </c>
      <c r="J115" s="96"/>
      <c r="K115" s="96">
        <v>-1.7196904557179706</v>
      </c>
      <c r="L115" s="96">
        <v>0.42992261392949271</v>
      </c>
    </row>
    <row r="116" spans="1:13" s="77" customFormat="1">
      <c r="A116" s="303" t="s">
        <v>74</v>
      </c>
      <c r="B116" s="94">
        <v>2.1404310060694471</v>
      </c>
      <c r="C116" s="94"/>
      <c r="D116" s="94"/>
      <c r="E116" s="102">
        <v>-0.15477214101461736</v>
      </c>
      <c r="F116" s="107"/>
      <c r="G116" s="107"/>
      <c r="H116" s="102"/>
      <c r="I116" s="102">
        <v>-0.2063628546861565</v>
      </c>
      <c r="J116" s="96"/>
      <c r="K116" s="107">
        <v>0.42992261392949271</v>
      </c>
      <c r="L116" s="96">
        <v>2.209218624298166</v>
      </c>
    </row>
    <row r="117" spans="1:13" s="77" customFormat="1">
      <c r="A117" s="303" t="s">
        <v>75</v>
      </c>
      <c r="B117" s="94">
        <v>0</v>
      </c>
      <c r="C117" s="94"/>
      <c r="D117" s="94">
        <v>1.0782</v>
      </c>
      <c r="E117" s="94">
        <v>1.2420767288044043</v>
      </c>
      <c r="F117" s="96"/>
      <c r="G117" s="96"/>
      <c r="H117" s="94">
        <v>5.1017483519633131E-2</v>
      </c>
      <c r="I117" s="94">
        <v>2.3520206362854692</v>
      </c>
      <c r="J117" s="96"/>
      <c r="K117" s="96"/>
      <c r="L117" s="96">
        <v>4.7233148486095065</v>
      </c>
    </row>
    <row r="118" spans="1:13" s="77" customFormat="1">
      <c r="A118" s="303" t="s">
        <v>76</v>
      </c>
      <c r="B118" s="94"/>
      <c r="C118" s="94"/>
      <c r="D118" s="94"/>
      <c r="E118" s="94">
        <v>0.3535258483957765</v>
      </c>
      <c r="F118" s="96"/>
      <c r="G118" s="96"/>
      <c r="H118" s="94"/>
      <c r="I118" s="94">
        <v>3.2582065612805073</v>
      </c>
      <c r="J118" s="96">
        <v>1.0431162352605265</v>
      </c>
      <c r="K118" s="96"/>
      <c r="L118" s="96">
        <v>4.6548486449368109</v>
      </c>
    </row>
    <row r="119" spans="1:13" s="77" customFormat="1" ht="15.75">
      <c r="A119" s="304" t="s">
        <v>77</v>
      </c>
      <c r="B119" s="105">
        <v>2.1404310060694471</v>
      </c>
      <c r="C119" s="105">
        <v>40.735568603962228</v>
      </c>
      <c r="D119" s="105">
        <v>-38.652996478800596</v>
      </c>
      <c r="E119" s="105">
        <v>3.9335931592546101</v>
      </c>
      <c r="F119" s="105">
        <v>87.505468116535909</v>
      </c>
      <c r="G119" s="105">
        <v>19.604471195184864</v>
      </c>
      <c r="H119" s="105">
        <v>9.6261617006299556</v>
      </c>
      <c r="I119" s="105">
        <v>-42.71352258747271</v>
      </c>
      <c r="J119" s="105">
        <v>-3.960029411321448</v>
      </c>
      <c r="K119" s="98">
        <v>-1.2897678417884779</v>
      </c>
      <c r="L119" s="105">
        <v>76.929377462253782</v>
      </c>
    </row>
    <row r="120" spans="1:13" s="77" customFormat="1" ht="15.75">
      <c r="A120" s="84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</row>
    <row r="121" spans="1:13" s="77" customFormat="1" ht="15.75">
      <c r="A121" s="306" t="s">
        <v>78</v>
      </c>
      <c r="B121" s="94">
        <v>0</v>
      </c>
      <c r="C121" s="96"/>
      <c r="D121" s="94">
        <v>0.91047471072988595</v>
      </c>
      <c r="E121" s="94">
        <v>9.2828412206946656</v>
      </c>
      <c r="F121" s="96"/>
      <c r="G121" s="96"/>
      <c r="H121" s="94">
        <v>2.797481014933286</v>
      </c>
      <c r="I121" s="94">
        <v>9.8446264808181319</v>
      </c>
      <c r="J121" s="94">
        <v>1.0065715207299948</v>
      </c>
      <c r="K121" s="94"/>
      <c r="L121" s="96">
        <v>23.841994947905963</v>
      </c>
      <c r="M121" s="100"/>
    </row>
    <row r="122" spans="1:13" s="77" customFormat="1" ht="15.75">
      <c r="A122" s="306" t="s">
        <v>79</v>
      </c>
      <c r="B122" s="96"/>
      <c r="C122" s="96"/>
      <c r="D122" s="94">
        <v>27.751715068457877</v>
      </c>
      <c r="E122" s="94">
        <v>0.93047307809883106</v>
      </c>
      <c r="F122" s="96"/>
      <c r="G122" s="96"/>
      <c r="H122" s="94">
        <v>3.2186817504954033</v>
      </c>
      <c r="I122" s="94">
        <v>3.1579242402183425</v>
      </c>
      <c r="J122" s="94"/>
      <c r="K122" s="103">
        <v>0</v>
      </c>
      <c r="L122" s="108">
        <v>35.058794137270453</v>
      </c>
      <c r="M122" s="100"/>
    </row>
    <row r="123" spans="1:13" s="77" customFormat="1">
      <c r="A123" s="303" t="s">
        <v>80</v>
      </c>
      <c r="B123" s="94">
        <v>0</v>
      </c>
      <c r="C123" s="96"/>
      <c r="D123" s="94">
        <v>1.746497298641001</v>
      </c>
      <c r="E123" s="94">
        <v>8.4644882734430098</v>
      </c>
      <c r="F123" s="96"/>
      <c r="G123" s="96"/>
      <c r="H123" s="94">
        <v>10.300321992032506</v>
      </c>
      <c r="I123" s="94">
        <v>11.885627565252159</v>
      </c>
      <c r="J123" s="94">
        <v>2.1555790280909841</v>
      </c>
      <c r="K123" s="94"/>
      <c r="L123" s="96">
        <v>34.552514157459662</v>
      </c>
      <c r="M123" s="100"/>
    </row>
    <row r="124" spans="1:13" s="77" customFormat="1">
      <c r="A124" s="303" t="s">
        <v>81</v>
      </c>
      <c r="B124" s="94">
        <v>0</v>
      </c>
      <c r="C124" s="96"/>
      <c r="D124" s="94">
        <v>0.60659804706016329</v>
      </c>
      <c r="E124" s="94">
        <v>3.373347366526199</v>
      </c>
      <c r="F124" s="96"/>
      <c r="G124" s="96"/>
      <c r="H124" s="94">
        <v>2.5554110979101758</v>
      </c>
      <c r="I124" s="94">
        <v>11.711297347178387</v>
      </c>
      <c r="J124" s="94">
        <v>0.79142519144709034</v>
      </c>
      <c r="K124" s="94"/>
      <c r="L124" s="96">
        <v>19.038079050122015</v>
      </c>
      <c r="M124" s="100"/>
    </row>
    <row r="125" spans="1:13" s="77" customFormat="1">
      <c r="A125" s="303" t="s">
        <v>82</v>
      </c>
      <c r="B125" s="94">
        <v>2.2137192704974398E-3</v>
      </c>
      <c r="C125" s="96"/>
      <c r="D125" s="94">
        <v>2.28816075231342</v>
      </c>
      <c r="E125" s="94">
        <v>0.47763215046268398</v>
      </c>
      <c r="F125" s="96"/>
      <c r="G125" s="96"/>
      <c r="H125" s="94">
        <v>0.338816075231342</v>
      </c>
      <c r="I125" s="94">
        <v>0.77565894251492096</v>
      </c>
      <c r="J125" s="94">
        <v>6.4536710533781346E-3</v>
      </c>
      <c r="K125" s="94"/>
      <c r="L125" s="96">
        <v>3.8889353108462426</v>
      </c>
      <c r="M125" s="100"/>
    </row>
    <row r="126" spans="1:13" s="77" customFormat="1" ht="15.75">
      <c r="A126" s="304" t="s">
        <v>83</v>
      </c>
      <c r="B126" s="105">
        <v>2.2137192704974398E-3</v>
      </c>
      <c r="C126" s="105">
        <v>0</v>
      </c>
      <c r="D126" s="105">
        <v>33.30344587720235</v>
      </c>
      <c r="E126" s="105">
        <v>22.528782089225395</v>
      </c>
      <c r="F126" s="105">
        <v>0</v>
      </c>
      <c r="G126" s="105">
        <v>0</v>
      </c>
      <c r="H126" s="105">
        <v>19.210711930602717</v>
      </c>
      <c r="I126" s="105">
        <v>37.375134575981946</v>
      </c>
      <c r="J126" s="105">
        <v>3.9600294113214476</v>
      </c>
      <c r="K126" s="98">
        <v>0</v>
      </c>
      <c r="L126" s="105">
        <v>116.38031760360433</v>
      </c>
    </row>
    <row r="127" spans="1:13" s="77" customFormat="1">
      <c r="A127" s="303" t="s">
        <v>84</v>
      </c>
      <c r="B127" s="96">
        <v>0</v>
      </c>
      <c r="C127" s="96"/>
      <c r="D127" s="94">
        <v>8.5269295194929953</v>
      </c>
      <c r="E127" s="94">
        <v>0.65798930805195532</v>
      </c>
      <c r="F127" s="96"/>
      <c r="G127" s="96"/>
      <c r="H127" s="96"/>
      <c r="I127" s="96"/>
      <c r="J127" s="96"/>
      <c r="K127" s="96">
        <v>1.2897678417884779</v>
      </c>
      <c r="L127" s="96">
        <v>10.47468666933343</v>
      </c>
    </row>
    <row r="128" spans="1:13" s="77" customFormat="1" ht="15.75">
      <c r="A128" s="304" t="s">
        <v>85</v>
      </c>
      <c r="B128" s="105">
        <v>2.2137192704974398E-3</v>
      </c>
      <c r="C128" s="105">
        <v>0</v>
      </c>
      <c r="D128" s="105">
        <v>41.830375396695345</v>
      </c>
      <c r="E128" s="105">
        <v>23.186771397277351</v>
      </c>
      <c r="F128" s="105">
        <v>0</v>
      </c>
      <c r="G128" s="105">
        <v>0</v>
      </c>
      <c r="H128" s="105">
        <v>19.210711930602717</v>
      </c>
      <c r="I128" s="105">
        <v>37.375134575981946</v>
      </c>
      <c r="J128" s="105">
        <v>3.9600294113214476</v>
      </c>
      <c r="K128" s="105">
        <v>1.2897678417884779</v>
      </c>
      <c r="L128" s="105">
        <v>126.85500427293775</v>
      </c>
    </row>
    <row r="139" spans="1:14" s="77" customFormat="1" ht="15.75">
      <c r="A139" s="91" t="s">
        <v>89</v>
      </c>
      <c r="B139" s="80"/>
      <c r="C139" s="80"/>
      <c r="D139" s="80"/>
      <c r="E139" s="80"/>
      <c r="F139" s="80"/>
      <c r="G139" s="81"/>
      <c r="H139" s="80"/>
      <c r="I139" s="80"/>
      <c r="J139" s="80"/>
      <c r="K139" s="80"/>
      <c r="L139" s="80"/>
    </row>
    <row r="142" spans="1:14" s="77" customFormat="1" ht="45">
      <c r="A142" s="83" t="s">
        <v>51</v>
      </c>
      <c r="B142" s="301" t="s">
        <v>42</v>
      </c>
      <c r="C142" s="301" t="s">
        <v>52</v>
      </c>
      <c r="D142" s="301" t="s">
        <v>53</v>
      </c>
      <c r="E142" s="302" t="s">
        <v>54</v>
      </c>
      <c r="F142" s="302" t="s">
        <v>20</v>
      </c>
      <c r="G142" s="302" t="s">
        <v>55</v>
      </c>
      <c r="H142" s="301" t="s">
        <v>56</v>
      </c>
      <c r="I142" s="301" t="s">
        <v>57</v>
      </c>
      <c r="J142" s="301" t="s">
        <v>58</v>
      </c>
      <c r="K142" s="301" t="s">
        <v>31</v>
      </c>
      <c r="L142" s="301" t="s">
        <v>10</v>
      </c>
    </row>
    <row r="143" spans="1:14" s="77" customFormat="1" ht="15.75">
      <c r="A143" s="92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N143" s="82"/>
    </row>
    <row r="144" spans="1:14" s="77" customFormat="1">
      <c r="A144" s="303" t="s">
        <v>59</v>
      </c>
      <c r="B144" s="94">
        <v>0</v>
      </c>
      <c r="C144" s="94">
        <v>0</v>
      </c>
      <c r="D144" s="94">
        <v>0</v>
      </c>
      <c r="E144" s="94">
        <v>0</v>
      </c>
      <c r="F144" s="95">
        <v>27.345458786417471</v>
      </c>
      <c r="G144" s="95">
        <v>46.775580395528799</v>
      </c>
      <c r="H144" s="94">
        <v>39.150228110130641</v>
      </c>
      <c r="I144" s="96"/>
      <c r="J144" s="96"/>
      <c r="K144" s="96"/>
      <c r="L144" s="96">
        <v>113.27126729207691</v>
      </c>
    </row>
    <row r="145" spans="1:12" s="77" customFormat="1">
      <c r="A145" s="303" t="s">
        <v>60</v>
      </c>
      <c r="B145" s="94">
        <v>0.74697394369004599</v>
      </c>
      <c r="C145" s="94">
        <v>0</v>
      </c>
      <c r="D145" s="94">
        <v>15.265776616616671</v>
      </c>
      <c r="E145" s="94">
        <v>0</v>
      </c>
      <c r="F145" s="96"/>
      <c r="G145" s="96"/>
      <c r="H145" s="96">
        <v>0</v>
      </c>
      <c r="I145" s="108">
        <v>0</v>
      </c>
      <c r="J145" s="96"/>
      <c r="K145" s="96"/>
      <c r="L145" s="96">
        <v>16.012750560306717</v>
      </c>
    </row>
    <row r="146" spans="1:12" s="77" customFormat="1">
      <c r="A146" s="303" t="s">
        <v>61</v>
      </c>
      <c r="B146" s="94">
        <v>0</v>
      </c>
      <c r="C146" s="94">
        <v>0</v>
      </c>
      <c r="D146" s="94">
        <v>0</v>
      </c>
      <c r="E146" s="94">
        <v>0</v>
      </c>
      <c r="F146" s="96"/>
      <c r="G146" s="96"/>
      <c r="H146" s="94">
        <v>0</v>
      </c>
      <c r="I146" s="96">
        <v>-1.7515441453990022</v>
      </c>
      <c r="J146" s="96"/>
      <c r="K146" s="96"/>
      <c r="L146" s="96">
        <v>-1.7515441453990022</v>
      </c>
    </row>
    <row r="147" spans="1:12" s="77" customFormat="1">
      <c r="A147" s="303" t="s">
        <v>62</v>
      </c>
      <c r="B147" s="94"/>
      <c r="C147" s="94"/>
      <c r="D147" s="94">
        <v>-1.1000000000000001</v>
      </c>
      <c r="E147" s="94"/>
      <c r="F147" s="96"/>
      <c r="G147" s="96"/>
      <c r="H147" s="96"/>
      <c r="I147" s="96"/>
      <c r="J147" s="96"/>
      <c r="K147" s="96"/>
      <c r="L147" s="96">
        <v>-1.1000000000000001</v>
      </c>
    </row>
    <row r="148" spans="1:12" s="77" customFormat="1">
      <c r="A148" s="303" t="s">
        <v>63</v>
      </c>
      <c r="B148" s="94"/>
      <c r="C148" s="94"/>
      <c r="D148" s="94">
        <v>-9.8675445253719403</v>
      </c>
      <c r="E148" s="94"/>
      <c r="F148" s="96"/>
      <c r="G148" s="96"/>
      <c r="H148" s="96"/>
      <c r="I148" s="96"/>
      <c r="J148" s="96"/>
      <c r="K148" s="96"/>
      <c r="L148" s="96">
        <v>-9.8675445253719403</v>
      </c>
    </row>
    <row r="149" spans="1:12" s="77" customFormat="1">
      <c r="A149" s="303" t="s">
        <v>64</v>
      </c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>
        <v>0</v>
      </c>
    </row>
    <row r="150" spans="1:12" s="77" customFormat="1" ht="15.75">
      <c r="A150" s="304" t="s">
        <v>65</v>
      </c>
      <c r="B150" s="98">
        <v>0.74697394369004599</v>
      </c>
      <c r="C150" s="98">
        <v>0</v>
      </c>
      <c r="D150" s="98">
        <v>4.2982320912447314</v>
      </c>
      <c r="E150" s="98">
        <v>0</v>
      </c>
      <c r="F150" s="98">
        <v>27.345458786417471</v>
      </c>
      <c r="G150" s="98">
        <v>46.775580395528799</v>
      </c>
      <c r="H150" s="98">
        <v>39.150228110130641</v>
      </c>
      <c r="I150" s="98">
        <v>-1.7515441453990022</v>
      </c>
      <c r="J150" s="98">
        <v>0</v>
      </c>
      <c r="K150" s="98"/>
      <c r="L150" s="98">
        <v>116.5649291816127</v>
      </c>
    </row>
    <row r="151" spans="1:12" s="77" customFormat="1" ht="15.75">
      <c r="A151" s="84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</row>
    <row r="152" spans="1:12" s="77" customFormat="1">
      <c r="A152" s="303" t="s">
        <v>66</v>
      </c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>
        <v>0</v>
      </c>
    </row>
    <row r="153" spans="1:12" s="77" customFormat="1">
      <c r="A153" s="303" t="s">
        <v>67</v>
      </c>
      <c r="B153" s="94"/>
      <c r="C153" s="94"/>
      <c r="D153" s="94"/>
      <c r="E153" s="94"/>
      <c r="F153" s="96"/>
      <c r="G153" s="96"/>
      <c r="H153" s="94"/>
      <c r="I153" s="94"/>
      <c r="J153" s="96"/>
      <c r="K153" s="96"/>
      <c r="L153" s="96">
        <v>0</v>
      </c>
    </row>
    <row r="154" spans="1:12" s="77" customFormat="1">
      <c r="A154" s="303" t="s">
        <v>68</v>
      </c>
      <c r="B154" s="94">
        <v>0</v>
      </c>
      <c r="C154" s="94">
        <v>0</v>
      </c>
      <c r="D154" s="94"/>
      <c r="E154" s="94">
        <v>2.1496130696474633</v>
      </c>
      <c r="F154" s="94">
        <v>27.345458786417471</v>
      </c>
      <c r="G154" s="94">
        <v>46.775580395528799</v>
      </c>
      <c r="H154" s="94">
        <v>0</v>
      </c>
      <c r="I154" s="94">
        <v>-56.673999999999992</v>
      </c>
      <c r="J154" s="96"/>
      <c r="K154" s="96"/>
      <c r="L154" s="96">
        <v>19.596652251593738</v>
      </c>
    </row>
    <row r="155" spans="1:12" s="77" customFormat="1">
      <c r="A155" s="303" t="s">
        <v>69</v>
      </c>
      <c r="B155" s="94"/>
      <c r="C155" s="94"/>
      <c r="D155" s="94"/>
      <c r="E155" s="94"/>
      <c r="F155" s="96"/>
      <c r="G155" s="96"/>
      <c r="H155" s="94"/>
      <c r="I155" s="94"/>
      <c r="J155" s="96"/>
      <c r="K155" s="96"/>
      <c r="L155" s="96">
        <v>0</v>
      </c>
    </row>
    <row r="156" spans="1:12" s="77" customFormat="1">
      <c r="A156" s="303" t="s">
        <v>70</v>
      </c>
      <c r="B156" s="94">
        <v>0</v>
      </c>
      <c r="C156" s="94"/>
      <c r="D156" s="94">
        <v>0</v>
      </c>
      <c r="E156" s="94">
        <v>0.85449177920296737</v>
      </c>
      <c r="F156" s="96"/>
      <c r="G156" s="96"/>
      <c r="H156" s="94">
        <v>3.403615539978218</v>
      </c>
      <c r="I156" s="94"/>
      <c r="J156" s="96">
        <v>-5.1661619878122789</v>
      </c>
      <c r="K156" s="96"/>
      <c r="L156" s="96">
        <v>-0.90805466863109352</v>
      </c>
    </row>
    <row r="157" spans="1:12" s="77" customFormat="1">
      <c r="A157" s="303" t="s">
        <v>71</v>
      </c>
      <c r="B157" s="94"/>
      <c r="C157" s="94"/>
      <c r="D157" s="94"/>
      <c r="E157" s="94">
        <v>-13.268132354256622</v>
      </c>
      <c r="F157" s="96"/>
      <c r="G157" s="96"/>
      <c r="H157" s="94">
        <v>16.585165442820777</v>
      </c>
      <c r="I157" s="94"/>
      <c r="J157" s="96"/>
      <c r="K157" s="96"/>
      <c r="L157" s="96">
        <v>3.3170330885641555</v>
      </c>
    </row>
    <row r="158" spans="1:12" s="77" customFormat="1">
      <c r="A158" s="303" t="s">
        <v>72</v>
      </c>
      <c r="B158" s="94"/>
      <c r="C158" s="94">
        <v>0</v>
      </c>
      <c r="D158" s="94">
        <v>0</v>
      </c>
      <c r="E158" s="94">
        <v>0</v>
      </c>
      <c r="F158" s="96"/>
      <c r="G158" s="96"/>
      <c r="H158" s="94"/>
      <c r="I158" s="94"/>
      <c r="J158" s="96"/>
      <c r="K158" s="96"/>
      <c r="L158" s="96">
        <v>0</v>
      </c>
    </row>
    <row r="159" spans="1:12" s="77" customFormat="1">
      <c r="A159" s="303" t="s">
        <v>73</v>
      </c>
      <c r="B159" s="94"/>
      <c r="C159" s="94"/>
      <c r="D159" s="94"/>
      <c r="E159" s="94"/>
      <c r="F159" s="96"/>
      <c r="G159" s="96"/>
      <c r="H159" s="94"/>
      <c r="I159" s="94">
        <v>4.2992261392949267</v>
      </c>
      <c r="J159" s="96"/>
      <c r="K159" s="96">
        <v>-3.4393809114359413</v>
      </c>
      <c r="L159" s="96">
        <v>0.85984522785898543</v>
      </c>
    </row>
    <row r="160" spans="1:12" s="77" customFormat="1">
      <c r="A160" s="303" t="s">
        <v>74</v>
      </c>
      <c r="B160" s="94">
        <v>0.74476022441954859</v>
      </c>
      <c r="C160" s="94"/>
      <c r="D160" s="94"/>
      <c r="E160" s="102">
        <v>-0.30954428202923473</v>
      </c>
      <c r="F160" s="96"/>
      <c r="G160" s="96"/>
      <c r="H160" s="94"/>
      <c r="I160" s="94">
        <v>-1.0318142734307825</v>
      </c>
      <c r="J160" s="96"/>
      <c r="K160" s="107">
        <v>1.633705932932072</v>
      </c>
      <c r="L160" s="96">
        <v>1.0371076018916034</v>
      </c>
    </row>
    <row r="161" spans="1:14" s="77" customFormat="1">
      <c r="A161" s="303" t="s">
        <v>75</v>
      </c>
      <c r="B161" s="94">
        <v>0</v>
      </c>
      <c r="C161" s="94"/>
      <c r="D161" s="94">
        <v>0</v>
      </c>
      <c r="E161" s="334">
        <v>0</v>
      </c>
      <c r="F161" s="96"/>
      <c r="G161" s="96"/>
      <c r="H161" s="94">
        <v>5.1017483519633131E-2</v>
      </c>
      <c r="I161" s="94">
        <v>2.3441960447119525</v>
      </c>
      <c r="J161" s="96"/>
      <c r="K161" s="96"/>
      <c r="L161" s="96">
        <v>2.3952135282315856</v>
      </c>
      <c r="N161" s="97"/>
    </row>
    <row r="162" spans="1:14" s="77" customFormat="1">
      <c r="A162" s="303" t="s">
        <v>76</v>
      </c>
      <c r="B162" s="94"/>
      <c r="C162" s="94"/>
      <c r="D162" s="94"/>
      <c r="E162" s="94">
        <v>0.15893900909970565</v>
      </c>
      <c r="F162" s="96"/>
      <c r="G162" s="96"/>
      <c r="H162" s="94"/>
      <c r="I162" s="94">
        <v>3.6734955070724626</v>
      </c>
      <c r="J162" s="96">
        <v>1.077103851085037</v>
      </c>
      <c r="K162" s="96"/>
      <c r="L162" s="96">
        <v>4.9095383672572055</v>
      </c>
    </row>
    <row r="163" spans="1:14" s="77" customFormat="1" ht="15.75">
      <c r="A163" s="304" t="s">
        <v>77</v>
      </c>
      <c r="B163" s="98">
        <v>0.74476022441954859</v>
      </c>
      <c r="C163" s="98">
        <v>0</v>
      </c>
      <c r="D163" s="98">
        <v>0</v>
      </c>
      <c r="E163" s="98">
        <v>-10.414632778335719</v>
      </c>
      <c r="F163" s="98">
        <v>27.345458786417471</v>
      </c>
      <c r="G163" s="98">
        <v>46.775580395528799</v>
      </c>
      <c r="H163" s="98">
        <v>20.039798466318629</v>
      </c>
      <c r="I163" s="98">
        <v>-47.388896582351435</v>
      </c>
      <c r="J163" s="98">
        <v>-4.0890581367272416</v>
      </c>
      <c r="K163" s="98">
        <v>-1.8056749785038693</v>
      </c>
      <c r="L163" s="98">
        <v>31.20733539676618</v>
      </c>
    </row>
    <row r="164" spans="1:14" s="77" customFormat="1" ht="15.75">
      <c r="A164" s="84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</row>
    <row r="165" spans="1:14" s="77" customFormat="1" ht="15.75">
      <c r="A165" s="306" t="s">
        <v>78</v>
      </c>
      <c r="B165" s="94">
        <v>0</v>
      </c>
      <c r="C165" s="96"/>
      <c r="D165" s="94">
        <v>0</v>
      </c>
      <c r="E165" s="94">
        <v>2.6196131084152277</v>
      </c>
      <c r="F165" s="96"/>
      <c r="G165" s="96"/>
      <c r="H165" s="94">
        <v>2.4941614081810051</v>
      </c>
      <c r="I165" s="94">
        <v>15.692222796920932</v>
      </c>
      <c r="J165" s="94">
        <v>0.41499583184774225</v>
      </c>
      <c r="K165" s="94"/>
      <c r="L165" s="96">
        <v>21.220993145364908</v>
      </c>
      <c r="M165" s="100"/>
    </row>
    <row r="166" spans="1:14" s="77" customFormat="1" ht="15.75">
      <c r="A166" s="306" t="s">
        <v>79</v>
      </c>
      <c r="B166" s="108"/>
      <c r="C166" s="108"/>
      <c r="D166" s="94">
        <v>0.93045123347554903</v>
      </c>
      <c r="E166" s="94">
        <v>3.6028639370370201</v>
      </c>
      <c r="F166" s="96"/>
      <c r="G166" s="96"/>
      <c r="H166" s="94">
        <v>4.2184772740988761</v>
      </c>
      <c r="I166" s="94">
        <v>8.1773954821011205</v>
      </c>
      <c r="J166" s="94"/>
      <c r="K166" s="94">
        <v>8.5984522785898534E-2</v>
      </c>
      <c r="L166" s="96">
        <v>17.015172449498465</v>
      </c>
      <c r="M166" s="100"/>
    </row>
    <row r="167" spans="1:14" s="77" customFormat="1">
      <c r="A167" s="303" t="s">
        <v>80</v>
      </c>
      <c r="B167" s="94">
        <v>0</v>
      </c>
      <c r="C167" s="96"/>
      <c r="D167" s="94">
        <v>0.16812387266585074</v>
      </c>
      <c r="E167" s="94">
        <v>2.6677723755245331</v>
      </c>
      <c r="F167" s="96"/>
      <c r="G167" s="96"/>
      <c r="H167" s="94">
        <v>9.1119423382098859</v>
      </c>
      <c r="I167" s="94">
        <v>11.1263428965709</v>
      </c>
      <c r="J167" s="94">
        <v>2.1285056205612118</v>
      </c>
      <c r="K167" s="94"/>
      <c r="L167" s="96">
        <v>25.202687103532384</v>
      </c>
      <c r="M167" s="100"/>
    </row>
    <row r="168" spans="1:14" s="77" customFormat="1">
      <c r="A168" s="303" t="s">
        <v>81</v>
      </c>
      <c r="B168" s="94">
        <v>0</v>
      </c>
      <c r="C168" s="96"/>
      <c r="D168" s="94">
        <v>4.3808247608083023E-2</v>
      </c>
      <c r="E168" s="94">
        <v>0.54387058176361458</v>
      </c>
      <c r="F168" s="96"/>
      <c r="G168" s="96"/>
      <c r="H168" s="94">
        <v>2.4071612194730982</v>
      </c>
      <c r="I168" s="94">
        <v>9.9325738092989031</v>
      </c>
      <c r="J168" s="94">
        <v>1.5391030132649095</v>
      </c>
      <c r="K168" s="94"/>
      <c r="L168" s="96">
        <v>14.466516871408608</v>
      </c>
      <c r="M168" s="100"/>
    </row>
    <row r="169" spans="1:14" s="77" customFormat="1">
      <c r="A169" s="303" t="s">
        <v>82</v>
      </c>
      <c r="B169" s="94">
        <v>2.2137192704974398E-3</v>
      </c>
      <c r="C169" s="96"/>
      <c r="D169" s="94">
        <v>0</v>
      </c>
      <c r="E169" s="94">
        <v>0.69442453716561003</v>
      </c>
      <c r="F169" s="96"/>
      <c r="G169" s="96"/>
      <c r="H169" s="94">
        <v>0.87868740384914412</v>
      </c>
      <c r="I169" s="94">
        <v>0.708817452060579</v>
      </c>
      <c r="J169" s="94">
        <v>6.4536710533781346E-3</v>
      </c>
      <c r="K169" s="94"/>
      <c r="L169" s="96">
        <v>2.2905967833992089</v>
      </c>
      <c r="M169" s="100"/>
    </row>
    <row r="170" spans="1:14" s="77" customFormat="1" ht="15.75">
      <c r="A170" s="304" t="s">
        <v>83</v>
      </c>
      <c r="B170" s="98">
        <v>2.2137192704974398E-3</v>
      </c>
      <c r="C170" s="98">
        <v>0</v>
      </c>
      <c r="D170" s="98">
        <v>1.1423833537494827</v>
      </c>
      <c r="E170" s="98">
        <v>10.128544539906006</v>
      </c>
      <c r="F170" s="98">
        <v>0</v>
      </c>
      <c r="G170" s="98">
        <v>0</v>
      </c>
      <c r="H170" s="98">
        <v>19.110429643812012</v>
      </c>
      <c r="I170" s="98">
        <v>45.637352436952433</v>
      </c>
      <c r="J170" s="98">
        <v>4.0890581367272416</v>
      </c>
      <c r="K170" s="98">
        <v>8.5984522785898534E-2</v>
      </c>
      <c r="L170" s="98">
        <v>80.195966353203573</v>
      </c>
    </row>
    <row r="171" spans="1:14" s="77" customFormat="1">
      <c r="A171" s="303" t="s">
        <v>84</v>
      </c>
      <c r="B171" s="96">
        <v>0</v>
      </c>
      <c r="C171" s="96"/>
      <c r="D171" s="101">
        <v>3.1558487374952491</v>
      </c>
      <c r="E171" s="101">
        <v>0.28608823842971293</v>
      </c>
      <c r="F171" s="96"/>
      <c r="G171" s="96"/>
      <c r="H171" s="96"/>
      <c r="I171" s="96"/>
      <c r="J171" s="96"/>
      <c r="K171" s="96">
        <v>1.7196904557179706</v>
      </c>
      <c r="L171" s="96">
        <v>5.1616274316429323</v>
      </c>
    </row>
    <row r="172" spans="1:14" s="77" customFormat="1" ht="15.75">
      <c r="A172" s="304" t="s">
        <v>85</v>
      </c>
      <c r="B172" s="98">
        <v>2.2137192704974398E-3</v>
      </c>
      <c r="C172" s="98">
        <v>0</v>
      </c>
      <c r="D172" s="98">
        <v>4.2982320912447314</v>
      </c>
      <c r="E172" s="98">
        <v>10.414632778335719</v>
      </c>
      <c r="F172" s="98">
        <v>0</v>
      </c>
      <c r="G172" s="98">
        <v>0</v>
      </c>
      <c r="H172" s="98">
        <v>19.110429643812012</v>
      </c>
      <c r="I172" s="98">
        <v>45.637352436952433</v>
      </c>
      <c r="J172" s="98">
        <v>4.0890581367272416</v>
      </c>
      <c r="K172" s="98">
        <v>1.8056749785038693</v>
      </c>
      <c r="L172" s="98">
        <v>85.3575937848465</v>
      </c>
    </row>
    <row r="173" spans="1:14" s="77" customFormat="1">
      <c r="I173" s="77">
        <f>(I172+I162+I161+I159)*11.63</f>
        <v>650.74816158900944</v>
      </c>
    </row>
  </sheetData>
  <conditionalFormatting sqref="B143:L143">
    <cfRule type="cellIs" dxfId="159" priority="57" operator="equal">
      <formula>0</formula>
    </cfRule>
  </conditionalFormatting>
  <conditionalFormatting sqref="L171">
    <cfRule type="cellIs" dxfId="158" priority="56" operator="equal">
      <formula>0</formula>
    </cfRule>
  </conditionalFormatting>
  <conditionalFormatting sqref="B99:L99">
    <cfRule type="cellIs" dxfId="157" priority="60" operator="equal">
      <formula>0</formula>
    </cfRule>
  </conditionalFormatting>
  <conditionalFormatting sqref="B144:E144 B155:K156 J154:K154 B150:L151 J145:K146 B161:K162 C160:K160 B158:K159 B157:G157 I157:K157 B163:J163 L163 B152:K153 B147:K149 B164:L170 B172:L172 H144:K144 B154:H154">
    <cfRule type="cellIs" dxfId="156" priority="59" operator="equal">
      <formula>0</formula>
    </cfRule>
  </conditionalFormatting>
  <conditionalFormatting sqref="B171:K171">
    <cfRule type="cellIs" dxfId="155" priority="58" operator="equal">
      <formula>0</formula>
    </cfRule>
  </conditionalFormatting>
  <conditionalFormatting sqref="B40:L40 B12:E12 B13:C14 E13:K14 H12:K12 B18:L19 B38:J38 B33:K37 B31:L32 B20:K24 B15:K17 L38 B26:K30 B25:D25 F25:K25">
    <cfRule type="cellIs" dxfId="154" priority="55" operator="equal">
      <formula>0</formula>
    </cfRule>
  </conditionalFormatting>
  <conditionalFormatting sqref="B39:K39">
    <cfRule type="cellIs" dxfId="153" priority="54" operator="equal">
      <formula>0</formula>
    </cfRule>
  </conditionalFormatting>
  <conditionalFormatting sqref="B56:E56 B67:K68 B66:H66 J66:K66 B63:L63 J57:K58 B73:K74 C72:K72 H56:K56 B70:K71 B69:D69 I69:K69 B76:L76 B75:J75 L75 B82:J82 B77:K81 B64:K65 B59:K61 L82 B62:J62 L62 B84:L84 F69:G69">
    <cfRule type="cellIs" dxfId="152" priority="53" operator="equal">
      <formula>0</formula>
    </cfRule>
  </conditionalFormatting>
  <conditionalFormatting sqref="B83:K83">
    <cfRule type="cellIs" dxfId="151" priority="52" operator="equal">
      <formula>0</formula>
    </cfRule>
  </conditionalFormatting>
  <conditionalFormatting sqref="B100:F100 B111:K112 B110:H110 J110:K110 B106:L107 J101:K102 B117:K118 C116:K116 H100:K100 B114:K115 B113:D113 I113:K113 B120:L120 B119:J119 L119 B126:J126 B121:K125 B108:K109 B103:K105 L126 B128:L128 F113:G113">
    <cfRule type="cellIs" dxfId="150" priority="51" operator="equal">
      <formula>0</formula>
    </cfRule>
  </conditionalFormatting>
  <conditionalFormatting sqref="B127:K127">
    <cfRule type="cellIs" dxfId="149" priority="50" operator="equal">
      <formula>0</formula>
    </cfRule>
  </conditionalFormatting>
  <conditionalFormatting sqref="I66">
    <cfRule type="cellIs" dxfId="148" priority="49" operator="equal">
      <formula>0</formula>
    </cfRule>
  </conditionalFormatting>
  <conditionalFormatting sqref="I110">
    <cfRule type="cellIs" dxfId="147" priority="48" operator="equal">
      <formula>0</formula>
    </cfRule>
  </conditionalFormatting>
  <conditionalFormatting sqref="I154">
    <cfRule type="cellIs" dxfId="146" priority="47" operator="equal">
      <formula>0</formula>
    </cfRule>
  </conditionalFormatting>
  <conditionalFormatting sqref="I57:I58">
    <cfRule type="cellIs" dxfId="145" priority="46" operator="equal">
      <formula>0</formula>
    </cfRule>
  </conditionalFormatting>
  <conditionalFormatting sqref="I101:I102">
    <cfRule type="cellIs" dxfId="144" priority="45" operator="equal">
      <formula>0</formula>
    </cfRule>
  </conditionalFormatting>
  <conditionalFormatting sqref="I145:I146">
    <cfRule type="cellIs" dxfId="143" priority="44" operator="equal">
      <formula>0</formula>
    </cfRule>
  </conditionalFormatting>
  <conditionalFormatting sqref="B57:C58 E57:H58">
    <cfRule type="cellIs" dxfId="142" priority="43" operator="equal">
      <formula>0</formula>
    </cfRule>
  </conditionalFormatting>
  <conditionalFormatting sqref="B101:C102 E101:H102">
    <cfRule type="cellIs" dxfId="141" priority="42" operator="equal">
      <formula>0</formula>
    </cfRule>
  </conditionalFormatting>
  <conditionalFormatting sqref="B145:C146 E145:H146">
    <cfRule type="cellIs" dxfId="140" priority="41" operator="equal">
      <formula>0</formula>
    </cfRule>
  </conditionalFormatting>
  <conditionalFormatting sqref="D13:D14">
    <cfRule type="cellIs" dxfId="139" priority="40" operator="equal">
      <formula>0</formula>
    </cfRule>
  </conditionalFormatting>
  <conditionalFormatting sqref="D57:D58">
    <cfRule type="cellIs" dxfId="138" priority="39" operator="equal">
      <formula>0</formula>
    </cfRule>
  </conditionalFormatting>
  <conditionalFormatting sqref="D101:D102">
    <cfRule type="cellIs" dxfId="137" priority="38" operator="equal">
      <formula>0</formula>
    </cfRule>
  </conditionalFormatting>
  <conditionalFormatting sqref="D145:D146">
    <cfRule type="cellIs" dxfId="136" priority="37" operator="equal">
      <formula>0</formula>
    </cfRule>
  </conditionalFormatting>
  <conditionalFormatting sqref="B72">
    <cfRule type="cellIs" dxfId="135" priority="36" operator="equal">
      <formula>0</formula>
    </cfRule>
  </conditionalFormatting>
  <conditionalFormatting sqref="B116">
    <cfRule type="cellIs" dxfId="134" priority="35" operator="equal">
      <formula>0</formula>
    </cfRule>
  </conditionalFormatting>
  <conditionalFormatting sqref="B160">
    <cfRule type="cellIs" dxfId="133" priority="34" operator="equal">
      <formula>0</formula>
    </cfRule>
  </conditionalFormatting>
  <conditionalFormatting sqref="F56">
    <cfRule type="cellIs" dxfId="132" priority="33" operator="equal">
      <formula>0</formula>
    </cfRule>
  </conditionalFormatting>
  <conditionalFormatting sqref="F12:G12">
    <cfRule type="cellIs" dxfId="131" priority="32" operator="equal">
      <formula>0</formula>
    </cfRule>
  </conditionalFormatting>
  <conditionalFormatting sqref="G56">
    <cfRule type="cellIs" dxfId="130" priority="31" operator="equal">
      <formula>0</formula>
    </cfRule>
  </conditionalFormatting>
  <conditionalFormatting sqref="G100">
    <cfRule type="cellIs" dxfId="129" priority="30" operator="equal">
      <formula>0</formula>
    </cfRule>
  </conditionalFormatting>
  <conditionalFormatting sqref="H69">
    <cfRule type="cellIs" dxfId="128" priority="29" operator="equal">
      <formula>0</formula>
    </cfRule>
  </conditionalFormatting>
  <conditionalFormatting sqref="H113">
    <cfRule type="cellIs" dxfId="127" priority="28" operator="equal">
      <formula>0</formula>
    </cfRule>
  </conditionalFormatting>
  <conditionalFormatting sqref="H157">
    <cfRule type="cellIs" dxfId="126" priority="27" operator="equal">
      <formula>0</formula>
    </cfRule>
  </conditionalFormatting>
  <conditionalFormatting sqref="K75">
    <cfRule type="cellIs" dxfId="125" priority="26" operator="equal">
      <formula>0</formula>
    </cfRule>
  </conditionalFormatting>
  <conditionalFormatting sqref="K119">
    <cfRule type="cellIs" dxfId="124" priority="25" operator="equal">
      <formula>0</formula>
    </cfRule>
  </conditionalFormatting>
  <conditionalFormatting sqref="K163">
    <cfRule type="cellIs" dxfId="123" priority="24" operator="equal">
      <formula>0</formula>
    </cfRule>
  </conditionalFormatting>
  <conditionalFormatting sqref="L152:L162">
    <cfRule type="cellIs" dxfId="122" priority="23" operator="equal">
      <formula>0</formula>
    </cfRule>
  </conditionalFormatting>
  <conditionalFormatting sqref="L144:L149">
    <cfRule type="cellIs" dxfId="121" priority="22" operator="equal">
      <formula>0</formula>
    </cfRule>
  </conditionalFormatting>
  <conditionalFormatting sqref="L121:L125">
    <cfRule type="cellIs" dxfId="120" priority="21" operator="equal">
      <formula>0</formula>
    </cfRule>
  </conditionalFormatting>
  <conditionalFormatting sqref="L127">
    <cfRule type="cellIs" dxfId="119" priority="20" operator="equal">
      <formula>0</formula>
    </cfRule>
  </conditionalFormatting>
  <conditionalFormatting sqref="L108:L118">
    <cfRule type="cellIs" dxfId="118" priority="19" operator="equal">
      <formula>0</formula>
    </cfRule>
  </conditionalFormatting>
  <conditionalFormatting sqref="L100:L105">
    <cfRule type="cellIs" dxfId="117" priority="18" operator="equal">
      <formula>0</formula>
    </cfRule>
  </conditionalFormatting>
  <conditionalFormatting sqref="L77:L81">
    <cfRule type="cellIs" dxfId="116" priority="17" operator="equal">
      <formula>0</formula>
    </cfRule>
  </conditionalFormatting>
  <conditionalFormatting sqref="L64:L74">
    <cfRule type="cellIs" dxfId="115" priority="16" operator="equal">
      <formula>0</formula>
    </cfRule>
  </conditionalFormatting>
  <conditionalFormatting sqref="L56:L61">
    <cfRule type="cellIs" dxfId="114" priority="15" operator="equal">
      <formula>0</formula>
    </cfRule>
  </conditionalFormatting>
  <conditionalFormatting sqref="L33:L37">
    <cfRule type="cellIs" dxfId="113" priority="14" operator="equal">
      <formula>0</formula>
    </cfRule>
  </conditionalFormatting>
  <conditionalFormatting sqref="L39">
    <cfRule type="cellIs" dxfId="112" priority="13" operator="equal">
      <formula>0</formula>
    </cfRule>
  </conditionalFormatting>
  <conditionalFormatting sqref="L20:L30">
    <cfRule type="cellIs" dxfId="111" priority="12" operator="equal">
      <formula>0</formula>
    </cfRule>
  </conditionalFormatting>
  <conditionalFormatting sqref="L12:L17">
    <cfRule type="cellIs" dxfId="110" priority="11" operator="equal">
      <formula>0</formula>
    </cfRule>
  </conditionalFormatting>
  <conditionalFormatting sqref="K126">
    <cfRule type="cellIs" dxfId="109" priority="10" operator="equal">
      <formula>0</formula>
    </cfRule>
  </conditionalFormatting>
  <conditionalFormatting sqref="K82">
    <cfRule type="cellIs" dxfId="108" priority="9" operator="equal">
      <formula>0</formula>
    </cfRule>
  </conditionalFormatting>
  <conditionalFormatting sqref="K62">
    <cfRule type="cellIs" dxfId="107" priority="8" operator="equal">
      <formula>0</formula>
    </cfRule>
  </conditionalFormatting>
  <conditionalFormatting sqref="K38">
    <cfRule type="cellIs" dxfId="106" priority="7" operator="equal">
      <formula>0</formula>
    </cfRule>
  </conditionalFormatting>
  <conditionalFormatting sqref="L83">
    <cfRule type="cellIs" dxfId="105" priority="6" operator="equal">
      <formula>0</formula>
    </cfRule>
  </conditionalFormatting>
  <conditionalFormatting sqref="E113">
    <cfRule type="cellIs" dxfId="104" priority="5" operator="equal">
      <formula>0</formula>
    </cfRule>
  </conditionalFormatting>
  <conditionalFormatting sqref="E69">
    <cfRule type="cellIs" dxfId="103" priority="4" operator="equal">
      <formula>0</formula>
    </cfRule>
  </conditionalFormatting>
  <conditionalFormatting sqref="E25">
    <cfRule type="cellIs" dxfId="102" priority="3" operator="equal">
      <formula>0</formula>
    </cfRule>
  </conditionalFormatting>
  <conditionalFormatting sqref="F144">
    <cfRule type="cellIs" dxfId="101" priority="2" operator="equal">
      <formula>0</formula>
    </cfRule>
  </conditionalFormatting>
  <conditionalFormatting sqref="G144">
    <cfRule type="cellIs" dxfId="100" priority="1" operator="equal">
      <formula>0</formula>
    </cfRule>
  </conditionalFormatting>
  <conditionalFormatting sqref="B11:L11">
    <cfRule type="cellIs" dxfId="99" priority="62" operator="equal">
      <formula>0</formula>
    </cfRule>
  </conditionalFormatting>
  <conditionalFormatting sqref="B55:L55">
    <cfRule type="cellIs" dxfId="98" priority="6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BZ85"/>
  <sheetViews>
    <sheetView topLeftCell="H7" workbookViewId="0">
      <selection activeCell="E22" sqref="E22"/>
    </sheetView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300"/>
  </cols>
  <sheetData>
    <row r="1" spans="1:12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2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2" s="77" customFormat="1" ht="15.75">
      <c r="A7" s="91" t="s">
        <v>88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2" s="77" customFormat="1" ht="45">
      <c r="A10" s="83" t="s">
        <v>51</v>
      </c>
      <c r="B10" s="301" t="s">
        <v>42</v>
      </c>
      <c r="C10" s="301" t="s">
        <v>52</v>
      </c>
      <c r="D10" s="301" t="s">
        <v>53</v>
      </c>
      <c r="E10" s="302" t="s">
        <v>54</v>
      </c>
      <c r="F10" s="302" t="s">
        <v>20</v>
      </c>
      <c r="G10" s="302" t="s">
        <v>55</v>
      </c>
      <c r="H10" s="301" t="s">
        <v>56</v>
      </c>
      <c r="I10" s="301" t="s">
        <v>57</v>
      </c>
      <c r="J10" s="301" t="s">
        <v>58</v>
      </c>
      <c r="K10" s="301" t="s">
        <v>31</v>
      </c>
      <c r="L10" s="301" t="s">
        <v>10</v>
      </c>
    </row>
    <row r="11" spans="1:12" s="77" customFormat="1" ht="15.75">
      <c r="A11" s="92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</row>
    <row r="12" spans="1:12" s="77" customFormat="1">
      <c r="A12" s="303" t="s">
        <v>59</v>
      </c>
      <c r="B12" s="94">
        <v>0</v>
      </c>
      <c r="C12" s="94">
        <v>0.6</v>
      </c>
      <c r="D12" s="94">
        <v>0</v>
      </c>
      <c r="E12" s="94">
        <v>0.01</v>
      </c>
      <c r="F12" s="95">
        <v>87.505468116535909</v>
      </c>
      <c r="G12" s="95">
        <v>19.604471195184864</v>
      </c>
      <c r="H12" s="94">
        <v>27.652813608001015</v>
      </c>
      <c r="I12" s="96"/>
      <c r="J12" s="96"/>
      <c r="K12" s="96"/>
      <c r="L12" s="96">
        <v>135.37275291972179</v>
      </c>
    </row>
    <row r="13" spans="1:12" s="77" customFormat="1">
      <c r="A13" s="303" t="s">
        <v>60</v>
      </c>
      <c r="B13" s="94">
        <v>2.1426447253399448</v>
      </c>
      <c r="C13" s="94">
        <v>40.135568603962227</v>
      </c>
      <c r="D13" s="94">
        <v>11.603738828489348</v>
      </c>
      <c r="E13" s="94">
        <v>27.110364556531959</v>
      </c>
      <c r="F13" s="96"/>
      <c r="G13" s="96"/>
      <c r="H13" s="96">
        <v>1.1840600232316554</v>
      </c>
      <c r="I13" s="96">
        <v>0</v>
      </c>
      <c r="J13" s="96"/>
      <c r="K13" s="96"/>
      <c r="L13" s="96">
        <v>82.176376737555131</v>
      </c>
    </row>
    <row r="14" spans="1:12" s="77" customFormat="1">
      <c r="A14" s="303" t="s">
        <v>61</v>
      </c>
      <c r="B14" s="104">
        <v>0</v>
      </c>
      <c r="C14" s="104">
        <v>0</v>
      </c>
      <c r="D14" s="94">
        <v>0</v>
      </c>
      <c r="E14" s="104">
        <v>0</v>
      </c>
      <c r="F14" s="96"/>
      <c r="G14" s="96"/>
      <c r="H14" s="104">
        <v>0</v>
      </c>
      <c r="I14" s="96">
        <v>-5.338388011490764</v>
      </c>
      <c r="J14" s="96"/>
      <c r="K14" s="96"/>
      <c r="L14" s="96">
        <v>-5.338388011490764</v>
      </c>
    </row>
    <row r="15" spans="1:12" s="77" customFormat="1">
      <c r="A15" s="303" t="s">
        <v>62</v>
      </c>
      <c r="B15" s="96"/>
      <c r="C15" s="96"/>
      <c r="D15" s="96">
        <v>-1.1000000000000001</v>
      </c>
      <c r="E15" s="96"/>
      <c r="F15" s="96"/>
      <c r="G15" s="96"/>
      <c r="H15" s="96"/>
      <c r="I15" s="96"/>
      <c r="J15" s="96"/>
      <c r="K15" s="96"/>
      <c r="L15" s="96">
        <v>-1.1000000000000001</v>
      </c>
    </row>
    <row r="16" spans="1:12" s="77" customFormat="1">
      <c r="A16" s="303" t="s">
        <v>63</v>
      </c>
      <c r="B16" s="96"/>
      <c r="C16" s="96"/>
      <c r="D16" s="96">
        <v>-7.3263599105945998</v>
      </c>
      <c r="E16" s="96"/>
      <c r="F16" s="96"/>
      <c r="G16" s="96"/>
      <c r="H16" s="96"/>
      <c r="I16" s="96"/>
      <c r="J16" s="96"/>
      <c r="K16" s="96"/>
      <c r="L16" s="96">
        <v>-7.3263599105945998</v>
      </c>
    </row>
    <row r="17" spans="1:12" s="77" customFormat="1">
      <c r="A17" s="303" t="s">
        <v>64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>
        <v>0</v>
      </c>
    </row>
    <row r="18" spans="1:12" s="77" customFormat="1" ht="15.75">
      <c r="A18" s="304" t="s">
        <v>65</v>
      </c>
      <c r="B18" s="105">
        <v>2.1426447253399448</v>
      </c>
      <c r="C18" s="105">
        <v>40.735568603962228</v>
      </c>
      <c r="D18" s="105">
        <v>3.1773789178947487</v>
      </c>
      <c r="E18" s="105">
        <v>27.12036455653196</v>
      </c>
      <c r="F18" s="105">
        <v>87.505468116535909</v>
      </c>
      <c r="G18" s="105">
        <v>19.604471195184864</v>
      </c>
      <c r="H18" s="105">
        <v>28.83687363123267</v>
      </c>
      <c r="I18" s="105">
        <v>-5.338388011490764</v>
      </c>
      <c r="J18" s="105">
        <v>0</v>
      </c>
      <c r="K18" s="105"/>
      <c r="L18" s="105">
        <v>203.78438173519157</v>
      </c>
    </row>
    <row r="19" spans="1:12" s="77" customFormat="1" ht="15.75">
      <c r="A19" s="84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</row>
    <row r="20" spans="1:12" s="77" customFormat="1">
      <c r="A20" s="303" t="s">
        <v>66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>
        <v>0</v>
      </c>
    </row>
    <row r="21" spans="1:12" s="77" customFormat="1">
      <c r="A21" s="303" t="s">
        <v>67</v>
      </c>
      <c r="B21" s="94"/>
      <c r="C21" s="94"/>
      <c r="D21" s="94"/>
      <c r="E21" s="94"/>
      <c r="F21" s="96"/>
      <c r="G21" s="96"/>
      <c r="H21" s="96"/>
      <c r="I21" s="96"/>
      <c r="J21" s="96"/>
      <c r="K21" s="96"/>
      <c r="L21" s="96">
        <v>0</v>
      </c>
    </row>
    <row r="22" spans="1:12" s="77" customFormat="1">
      <c r="A22" s="303" t="s">
        <v>68</v>
      </c>
      <c r="B22" s="94">
        <v>0</v>
      </c>
      <c r="C22" s="94">
        <v>0</v>
      </c>
      <c r="D22" s="94"/>
      <c r="E22" s="94">
        <v>4.0829815025015792</v>
      </c>
      <c r="F22" s="95">
        <v>87.505468116535909</v>
      </c>
      <c r="G22" s="95">
        <v>19.604471195184864</v>
      </c>
      <c r="H22" s="94">
        <v>2.3645743766122096</v>
      </c>
      <c r="I22" s="94">
        <v>-50.266999999999996</v>
      </c>
      <c r="J22" s="96"/>
      <c r="K22" s="96"/>
      <c r="L22" s="96">
        <v>63.290495190834577</v>
      </c>
    </row>
    <row r="23" spans="1:12" s="77" customFormat="1">
      <c r="A23" s="303" t="s">
        <v>69</v>
      </c>
      <c r="B23" s="94"/>
      <c r="C23" s="94"/>
      <c r="D23" s="94"/>
      <c r="E23" s="94"/>
      <c r="F23" s="96"/>
      <c r="G23" s="96"/>
      <c r="H23" s="94"/>
      <c r="I23" s="94"/>
      <c r="J23" s="96"/>
      <c r="K23" s="96"/>
      <c r="L23" s="96">
        <v>0</v>
      </c>
    </row>
    <row r="24" spans="1:12" s="77" customFormat="1">
      <c r="A24" s="303" t="s">
        <v>70</v>
      </c>
      <c r="B24" s="94">
        <v>0</v>
      </c>
      <c r="C24" s="94"/>
      <c r="D24" s="94">
        <v>0</v>
      </c>
      <c r="E24" s="94">
        <v>1.1033714738962501</v>
      </c>
      <c r="F24" s="96"/>
      <c r="G24" s="96"/>
      <c r="H24" s="94">
        <v>3.4223564102833111</v>
      </c>
      <c r="I24" s="94"/>
      <c r="J24" s="96">
        <v>-5.0031456465819746</v>
      </c>
      <c r="K24" s="96"/>
      <c r="L24" s="96">
        <v>-0.47741776240241318</v>
      </c>
    </row>
    <row r="25" spans="1:12" s="77" customFormat="1">
      <c r="A25" s="303" t="s">
        <v>71</v>
      </c>
      <c r="B25" s="94"/>
      <c r="C25" s="94"/>
      <c r="D25" s="94"/>
      <c r="E25" s="94">
        <v>-3.0305707441718415</v>
      </c>
      <c r="F25" s="96"/>
      <c r="G25" s="96"/>
      <c r="H25" s="94">
        <v>3.7882134302148018</v>
      </c>
      <c r="I25" s="94"/>
      <c r="J25" s="96"/>
      <c r="K25" s="96"/>
      <c r="L25" s="96">
        <v>0.75764268604296037</v>
      </c>
    </row>
    <row r="26" spans="1:12" s="77" customFormat="1">
      <c r="A26" s="303" t="s">
        <v>72</v>
      </c>
      <c r="B26" s="94"/>
      <c r="C26" s="94">
        <v>40.735568603962228</v>
      </c>
      <c r="D26" s="94">
        <v>-39.731196478800598</v>
      </c>
      <c r="E26" s="94">
        <v>0.33698049084305848</v>
      </c>
      <c r="F26" s="96"/>
      <c r="G26" s="96"/>
      <c r="H26" s="94"/>
      <c r="I26" s="94"/>
      <c r="J26" s="96"/>
      <c r="K26" s="96"/>
      <c r="L26" s="96">
        <v>1.3413526160046889</v>
      </c>
    </row>
    <row r="27" spans="1:12" s="77" customFormat="1">
      <c r="A27" s="303" t="s">
        <v>73</v>
      </c>
      <c r="B27" s="94"/>
      <c r="C27" s="94"/>
      <c r="D27" s="94"/>
      <c r="E27" s="94"/>
      <c r="F27" s="96"/>
      <c r="G27" s="96"/>
      <c r="H27" s="94"/>
      <c r="I27" s="94">
        <v>2.1496130696474633</v>
      </c>
      <c r="J27" s="96"/>
      <c r="K27" s="96">
        <v>-1.7196904557179706</v>
      </c>
      <c r="L27" s="96">
        <v>0.42992261392949271</v>
      </c>
    </row>
    <row r="28" spans="1:12" s="77" customFormat="1">
      <c r="A28" s="303" t="s">
        <v>74</v>
      </c>
      <c r="B28" s="94">
        <v>2.1404310060694471</v>
      </c>
      <c r="C28" s="94"/>
      <c r="D28" s="94"/>
      <c r="E28" s="102">
        <v>-0.15477214101461736</v>
      </c>
      <c r="F28" s="107"/>
      <c r="G28" s="107"/>
      <c r="H28" s="102"/>
      <c r="I28" s="102">
        <v>-0.2063628546861565</v>
      </c>
      <c r="J28" s="96"/>
      <c r="K28" s="107">
        <v>0.42992261392949271</v>
      </c>
      <c r="L28" s="96">
        <v>2.209218624298166</v>
      </c>
    </row>
    <row r="29" spans="1:12" s="77" customFormat="1">
      <c r="A29" s="303" t="s">
        <v>75</v>
      </c>
      <c r="B29" s="94">
        <v>0</v>
      </c>
      <c r="C29" s="94"/>
      <c r="D29" s="94">
        <v>1.0782</v>
      </c>
      <c r="E29" s="94">
        <v>1.2420767288044043</v>
      </c>
      <c r="F29" s="96"/>
      <c r="G29" s="96"/>
      <c r="H29" s="94">
        <v>5.1017483519633131E-2</v>
      </c>
      <c r="I29" s="94">
        <v>2.3520206362854692</v>
      </c>
      <c r="J29" s="96"/>
      <c r="K29" s="96"/>
      <c r="L29" s="96">
        <v>4.7233148486095065</v>
      </c>
    </row>
    <row r="30" spans="1:12" s="77" customFormat="1">
      <c r="A30" s="303" t="s">
        <v>76</v>
      </c>
      <c r="B30" s="94"/>
      <c r="C30" s="94"/>
      <c r="D30" s="94"/>
      <c r="E30" s="94">
        <v>0.3535258483957765</v>
      </c>
      <c r="F30" s="96"/>
      <c r="G30" s="96"/>
      <c r="H30" s="94"/>
      <c r="I30" s="94">
        <v>3.2582065612805073</v>
      </c>
      <c r="J30" s="96">
        <v>1.0431162352605265</v>
      </c>
      <c r="K30" s="96"/>
      <c r="L30" s="96">
        <v>4.6548486449368109</v>
      </c>
    </row>
    <row r="31" spans="1:12" s="77" customFormat="1" ht="15.75">
      <c r="A31" s="304" t="s">
        <v>77</v>
      </c>
      <c r="B31" s="105">
        <v>2.1404310060694471</v>
      </c>
      <c r="C31" s="105">
        <v>40.735568603962228</v>
      </c>
      <c r="D31" s="105">
        <v>-38.652996478800596</v>
      </c>
      <c r="E31" s="105">
        <v>3.9335931592546101</v>
      </c>
      <c r="F31" s="105">
        <v>87.505468116535909</v>
      </c>
      <c r="G31" s="105">
        <v>19.604471195184864</v>
      </c>
      <c r="H31" s="105">
        <v>9.6261617006299556</v>
      </c>
      <c r="I31" s="105">
        <v>-42.71352258747271</v>
      </c>
      <c r="J31" s="105">
        <v>-3.960029411321448</v>
      </c>
      <c r="K31" s="98">
        <v>-1.2897678417884779</v>
      </c>
      <c r="L31" s="105">
        <v>76.929377462253782</v>
      </c>
    </row>
    <row r="32" spans="1:12" s="77" customFormat="1" ht="15.75">
      <c r="A32" s="84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</row>
    <row r="33" spans="1:13" s="77" customFormat="1" ht="15.75">
      <c r="A33" s="306" t="s">
        <v>78</v>
      </c>
      <c r="B33" s="94">
        <v>0</v>
      </c>
      <c r="C33" s="96"/>
      <c r="D33" s="94">
        <v>0.91047471072988595</v>
      </c>
      <c r="E33" s="94">
        <v>9.2828412206946656</v>
      </c>
      <c r="F33" s="96"/>
      <c r="G33" s="96"/>
      <c r="H33" s="94">
        <v>2.797481014933286</v>
      </c>
      <c r="I33" s="94">
        <v>9.8446264808181319</v>
      </c>
      <c r="J33" s="94">
        <v>1.0065715207299948</v>
      </c>
      <c r="K33" s="94"/>
      <c r="L33" s="96">
        <v>23.841994947905963</v>
      </c>
      <c r="M33" s="100"/>
    </row>
    <row r="34" spans="1:13" s="77" customFormat="1" ht="15.75">
      <c r="A34" s="306" t="s">
        <v>79</v>
      </c>
      <c r="B34" s="96"/>
      <c r="C34" s="96"/>
      <c r="D34" s="94">
        <v>27.751715068457877</v>
      </c>
      <c r="E34" s="94">
        <v>0.93047307809883106</v>
      </c>
      <c r="F34" s="96"/>
      <c r="G34" s="96"/>
      <c r="H34" s="94">
        <v>3.2186817504954033</v>
      </c>
      <c r="I34" s="94">
        <v>3.1579242402183425</v>
      </c>
      <c r="J34" s="94"/>
      <c r="K34" s="103">
        <v>0</v>
      </c>
      <c r="L34" s="108">
        <v>35.058794137270453</v>
      </c>
      <c r="M34" s="100"/>
    </row>
    <row r="35" spans="1:13" s="77" customFormat="1">
      <c r="A35" s="303" t="s">
        <v>80</v>
      </c>
      <c r="B35" s="94">
        <v>0</v>
      </c>
      <c r="C35" s="96"/>
      <c r="D35" s="94">
        <v>1.746497298641001</v>
      </c>
      <c r="E35" s="94">
        <v>8.4644882734430098</v>
      </c>
      <c r="F35" s="96"/>
      <c r="G35" s="96"/>
      <c r="H35" s="94">
        <v>10.300321992032506</v>
      </c>
      <c r="I35" s="94">
        <v>11.885627565252159</v>
      </c>
      <c r="J35" s="94">
        <v>2.1555790280909841</v>
      </c>
      <c r="K35" s="94"/>
      <c r="L35" s="96">
        <v>34.552514157459662</v>
      </c>
      <c r="M35" s="100"/>
    </row>
    <row r="36" spans="1:13" s="77" customFormat="1">
      <c r="A36" s="303" t="s">
        <v>81</v>
      </c>
      <c r="B36" s="94">
        <v>0</v>
      </c>
      <c r="C36" s="96"/>
      <c r="D36" s="94">
        <v>0.60659804706016329</v>
      </c>
      <c r="E36" s="94">
        <v>3.373347366526199</v>
      </c>
      <c r="F36" s="96"/>
      <c r="G36" s="96"/>
      <c r="H36" s="94">
        <v>2.5554110979101758</v>
      </c>
      <c r="I36" s="94">
        <v>11.711297347178387</v>
      </c>
      <c r="J36" s="94">
        <v>0.79142519144709034</v>
      </c>
      <c r="K36" s="94"/>
      <c r="L36" s="96">
        <v>19.038079050122015</v>
      </c>
      <c r="M36" s="100"/>
    </row>
    <row r="37" spans="1:13" s="77" customFormat="1">
      <c r="A37" s="303" t="s">
        <v>82</v>
      </c>
      <c r="B37" s="94">
        <v>2.2137192704974398E-3</v>
      </c>
      <c r="C37" s="96"/>
      <c r="D37" s="94">
        <v>2.28816075231342</v>
      </c>
      <c r="E37" s="94">
        <v>0.47763215046268398</v>
      </c>
      <c r="F37" s="96"/>
      <c r="G37" s="96"/>
      <c r="H37" s="94">
        <v>0.338816075231342</v>
      </c>
      <c r="I37" s="94">
        <v>0.77565894251492096</v>
      </c>
      <c r="J37" s="94">
        <v>6.4536710533781346E-3</v>
      </c>
      <c r="K37" s="94"/>
      <c r="L37" s="96">
        <v>3.8889353108462426</v>
      </c>
      <c r="M37" s="100"/>
    </row>
    <row r="38" spans="1:13" s="77" customFormat="1" ht="15.75">
      <c r="A38" s="304" t="s">
        <v>83</v>
      </c>
      <c r="B38" s="105">
        <v>2.2137192704974398E-3</v>
      </c>
      <c r="C38" s="105">
        <v>0</v>
      </c>
      <c r="D38" s="105">
        <v>33.30344587720235</v>
      </c>
      <c r="E38" s="105">
        <v>22.528782089225395</v>
      </c>
      <c r="F38" s="105">
        <v>0</v>
      </c>
      <c r="G38" s="105">
        <v>0</v>
      </c>
      <c r="H38" s="105">
        <v>19.210711930602717</v>
      </c>
      <c r="I38" s="105">
        <v>37.375134575981946</v>
      </c>
      <c r="J38" s="105">
        <v>3.9600294113214476</v>
      </c>
      <c r="K38" s="98">
        <v>0</v>
      </c>
      <c r="L38" s="105">
        <v>116.38031760360433</v>
      </c>
    </row>
    <row r="39" spans="1:13" s="77" customFormat="1">
      <c r="A39" s="303" t="s">
        <v>84</v>
      </c>
      <c r="B39" s="96">
        <v>0</v>
      </c>
      <c r="C39" s="96"/>
      <c r="D39" s="94">
        <v>8.5269295194929953</v>
      </c>
      <c r="E39" s="94">
        <v>0.65798930805195532</v>
      </c>
      <c r="F39" s="96"/>
      <c r="G39" s="96"/>
      <c r="H39" s="96"/>
      <c r="I39" s="96"/>
      <c r="J39" s="96"/>
      <c r="K39" s="96">
        <v>1.2897678417884779</v>
      </c>
      <c r="L39" s="96">
        <v>10.47468666933343</v>
      </c>
    </row>
    <row r="40" spans="1:13" s="77" customFormat="1" ht="15.75">
      <c r="A40" s="304" t="s">
        <v>85</v>
      </c>
      <c r="B40" s="105">
        <v>2.2137192704974398E-3</v>
      </c>
      <c r="C40" s="105">
        <v>0</v>
      </c>
      <c r="D40" s="105">
        <v>41.830375396695345</v>
      </c>
      <c r="E40" s="105">
        <v>23.186771397277351</v>
      </c>
      <c r="F40" s="105">
        <v>0</v>
      </c>
      <c r="G40" s="105">
        <v>0</v>
      </c>
      <c r="H40" s="105">
        <v>19.210711930602717</v>
      </c>
      <c r="I40" s="105">
        <v>37.375134575981946</v>
      </c>
      <c r="J40" s="105">
        <v>3.9600294113214476</v>
      </c>
      <c r="K40" s="105">
        <v>1.2897678417884779</v>
      </c>
      <c r="L40" s="105">
        <v>126.85500427293775</v>
      </c>
    </row>
    <row r="51" spans="1:14" s="77" customFormat="1" ht="15.75">
      <c r="A51" s="91" t="s">
        <v>89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4" s="77" customFormat="1" ht="45">
      <c r="A54" s="83" t="s">
        <v>51</v>
      </c>
      <c r="B54" s="301" t="s">
        <v>42</v>
      </c>
      <c r="C54" s="301" t="s">
        <v>52</v>
      </c>
      <c r="D54" s="301" t="s">
        <v>53</v>
      </c>
      <c r="E54" s="302" t="s">
        <v>54</v>
      </c>
      <c r="F54" s="302" t="s">
        <v>20</v>
      </c>
      <c r="G54" s="302" t="s">
        <v>55</v>
      </c>
      <c r="H54" s="301" t="s">
        <v>56</v>
      </c>
      <c r="I54" s="301" t="s">
        <v>57</v>
      </c>
      <c r="J54" s="301" t="s">
        <v>58</v>
      </c>
      <c r="K54" s="301" t="s">
        <v>31</v>
      </c>
      <c r="L54" s="301" t="s">
        <v>10</v>
      </c>
    </row>
    <row r="55" spans="1:14" s="77" customFormat="1" ht="15.75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N55" s="82"/>
    </row>
    <row r="56" spans="1:14" s="77" customFormat="1">
      <c r="A56" s="303" t="s">
        <v>59</v>
      </c>
      <c r="B56" s="94">
        <v>0</v>
      </c>
      <c r="C56" s="94">
        <v>0</v>
      </c>
      <c r="D56" s="94">
        <v>0</v>
      </c>
      <c r="E56" s="94">
        <v>0</v>
      </c>
      <c r="F56" s="95">
        <v>27.345458786417471</v>
      </c>
      <c r="G56" s="95">
        <v>46.775580395528799</v>
      </c>
      <c r="H56" s="94">
        <v>39.150228110130641</v>
      </c>
      <c r="I56" s="96"/>
      <c r="J56" s="96"/>
      <c r="K56" s="96"/>
      <c r="L56" s="96">
        <v>113.27126729207691</v>
      </c>
    </row>
    <row r="57" spans="1:14" s="77" customFormat="1">
      <c r="A57" s="303" t="s">
        <v>60</v>
      </c>
      <c r="B57" s="94">
        <v>0.74697394369004599</v>
      </c>
      <c r="C57" s="94">
        <v>0</v>
      </c>
      <c r="D57" s="94">
        <v>15.265776616616671</v>
      </c>
      <c r="E57" s="94">
        <v>0</v>
      </c>
      <c r="F57" s="96"/>
      <c r="G57" s="96"/>
      <c r="H57" s="96">
        <v>0</v>
      </c>
      <c r="I57" s="108">
        <v>0</v>
      </c>
      <c r="J57" s="96"/>
      <c r="K57" s="96"/>
      <c r="L57" s="96">
        <v>16.012750560306717</v>
      </c>
    </row>
    <row r="58" spans="1:14" s="77" customFormat="1">
      <c r="A58" s="303" t="s">
        <v>61</v>
      </c>
      <c r="B58" s="94">
        <v>0</v>
      </c>
      <c r="C58" s="94">
        <v>0</v>
      </c>
      <c r="D58" s="94">
        <v>0</v>
      </c>
      <c r="E58" s="94">
        <v>0</v>
      </c>
      <c r="F58" s="96"/>
      <c r="G58" s="96"/>
      <c r="H58" s="94">
        <v>0</v>
      </c>
      <c r="I58" s="96">
        <v>-1.7515441453990022</v>
      </c>
      <c r="J58" s="96"/>
      <c r="K58" s="96"/>
      <c r="L58" s="96">
        <v>-1.7515441453990022</v>
      </c>
    </row>
    <row r="59" spans="1:14" s="77" customFormat="1">
      <c r="A59" s="303" t="s">
        <v>62</v>
      </c>
      <c r="B59" s="94"/>
      <c r="C59" s="94"/>
      <c r="D59" s="94">
        <v>-1.1000000000000001</v>
      </c>
      <c r="E59" s="94"/>
      <c r="F59" s="96"/>
      <c r="G59" s="96"/>
      <c r="H59" s="96"/>
      <c r="I59" s="96"/>
      <c r="J59" s="96"/>
      <c r="K59" s="96"/>
      <c r="L59" s="96">
        <v>-1.1000000000000001</v>
      </c>
    </row>
    <row r="60" spans="1:14" s="77" customFormat="1">
      <c r="A60" s="303" t="s">
        <v>63</v>
      </c>
      <c r="B60" s="94"/>
      <c r="C60" s="94"/>
      <c r="D60" s="94">
        <v>-9.8675445253719403</v>
      </c>
      <c r="E60" s="94"/>
      <c r="F60" s="96"/>
      <c r="G60" s="96"/>
      <c r="H60" s="96"/>
      <c r="I60" s="96"/>
      <c r="J60" s="96"/>
      <c r="K60" s="96"/>
      <c r="L60" s="96">
        <v>-9.8675445253719403</v>
      </c>
    </row>
    <row r="61" spans="1:14" s="77" customFormat="1">
      <c r="A61" s="303" t="s">
        <v>64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>
        <v>0</v>
      </c>
    </row>
    <row r="62" spans="1:14" s="77" customFormat="1" ht="15.75">
      <c r="A62" s="304" t="s">
        <v>65</v>
      </c>
      <c r="B62" s="98">
        <v>0.74697394369004599</v>
      </c>
      <c r="C62" s="98">
        <v>0</v>
      </c>
      <c r="D62" s="98">
        <v>4.2982320912447314</v>
      </c>
      <c r="E62" s="98">
        <v>0</v>
      </c>
      <c r="F62" s="98">
        <v>27.345458786417471</v>
      </c>
      <c r="G62" s="98">
        <v>46.775580395528799</v>
      </c>
      <c r="H62" s="98">
        <v>39.150228110130641</v>
      </c>
      <c r="I62" s="98">
        <v>-1.7515441453990022</v>
      </c>
      <c r="J62" s="98">
        <v>0</v>
      </c>
      <c r="K62" s="98"/>
      <c r="L62" s="98">
        <v>116.5649291816127</v>
      </c>
    </row>
    <row r="63" spans="1:14" s="77" customFormat="1" ht="15.75">
      <c r="A63" s="84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4" s="77" customFormat="1">
      <c r="A64" s="303" t="s">
        <v>66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>
        <v>0</v>
      </c>
    </row>
    <row r="65" spans="1:14" s="77" customFormat="1">
      <c r="A65" s="303" t="s">
        <v>67</v>
      </c>
      <c r="B65" s="94"/>
      <c r="C65" s="94"/>
      <c r="D65" s="94"/>
      <c r="E65" s="94"/>
      <c r="F65" s="96"/>
      <c r="G65" s="96"/>
      <c r="H65" s="94"/>
      <c r="I65" s="94"/>
      <c r="J65" s="96"/>
      <c r="K65" s="96"/>
      <c r="L65" s="96">
        <v>0</v>
      </c>
    </row>
    <row r="66" spans="1:14" s="77" customFormat="1">
      <c r="A66" s="303" t="s">
        <v>68</v>
      </c>
      <c r="B66" s="94">
        <v>0</v>
      </c>
      <c r="C66" s="94">
        <v>0</v>
      </c>
      <c r="D66" s="94"/>
      <c r="E66" s="94">
        <v>2.1496130696474633</v>
      </c>
      <c r="F66" s="94">
        <v>27.345458786417471</v>
      </c>
      <c r="G66" s="94">
        <v>46.775580395528799</v>
      </c>
      <c r="H66" s="94">
        <v>0</v>
      </c>
      <c r="I66" s="94">
        <v>-56.673999999999992</v>
      </c>
      <c r="J66" s="96"/>
      <c r="K66" s="96"/>
      <c r="L66" s="96">
        <v>19.596652251593738</v>
      </c>
    </row>
    <row r="67" spans="1:14" s="77" customFormat="1">
      <c r="A67" s="303" t="s">
        <v>69</v>
      </c>
      <c r="B67" s="94"/>
      <c r="C67" s="94"/>
      <c r="D67" s="94"/>
      <c r="E67" s="94"/>
      <c r="F67" s="96"/>
      <c r="G67" s="96"/>
      <c r="H67" s="94"/>
      <c r="I67" s="94"/>
      <c r="J67" s="96"/>
      <c r="K67" s="96"/>
      <c r="L67" s="96">
        <v>0</v>
      </c>
    </row>
    <row r="68" spans="1:14" s="77" customFormat="1">
      <c r="A68" s="303" t="s">
        <v>70</v>
      </c>
      <c r="B68" s="94">
        <v>0</v>
      </c>
      <c r="C68" s="94"/>
      <c r="D68" s="94">
        <v>0</v>
      </c>
      <c r="E68" s="94">
        <v>0.85449177920296737</v>
      </c>
      <c r="F68" s="96"/>
      <c r="G68" s="96"/>
      <c r="H68" s="94">
        <v>3.403615539978218</v>
      </c>
      <c r="I68" s="94"/>
      <c r="J68" s="96">
        <v>-5.1661619878122789</v>
      </c>
      <c r="K68" s="96"/>
      <c r="L68" s="96">
        <v>-0.90805466863109352</v>
      </c>
    </row>
    <row r="69" spans="1:14" s="77" customFormat="1">
      <c r="A69" s="303" t="s">
        <v>71</v>
      </c>
      <c r="B69" s="94"/>
      <c r="C69" s="94"/>
      <c r="D69" s="94"/>
      <c r="E69" s="94">
        <v>-13.268132354256622</v>
      </c>
      <c r="F69" s="96"/>
      <c r="G69" s="96"/>
      <c r="H69" s="94">
        <v>16.585165442820777</v>
      </c>
      <c r="I69" s="94"/>
      <c r="J69" s="96"/>
      <c r="K69" s="96"/>
      <c r="L69" s="96">
        <v>3.3170330885641555</v>
      </c>
    </row>
    <row r="70" spans="1:14" s="77" customFormat="1">
      <c r="A70" s="303" t="s">
        <v>72</v>
      </c>
      <c r="B70" s="94"/>
      <c r="C70" s="94">
        <v>0</v>
      </c>
      <c r="D70" s="94">
        <v>0</v>
      </c>
      <c r="E70" s="94">
        <v>0</v>
      </c>
      <c r="F70" s="96"/>
      <c r="G70" s="96"/>
      <c r="H70" s="94"/>
      <c r="I70" s="94"/>
      <c r="J70" s="96"/>
      <c r="K70" s="96"/>
      <c r="L70" s="96">
        <v>0</v>
      </c>
    </row>
    <row r="71" spans="1:14" s="77" customFormat="1">
      <c r="A71" s="303" t="s">
        <v>73</v>
      </c>
      <c r="B71" s="94"/>
      <c r="C71" s="94"/>
      <c r="D71" s="94"/>
      <c r="E71" s="94"/>
      <c r="F71" s="96"/>
      <c r="G71" s="96"/>
      <c r="H71" s="94"/>
      <c r="I71" s="94">
        <v>4.2992261392949267</v>
      </c>
      <c r="J71" s="96"/>
      <c r="K71" s="96">
        <v>-3.4393809114359413</v>
      </c>
      <c r="L71" s="96">
        <v>0.85984522785898543</v>
      </c>
    </row>
    <row r="72" spans="1:14" s="77" customFormat="1">
      <c r="A72" s="303" t="s">
        <v>74</v>
      </c>
      <c r="B72" s="94">
        <v>0.74476022441954859</v>
      </c>
      <c r="C72" s="94"/>
      <c r="D72" s="94"/>
      <c r="E72" s="102">
        <v>-0.30954428202923473</v>
      </c>
      <c r="F72" s="96"/>
      <c r="G72" s="96"/>
      <c r="H72" s="94"/>
      <c r="I72" s="94">
        <v>-1.0318142734307825</v>
      </c>
      <c r="J72" s="96"/>
      <c r="K72" s="107">
        <v>1.633705932932072</v>
      </c>
      <c r="L72" s="96">
        <v>1.0371076018916034</v>
      </c>
    </row>
    <row r="73" spans="1:14" s="77" customFormat="1">
      <c r="A73" s="303" t="s">
        <v>75</v>
      </c>
      <c r="B73" s="94">
        <v>0</v>
      </c>
      <c r="C73" s="94"/>
      <c r="D73" s="94">
        <v>0</v>
      </c>
      <c r="E73" s="334">
        <v>0</v>
      </c>
      <c r="F73" s="96"/>
      <c r="G73" s="96"/>
      <c r="H73" s="94">
        <v>5.1017483519633131E-2</v>
      </c>
      <c r="I73" s="94">
        <v>2.3441960447119525</v>
      </c>
      <c r="J73" s="96"/>
      <c r="K73" s="96"/>
      <c r="L73" s="96">
        <v>2.3952135282315856</v>
      </c>
      <c r="N73" s="97"/>
    </row>
    <row r="74" spans="1:14" s="77" customFormat="1">
      <c r="A74" s="303" t="s">
        <v>76</v>
      </c>
      <c r="B74" s="94"/>
      <c r="C74" s="94"/>
      <c r="D74" s="94"/>
      <c r="E74" s="94">
        <v>0.15893900909970565</v>
      </c>
      <c r="F74" s="96"/>
      <c r="G74" s="96"/>
      <c r="H74" s="94"/>
      <c r="I74" s="94">
        <v>3.6734955070724626</v>
      </c>
      <c r="J74" s="96">
        <v>1.077103851085037</v>
      </c>
      <c r="K74" s="96"/>
      <c r="L74" s="96">
        <v>4.9095383672572055</v>
      </c>
    </row>
    <row r="75" spans="1:14" s="77" customFormat="1" ht="15.75">
      <c r="A75" s="304" t="s">
        <v>77</v>
      </c>
      <c r="B75" s="98">
        <v>0.74476022441954859</v>
      </c>
      <c r="C75" s="98">
        <v>0</v>
      </c>
      <c r="D75" s="98">
        <v>0</v>
      </c>
      <c r="E75" s="98">
        <v>-10.414632778335719</v>
      </c>
      <c r="F75" s="98">
        <v>27.345458786417471</v>
      </c>
      <c r="G75" s="98">
        <v>46.775580395528799</v>
      </c>
      <c r="H75" s="98">
        <v>20.039798466318629</v>
      </c>
      <c r="I75" s="98">
        <v>-47.388896582351435</v>
      </c>
      <c r="J75" s="98">
        <v>-4.0890581367272416</v>
      </c>
      <c r="K75" s="98">
        <v>-1.8056749785038693</v>
      </c>
      <c r="L75" s="98">
        <v>31.20733539676618</v>
      </c>
    </row>
    <row r="76" spans="1:14" s="77" customFormat="1" ht="15.75">
      <c r="A76" s="84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1:14" s="77" customFormat="1" ht="15.75">
      <c r="A77" s="306" t="s">
        <v>78</v>
      </c>
      <c r="B77" s="94">
        <v>0</v>
      </c>
      <c r="C77" s="96"/>
      <c r="D77" s="94">
        <v>0</v>
      </c>
      <c r="E77" s="94">
        <v>2.6196131084152277</v>
      </c>
      <c r="F77" s="96"/>
      <c r="G77" s="96"/>
      <c r="H77" s="94">
        <v>2.4941614081810051</v>
      </c>
      <c r="I77" s="94">
        <v>15.692222796920932</v>
      </c>
      <c r="J77" s="94">
        <v>0.41499583184774225</v>
      </c>
      <c r="K77" s="94"/>
      <c r="L77" s="96">
        <v>21.220993145364908</v>
      </c>
      <c r="M77" s="100"/>
    </row>
    <row r="78" spans="1:14" s="77" customFormat="1" ht="15.75">
      <c r="A78" s="306" t="s">
        <v>79</v>
      </c>
      <c r="B78" s="108"/>
      <c r="C78" s="108"/>
      <c r="D78" s="94">
        <v>0.93045123347554903</v>
      </c>
      <c r="E78" s="94">
        <v>3.6028639370370201</v>
      </c>
      <c r="F78" s="96"/>
      <c r="G78" s="96"/>
      <c r="H78" s="94">
        <v>4.2184772740988761</v>
      </c>
      <c r="I78" s="94">
        <v>8.1773954821011205</v>
      </c>
      <c r="J78" s="94"/>
      <c r="K78" s="94">
        <v>8.5984522785898534E-2</v>
      </c>
      <c r="L78" s="96">
        <v>17.015172449498465</v>
      </c>
      <c r="M78" s="100"/>
    </row>
    <row r="79" spans="1:14" s="77" customFormat="1">
      <c r="A79" s="303" t="s">
        <v>80</v>
      </c>
      <c r="B79" s="94">
        <v>0</v>
      </c>
      <c r="C79" s="96"/>
      <c r="D79" s="94">
        <v>0.16812387266585074</v>
      </c>
      <c r="E79" s="94">
        <v>2.6677723755245331</v>
      </c>
      <c r="F79" s="96"/>
      <c r="G79" s="96"/>
      <c r="H79" s="94">
        <v>9.1119423382098859</v>
      </c>
      <c r="I79" s="94">
        <v>11.1263428965709</v>
      </c>
      <c r="J79" s="94">
        <v>2.1285056205612118</v>
      </c>
      <c r="K79" s="94"/>
      <c r="L79" s="96">
        <v>25.202687103532384</v>
      </c>
      <c r="M79" s="100"/>
    </row>
    <row r="80" spans="1:14" s="77" customFormat="1">
      <c r="A80" s="303" t="s">
        <v>81</v>
      </c>
      <c r="B80" s="94">
        <v>0</v>
      </c>
      <c r="C80" s="96"/>
      <c r="D80" s="94">
        <v>4.3808247608083023E-2</v>
      </c>
      <c r="E80" s="94">
        <v>0.54387058176361458</v>
      </c>
      <c r="F80" s="96"/>
      <c r="G80" s="96"/>
      <c r="H80" s="94">
        <v>2.4071612194730982</v>
      </c>
      <c r="I80" s="94">
        <v>9.9325738092989031</v>
      </c>
      <c r="J80" s="94">
        <v>1.5391030132649095</v>
      </c>
      <c r="K80" s="94"/>
      <c r="L80" s="96">
        <v>14.466516871408608</v>
      </c>
      <c r="M80" s="100"/>
    </row>
    <row r="81" spans="1:13" s="77" customFormat="1">
      <c r="A81" s="303" t="s">
        <v>82</v>
      </c>
      <c r="B81" s="94">
        <v>2.2137192704974398E-3</v>
      </c>
      <c r="C81" s="96"/>
      <c r="D81" s="94">
        <v>0</v>
      </c>
      <c r="E81" s="94">
        <v>0.69442453716561003</v>
      </c>
      <c r="F81" s="96"/>
      <c r="G81" s="96"/>
      <c r="H81" s="94">
        <v>0.87868740384914412</v>
      </c>
      <c r="I81" s="94">
        <v>0.708817452060579</v>
      </c>
      <c r="J81" s="94">
        <v>6.4536710533781346E-3</v>
      </c>
      <c r="K81" s="94"/>
      <c r="L81" s="96">
        <v>2.2905967833992089</v>
      </c>
      <c r="M81" s="100"/>
    </row>
    <row r="82" spans="1:13" s="77" customFormat="1" ht="15.75">
      <c r="A82" s="304" t="s">
        <v>83</v>
      </c>
      <c r="B82" s="98">
        <v>2.2137192704974398E-3</v>
      </c>
      <c r="C82" s="98">
        <v>0</v>
      </c>
      <c r="D82" s="98">
        <v>1.1423833537494827</v>
      </c>
      <c r="E82" s="98">
        <v>10.128544539906006</v>
      </c>
      <c r="F82" s="98">
        <v>0</v>
      </c>
      <c r="G82" s="98">
        <v>0</v>
      </c>
      <c r="H82" s="98">
        <v>19.110429643812012</v>
      </c>
      <c r="I82" s="98">
        <v>45.637352436952433</v>
      </c>
      <c r="J82" s="98">
        <v>4.0890581367272416</v>
      </c>
      <c r="K82" s="98">
        <v>8.5984522785898534E-2</v>
      </c>
      <c r="L82" s="98">
        <v>80.195966353203573</v>
      </c>
    </row>
    <row r="83" spans="1:13" s="77" customFormat="1">
      <c r="A83" s="303" t="s">
        <v>84</v>
      </c>
      <c r="B83" s="96">
        <v>0</v>
      </c>
      <c r="C83" s="96"/>
      <c r="D83" s="101">
        <v>3.1558487374952491</v>
      </c>
      <c r="E83" s="101">
        <v>0.28608823842971293</v>
      </c>
      <c r="F83" s="96"/>
      <c r="G83" s="96"/>
      <c r="H83" s="96"/>
      <c r="I83" s="96"/>
      <c r="J83" s="96"/>
      <c r="K83" s="96">
        <v>1.7196904557179706</v>
      </c>
      <c r="L83" s="96">
        <v>5.1616274316429323</v>
      </c>
    </row>
    <row r="84" spans="1:13" s="77" customFormat="1" ht="15.75">
      <c r="A84" s="304" t="s">
        <v>85</v>
      </c>
      <c r="B84" s="98">
        <v>2.2137192704974398E-3</v>
      </c>
      <c r="C84" s="98">
        <v>0</v>
      </c>
      <c r="D84" s="98">
        <v>4.2982320912447314</v>
      </c>
      <c r="E84" s="98">
        <v>10.414632778335719</v>
      </c>
      <c r="F84" s="98">
        <v>0</v>
      </c>
      <c r="G84" s="98">
        <v>0</v>
      </c>
      <c r="H84" s="98">
        <v>19.110429643812012</v>
      </c>
      <c r="I84" s="98">
        <v>45.637352436952433</v>
      </c>
      <c r="J84" s="98">
        <v>4.0890581367272416</v>
      </c>
      <c r="K84" s="98">
        <v>1.8056749785038693</v>
      </c>
      <c r="L84" s="98">
        <v>85.3575937848465</v>
      </c>
    </row>
    <row r="85" spans="1:13" s="77" customFormat="1">
      <c r="I85" s="77">
        <f>(I84+I74+I73+I71)*11.63</f>
        <v>650.74816158900944</v>
      </c>
    </row>
  </sheetData>
  <conditionalFormatting sqref="B11:L11">
    <cfRule type="cellIs" dxfId="46" priority="32" operator="equal">
      <formula>0</formula>
    </cfRule>
  </conditionalFormatting>
  <conditionalFormatting sqref="L83">
    <cfRule type="cellIs" dxfId="45" priority="28" operator="equal">
      <formula>0</formula>
    </cfRule>
  </conditionalFormatting>
  <conditionalFormatting sqref="B39:K39">
    <cfRule type="cellIs" dxfId="44" priority="26" operator="equal">
      <formula>0</formula>
    </cfRule>
  </conditionalFormatting>
  <conditionalFormatting sqref="I22">
    <cfRule type="cellIs" dxfId="43" priority="25" operator="equal">
      <formula>0</formula>
    </cfRule>
  </conditionalFormatting>
  <conditionalFormatting sqref="I57:I58">
    <cfRule type="cellIs" dxfId="42" priority="22" operator="equal">
      <formula>0</formula>
    </cfRule>
  </conditionalFormatting>
  <conditionalFormatting sqref="B13:C14 E13:H14">
    <cfRule type="cellIs" dxfId="41" priority="21" operator="equal">
      <formula>0</formula>
    </cfRule>
  </conditionalFormatting>
  <conditionalFormatting sqref="B57:C58 E57:H58">
    <cfRule type="cellIs" dxfId="40" priority="20" operator="equal">
      <formula>0</formula>
    </cfRule>
  </conditionalFormatting>
  <conditionalFormatting sqref="D13:D14">
    <cfRule type="cellIs" dxfId="39" priority="19" operator="equal">
      <formula>0</formula>
    </cfRule>
  </conditionalFormatting>
  <conditionalFormatting sqref="D57:D58">
    <cfRule type="cellIs" dxfId="38" priority="18" operator="equal">
      <formula>0</formula>
    </cfRule>
  </conditionalFormatting>
  <conditionalFormatting sqref="B28">
    <cfRule type="cellIs" dxfId="37" priority="17" operator="equal">
      <formula>0</formula>
    </cfRule>
  </conditionalFormatting>
  <conditionalFormatting sqref="B72">
    <cfRule type="cellIs" dxfId="36" priority="16" operator="equal">
      <formula>0</formula>
    </cfRule>
  </conditionalFormatting>
  <conditionalFormatting sqref="L33:L37">
    <cfRule type="cellIs" dxfId="35" priority="8" operator="equal">
      <formula>0</formula>
    </cfRule>
  </conditionalFormatting>
  <conditionalFormatting sqref="E25">
    <cfRule type="cellIs" dxfId="34" priority="3" operator="equal">
      <formula>0</formula>
    </cfRule>
  </conditionalFormatting>
  <conditionalFormatting sqref="B56:E56 B67:K68 J66:K66 B62:L63 J57:K58 B73:K74 C72:K72 B70:K71 B69:G69 I69:K69 B75:J75 L75 B64:K65 B59:K61 B76:L82 B84:L84 H56:K56 B66:H66">
    <cfRule type="cellIs" dxfId="33" priority="31" operator="equal">
      <formula>0</formula>
    </cfRule>
  </conditionalFormatting>
  <conditionalFormatting sqref="B83:K83">
    <cfRule type="cellIs" dxfId="32" priority="30" operator="equal">
      <formula>0</formula>
    </cfRule>
  </conditionalFormatting>
  <conditionalFormatting sqref="B55:L55">
    <cfRule type="cellIs" dxfId="31" priority="29" operator="equal">
      <formula>0</formula>
    </cfRule>
  </conditionalFormatting>
  <conditionalFormatting sqref="B12:F12 B23:K24 B22:H22 J22:K22 B18:L19 J13:K14 B29:K30 C28:K28 H12:K12 B26:K27 B25:D25 I25:K25 B32:L32 B31:J31 L31 B38:J38 B33:K37 B20:K21 B15:K17 L38 B40:L40 F25:G25">
    <cfRule type="cellIs" dxfId="30" priority="27" operator="equal">
      <formula>0</formula>
    </cfRule>
  </conditionalFormatting>
  <conditionalFormatting sqref="I66">
    <cfRule type="cellIs" dxfId="29" priority="24" operator="equal">
      <formula>0</formula>
    </cfRule>
  </conditionalFormatting>
  <conditionalFormatting sqref="I13:I14">
    <cfRule type="cellIs" dxfId="28" priority="23" operator="equal">
      <formula>0</formula>
    </cfRule>
  </conditionalFormatting>
  <conditionalFormatting sqref="G12">
    <cfRule type="cellIs" dxfId="27" priority="15" operator="equal">
      <formula>0</formula>
    </cfRule>
  </conditionalFormatting>
  <conditionalFormatting sqref="H25">
    <cfRule type="cellIs" dxfId="26" priority="14" operator="equal">
      <formula>0</formula>
    </cfRule>
  </conditionalFormatting>
  <conditionalFormatting sqref="H69">
    <cfRule type="cellIs" dxfId="25" priority="13" operator="equal">
      <formula>0</formula>
    </cfRule>
  </conditionalFormatting>
  <conditionalFormatting sqref="K31">
    <cfRule type="cellIs" dxfId="24" priority="12" operator="equal">
      <formula>0</formula>
    </cfRule>
  </conditionalFormatting>
  <conditionalFormatting sqref="K75">
    <cfRule type="cellIs" dxfId="23" priority="11" operator="equal">
      <formula>0</formula>
    </cfRule>
  </conditionalFormatting>
  <conditionalFormatting sqref="L64:L74">
    <cfRule type="cellIs" dxfId="22" priority="10" operator="equal">
      <formula>0</formula>
    </cfRule>
  </conditionalFormatting>
  <conditionalFormatting sqref="L56:L61">
    <cfRule type="cellIs" dxfId="21" priority="9" operator="equal">
      <formula>0</formula>
    </cfRule>
  </conditionalFormatting>
  <conditionalFormatting sqref="L39">
    <cfRule type="cellIs" dxfId="20" priority="7" operator="equal">
      <formula>0</formula>
    </cfRule>
  </conditionalFormatting>
  <conditionalFormatting sqref="L20:L30">
    <cfRule type="cellIs" dxfId="19" priority="6" operator="equal">
      <formula>0</formula>
    </cfRule>
  </conditionalFormatting>
  <conditionalFormatting sqref="L12:L17">
    <cfRule type="cellIs" dxfId="18" priority="5" operator="equal">
      <formula>0</formula>
    </cfRule>
  </conditionalFormatting>
  <conditionalFormatting sqref="K38">
    <cfRule type="cellIs" dxfId="17" priority="4" operator="equal">
      <formula>0</formula>
    </cfRule>
  </conditionalFormatting>
  <conditionalFormatting sqref="F56">
    <cfRule type="cellIs" dxfId="16" priority="2" operator="equal">
      <formula>0</formula>
    </cfRule>
  </conditionalFormatting>
  <conditionalFormatting sqref="G56">
    <cfRule type="cellIs" dxfId="15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BZ129"/>
  <sheetViews>
    <sheetView topLeftCell="A10" workbookViewId="0">
      <selection activeCell="I27" sqref="I27"/>
    </sheetView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300"/>
  </cols>
  <sheetData>
    <row r="1" spans="1:12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2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2" s="77" customFormat="1" ht="15.75">
      <c r="A7" s="91" t="s">
        <v>87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2" s="77" customFormat="1" ht="45">
      <c r="A10" s="83" t="s">
        <v>51</v>
      </c>
      <c r="B10" s="301" t="s">
        <v>42</v>
      </c>
      <c r="C10" s="301" t="s">
        <v>52</v>
      </c>
      <c r="D10" s="301" t="s">
        <v>53</v>
      </c>
      <c r="E10" s="302" t="s">
        <v>54</v>
      </c>
      <c r="F10" s="302" t="s">
        <v>20</v>
      </c>
      <c r="G10" s="302" t="s">
        <v>55</v>
      </c>
      <c r="H10" s="301" t="s">
        <v>56</v>
      </c>
      <c r="I10" s="301" t="s">
        <v>57</v>
      </c>
      <c r="J10" s="301" t="s">
        <v>58</v>
      </c>
      <c r="K10" s="301" t="s">
        <v>31</v>
      </c>
      <c r="L10" s="301" t="s">
        <v>10</v>
      </c>
    </row>
    <row r="11" spans="1:12" s="77" customFormat="1" ht="15.75">
      <c r="A11" s="92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</row>
    <row r="12" spans="1:12" s="77" customFormat="1">
      <c r="A12" s="303" t="s">
        <v>59</v>
      </c>
      <c r="B12" s="94">
        <v>0</v>
      </c>
      <c r="C12" s="94">
        <v>0.7</v>
      </c>
      <c r="D12" s="94">
        <v>0</v>
      </c>
      <c r="E12" s="94">
        <v>0.02</v>
      </c>
      <c r="F12" s="95">
        <v>103.91274338838639</v>
      </c>
      <c r="G12" s="95">
        <v>14.961306964746345</v>
      </c>
      <c r="H12" s="94">
        <v>23.557057880608284</v>
      </c>
      <c r="I12" s="96"/>
      <c r="J12" s="96"/>
      <c r="K12" s="96"/>
      <c r="L12" s="96">
        <v>143.15110823374101</v>
      </c>
    </row>
    <row r="13" spans="1:12" s="77" customFormat="1">
      <c r="A13" s="303" t="s">
        <v>60</v>
      </c>
      <c r="B13" s="94">
        <v>2.6488212454034969</v>
      </c>
      <c r="C13" s="94">
        <v>47.0782111969732</v>
      </c>
      <c r="D13" s="94">
        <v>15.597678413553723</v>
      </c>
      <c r="E13" s="94">
        <v>32.40491197538708</v>
      </c>
      <c r="F13" s="96"/>
      <c r="G13" s="96"/>
      <c r="H13" s="96">
        <v>1.6146683170390475</v>
      </c>
      <c r="I13" s="96">
        <v>0</v>
      </c>
      <c r="J13" s="96"/>
      <c r="K13" s="96"/>
      <c r="L13" s="96">
        <v>99.344291148356547</v>
      </c>
    </row>
    <row r="14" spans="1:12" s="77" customFormat="1">
      <c r="A14" s="303" t="s">
        <v>61</v>
      </c>
      <c r="B14" s="94">
        <v>0</v>
      </c>
      <c r="C14" s="94">
        <v>0</v>
      </c>
      <c r="D14" s="94">
        <v>0</v>
      </c>
      <c r="E14" s="94">
        <v>0</v>
      </c>
      <c r="F14" s="96"/>
      <c r="G14" s="96"/>
      <c r="H14" s="94">
        <v>0</v>
      </c>
      <c r="I14" s="96">
        <v>-6.8529198133149265</v>
      </c>
      <c r="J14" s="96"/>
      <c r="K14" s="96"/>
      <c r="L14" s="96">
        <v>-6.8529198133149265</v>
      </c>
    </row>
    <row r="15" spans="1:12" s="77" customFormat="1">
      <c r="A15" s="303" t="s">
        <v>62</v>
      </c>
      <c r="B15" s="94"/>
      <c r="C15" s="94"/>
      <c r="D15" s="94">
        <v>-1.1000000000000001</v>
      </c>
      <c r="E15" s="94"/>
      <c r="F15" s="96"/>
      <c r="G15" s="96"/>
      <c r="H15" s="94"/>
      <c r="I15" s="96"/>
      <c r="J15" s="96"/>
      <c r="K15" s="96"/>
      <c r="L15" s="96">
        <v>-1.1000000000000001</v>
      </c>
    </row>
    <row r="16" spans="1:12" s="77" customFormat="1">
      <c r="A16" s="303" t="s">
        <v>63</v>
      </c>
      <c r="B16" s="94"/>
      <c r="C16" s="94"/>
      <c r="D16" s="94">
        <v>-6.8007692346473698</v>
      </c>
      <c r="E16" s="94"/>
      <c r="F16" s="96"/>
      <c r="G16" s="96"/>
      <c r="H16" s="96"/>
      <c r="I16" s="96"/>
      <c r="J16" s="96"/>
      <c r="K16" s="96"/>
      <c r="L16" s="96">
        <v>-6.8007692346473698</v>
      </c>
    </row>
    <row r="17" spans="1:12" s="77" customFormat="1">
      <c r="A17" s="303" t="s">
        <v>64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>
        <v>0</v>
      </c>
    </row>
    <row r="18" spans="1:12" s="77" customFormat="1" ht="15.75">
      <c r="A18" s="304" t="s">
        <v>65</v>
      </c>
      <c r="B18" s="98">
        <v>2.6488212454034969</v>
      </c>
      <c r="C18" s="98">
        <v>47.778211196973203</v>
      </c>
      <c r="D18" s="98">
        <v>7.6969091789063535</v>
      </c>
      <c r="E18" s="98">
        <v>32.424911975387083</v>
      </c>
      <c r="F18" s="98">
        <v>103.91274338838639</v>
      </c>
      <c r="G18" s="98">
        <v>14.961306964746345</v>
      </c>
      <c r="H18" s="98">
        <v>25.171726197647331</v>
      </c>
      <c r="I18" s="98">
        <v>-6.8529198133149265</v>
      </c>
      <c r="J18" s="98">
        <v>0</v>
      </c>
      <c r="K18" s="98">
        <v>0</v>
      </c>
      <c r="L18" s="98">
        <v>227.74171033413526</v>
      </c>
    </row>
    <row r="19" spans="1:12" s="77" customFormat="1" ht="15.75">
      <c r="A19" s="84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1:12" s="77" customFormat="1">
      <c r="A20" s="303" t="s">
        <v>66</v>
      </c>
      <c r="B20" s="94"/>
      <c r="C20" s="94"/>
      <c r="D20" s="94"/>
      <c r="E20" s="94"/>
      <c r="F20" s="96"/>
      <c r="G20" s="96"/>
      <c r="H20" s="96"/>
      <c r="I20" s="96"/>
      <c r="J20" s="96"/>
      <c r="K20" s="96"/>
      <c r="L20" s="96">
        <v>0</v>
      </c>
    </row>
    <row r="21" spans="1:12" s="77" customFormat="1">
      <c r="A21" s="303" t="s">
        <v>67</v>
      </c>
      <c r="B21" s="94"/>
      <c r="C21" s="94"/>
      <c r="D21" s="94"/>
      <c r="E21" s="94"/>
      <c r="F21" s="96"/>
      <c r="G21" s="96"/>
      <c r="H21" s="94"/>
      <c r="I21" s="94"/>
      <c r="J21" s="96"/>
      <c r="K21" s="96"/>
      <c r="L21" s="96">
        <v>0</v>
      </c>
    </row>
    <row r="22" spans="1:12" s="77" customFormat="1">
      <c r="A22" s="303" t="s">
        <v>68</v>
      </c>
      <c r="B22" s="94">
        <v>0</v>
      </c>
      <c r="C22" s="94">
        <v>0</v>
      </c>
      <c r="D22" s="94"/>
      <c r="E22" s="94">
        <v>4.20632773002602</v>
      </c>
      <c r="F22" s="95">
        <v>103.91274338838639</v>
      </c>
      <c r="G22" s="95">
        <v>14.961306964746345</v>
      </c>
      <c r="H22" s="94">
        <v>2.4180820758374684</v>
      </c>
      <c r="I22" s="94">
        <v>-50.696999999999996</v>
      </c>
      <c r="J22" s="96"/>
      <c r="K22" s="96"/>
      <c r="L22" s="96">
        <v>74.801460158996235</v>
      </c>
    </row>
    <row r="23" spans="1:12" s="77" customFormat="1">
      <c r="A23" s="303" t="s">
        <v>69</v>
      </c>
      <c r="B23" s="94"/>
      <c r="C23" s="94"/>
      <c r="D23" s="94"/>
      <c r="E23" s="94"/>
      <c r="F23" s="96"/>
      <c r="G23" s="96"/>
      <c r="H23" s="94"/>
      <c r="I23" s="94"/>
      <c r="J23" s="96"/>
      <c r="K23" s="96"/>
      <c r="L23" s="96">
        <v>0</v>
      </c>
    </row>
    <row r="24" spans="1:12" s="77" customFormat="1">
      <c r="A24" s="303" t="s">
        <v>70</v>
      </c>
      <c r="B24" s="94">
        <v>5.3419770632032383E-2</v>
      </c>
      <c r="C24" s="94"/>
      <c r="D24" s="94">
        <v>0</v>
      </c>
      <c r="E24" s="94">
        <v>1.2147336798111752</v>
      </c>
      <c r="F24" s="96"/>
      <c r="G24" s="96"/>
      <c r="H24" s="94">
        <v>3.3160878375169278</v>
      </c>
      <c r="I24" s="94"/>
      <c r="J24" s="96">
        <v>-4.5900902111438011</v>
      </c>
      <c r="K24" s="96"/>
      <c r="L24" s="96">
        <v>-5.8489231836658107E-3</v>
      </c>
    </row>
    <row r="25" spans="1:12" s="77" customFormat="1">
      <c r="A25" s="303" t="s">
        <v>71</v>
      </c>
      <c r="B25" s="94"/>
      <c r="C25" s="94"/>
      <c r="D25" s="94"/>
      <c r="E25" s="94">
        <v>-1.7065743144940571</v>
      </c>
      <c r="F25" s="96"/>
      <c r="G25" s="96"/>
      <c r="H25" s="94">
        <v>2.1332178931175712</v>
      </c>
      <c r="I25" s="94"/>
      <c r="J25" s="96"/>
      <c r="K25" s="96"/>
      <c r="L25" s="96">
        <v>0.4266435786235141</v>
      </c>
    </row>
    <row r="26" spans="1:12" s="77" customFormat="1">
      <c r="A26" s="303" t="s">
        <v>72</v>
      </c>
      <c r="B26" s="94"/>
      <c r="C26" s="94">
        <v>47.778211196973203</v>
      </c>
      <c r="D26" s="94">
        <v>-46.473309251920703</v>
      </c>
      <c r="E26" s="94">
        <v>0.42321213691880566</v>
      </c>
      <c r="F26" s="96"/>
      <c r="G26" s="96"/>
      <c r="H26" s="94"/>
      <c r="I26" s="94"/>
      <c r="J26" s="96"/>
      <c r="K26" s="96"/>
      <c r="L26" s="96">
        <v>1.728114081971305</v>
      </c>
    </row>
    <row r="27" spans="1:12" s="77" customFormat="1">
      <c r="A27" s="303" t="s">
        <v>73</v>
      </c>
      <c r="B27" s="94"/>
      <c r="C27" s="94"/>
      <c r="D27" s="94"/>
      <c r="E27" s="94"/>
      <c r="F27" s="96"/>
      <c r="G27" s="96"/>
      <c r="H27" s="94"/>
      <c r="I27" s="94">
        <v>0.53740326741186584</v>
      </c>
      <c r="J27" s="96"/>
      <c r="K27" s="96">
        <v>-0.42992261392949266</v>
      </c>
      <c r="L27" s="96">
        <v>0.10748065348237318</v>
      </c>
    </row>
    <row r="28" spans="1:12" s="77" customFormat="1">
      <c r="A28" s="303" t="s">
        <v>74</v>
      </c>
      <c r="B28" s="94">
        <v>2.4786780164701674</v>
      </c>
      <c r="C28" s="94"/>
      <c r="D28" s="94"/>
      <c r="E28" s="334">
        <v>0</v>
      </c>
      <c r="F28" s="96"/>
      <c r="G28" s="96"/>
      <c r="H28" s="94"/>
      <c r="I28" s="102">
        <v>-3.4393809114359415E-2</v>
      </c>
      <c r="J28" s="96"/>
      <c r="K28" s="107">
        <v>4.2992261392949267E-2</v>
      </c>
      <c r="L28" s="96">
        <v>2.4872764687487572</v>
      </c>
    </row>
    <row r="29" spans="1:12" s="77" customFormat="1">
      <c r="A29" s="303" t="s">
        <v>75</v>
      </c>
      <c r="B29" s="94">
        <v>0</v>
      </c>
      <c r="C29" s="94"/>
      <c r="D29" s="94">
        <v>1.0782</v>
      </c>
      <c r="E29" s="94">
        <v>1.2420767288044043</v>
      </c>
      <c r="F29" s="96"/>
      <c r="G29" s="96"/>
      <c r="H29" s="94">
        <v>5.1017483519633131E-2</v>
      </c>
      <c r="I29" s="94">
        <v>2.3564918314703358</v>
      </c>
      <c r="J29" s="96"/>
      <c r="K29" s="96"/>
      <c r="L29" s="96">
        <v>4.7277860437943726</v>
      </c>
    </row>
    <row r="30" spans="1:12" s="77" customFormat="1">
      <c r="A30" s="303" t="s">
        <v>76</v>
      </c>
      <c r="B30" s="94"/>
      <c r="C30" s="94"/>
      <c r="D30" s="94"/>
      <c r="E30" s="94">
        <v>0.40459209271542057</v>
      </c>
      <c r="F30" s="96"/>
      <c r="G30" s="96"/>
      <c r="H30" s="94"/>
      <c r="I30" s="94">
        <v>3.2860783026088267</v>
      </c>
      <c r="J30" s="96">
        <v>0.95699744896004757</v>
      </c>
      <c r="K30" s="96"/>
      <c r="L30" s="96">
        <v>4.6476678442842951</v>
      </c>
    </row>
    <row r="31" spans="1:12" s="77" customFormat="1" ht="15.75">
      <c r="A31" s="304" t="s">
        <v>77</v>
      </c>
      <c r="B31" s="98">
        <v>2.5320977871021997</v>
      </c>
      <c r="C31" s="98">
        <v>47.778211196973203</v>
      </c>
      <c r="D31" s="98">
        <v>-45.395109251920701</v>
      </c>
      <c r="E31" s="98">
        <v>5.7843680537817681</v>
      </c>
      <c r="F31" s="98">
        <v>103.91274338838639</v>
      </c>
      <c r="G31" s="98">
        <v>14.961306964746345</v>
      </c>
      <c r="H31" s="98">
        <v>7.9184052899916004</v>
      </c>
      <c r="I31" s="98">
        <v>-44.551420407623326</v>
      </c>
      <c r="J31" s="98">
        <v>-3.6330927621837534</v>
      </c>
      <c r="K31" s="98">
        <v>-0.3869303525365434</v>
      </c>
      <c r="L31" s="98">
        <v>88.92057990671718</v>
      </c>
    </row>
    <row r="32" spans="1:12" s="77" customFormat="1" ht="15.75">
      <c r="A32" s="84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1:13" s="77" customFormat="1" ht="15.75">
      <c r="A33" s="306" t="s">
        <v>78</v>
      </c>
      <c r="B33" s="94">
        <v>0</v>
      </c>
      <c r="C33" s="96"/>
      <c r="D33" s="94">
        <v>1.4729206178416236</v>
      </c>
      <c r="E33" s="94">
        <v>10.500396800049039</v>
      </c>
      <c r="F33" s="96"/>
      <c r="G33" s="96"/>
      <c r="H33" s="94">
        <v>2.2533883417615286</v>
      </c>
      <c r="I33" s="94">
        <v>9.9189000147829578</v>
      </c>
      <c r="J33" s="94">
        <v>1.0888044989932395</v>
      </c>
      <c r="K33" s="94"/>
      <c r="L33" s="96">
        <v>25.234410273428388</v>
      </c>
      <c r="M33" s="100"/>
    </row>
    <row r="34" spans="1:13" s="77" customFormat="1" ht="15.75">
      <c r="A34" s="306" t="s">
        <v>79</v>
      </c>
      <c r="B34" s="96"/>
      <c r="C34" s="96"/>
      <c r="D34" s="94">
        <v>33.467243817501647</v>
      </c>
      <c r="E34" s="94">
        <v>0.45902890397400081</v>
      </c>
      <c r="F34" s="96"/>
      <c r="G34" s="96"/>
      <c r="H34" s="94">
        <v>3.0649318006802346</v>
      </c>
      <c r="I34" s="94">
        <v>2.1184928132217893</v>
      </c>
      <c r="J34" s="94"/>
      <c r="K34" s="103">
        <v>0</v>
      </c>
      <c r="L34" s="96">
        <v>39.109697335377675</v>
      </c>
      <c r="M34" s="100"/>
    </row>
    <row r="35" spans="1:13" s="77" customFormat="1">
      <c r="A35" s="303" t="s">
        <v>80</v>
      </c>
      <c r="B35" s="94">
        <v>0</v>
      </c>
      <c r="C35" s="96"/>
      <c r="D35" s="94">
        <v>3.9393678084627735</v>
      </c>
      <c r="E35" s="94">
        <v>9.6715864226456425</v>
      </c>
      <c r="F35" s="96"/>
      <c r="G35" s="96"/>
      <c r="H35" s="94">
        <v>9.5694574161932415</v>
      </c>
      <c r="I35" s="94">
        <v>12.545996400325794</v>
      </c>
      <c r="J35" s="94">
        <v>1.7548492723748692</v>
      </c>
      <c r="K35" s="94"/>
      <c r="L35" s="96">
        <v>37.481257320002321</v>
      </c>
      <c r="M35" s="100"/>
    </row>
    <row r="36" spans="1:13" s="77" customFormat="1">
      <c r="A36" s="303" t="s">
        <v>81</v>
      </c>
      <c r="B36" s="94">
        <v>0</v>
      </c>
      <c r="C36" s="96"/>
      <c r="D36" s="94">
        <v>1.2037428576368416</v>
      </c>
      <c r="E36" s="94">
        <v>4.7420165632308739</v>
      </c>
      <c r="F36" s="96"/>
      <c r="G36" s="96"/>
      <c r="H36" s="94">
        <v>2.1255433490207265</v>
      </c>
      <c r="I36" s="94">
        <v>12.383405198063125</v>
      </c>
      <c r="J36" s="94">
        <v>0.78298531976226649</v>
      </c>
      <c r="K36" s="94"/>
      <c r="L36" s="96">
        <v>21.237693287713832</v>
      </c>
      <c r="M36" s="100"/>
    </row>
    <row r="37" spans="1:13" s="77" customFormat="1">
      <c r="A37" s="303" t="s">
        <v>82</v>
      </c>
      <c r="B37" s="94">
        <v>2.2137192704974398E-3</v>
      </c>
      <c r="C37" s="96"/>
      <c r="D37" s="94">
        <v>2.65</v>
      </c>
      <c r="E37" s="94">
        <v>0.41</v>
      </c>
      <c r="F37" s="96"/>
      <c r="G37" s="96"/>
      <c r="H37" s="94">
        <v>0.24</v>
      </c>
      <c r="I37" s="94">
        <v>0.73170616791472998</v>
      </c>
      <c r="J37" s="94">
        <v>6.4536710533781346E-3</v>
      </c>
      <c r="K37" s="94"/>
      <c r="L37" s="96">
        <v>4.0403735582386053</v>
      </c>
      <c r="M37" s="100"/>
    </row>
    <row r="38" spans="1:13" s="77" customFormat="1" ht="15.75">
      <c r="A38" s="304" t="s">
        <v>83</v>
      </c>
      <c r="B38" s="98">
        <v>2.2137192704974398E-3</v>
      </c>
      <c r="C38" s="98">
        <v>0</v>
      </c>
      <c r="D38" s="98">
        <v>42.733275101442885</v>
      </c>
      <c r="E38" s="98">
        <v>25.783028689899556</v>
      </c>
      <c r="F38" s="98">
        <v>0</v>
      </c>
      <c r="G38" s="98">
        <v>0</v>
      </c>
      <c r="H38" s="98">
        <v>17.253320907655731</v>
      </c>
      <c r="I38" s="98">
        <v>37.698500594308399</v>
      </c>
      <c r="J38" s="98">
        <v>3.6330927621837534</v>
      </c>
      <c r="K38" s="98">
        <v>0</v>
      </c>
      <c r="L38" s="98">
        <v>127.10343177476082</v>
      </c>
    </row>
    <row r="39" spans="1:13" s="77" customFormat="1">
      <c r="A39" s="303" t="s">
        <v>84</v>
      </c>
      <c r="B39" s="96">
        <v>0.11450973903079993</v>
      </c>
      <c r="C39" s="96"/>
      <c r="D39" s="101">
        <v>10.358743329384168</v>
      </c>
      <c r="E39" s="101">
        <v>0.8575152317057565</v>
      </c>
      <c r="F39" s="96"/>
      <c r="G39" s="96"/>
      <c r="H39" s="96"/>
      <c r="I39" s="96"/>
      <c r="J39" s="96"/>
      <c r="K39" s="96">
        <v>0.3869303525365434</v>
      </c>
      <c r="L39" s="96">
        <v>11.717698652657267</v>
      </c>
    </row>
    <row r="40" spans="1:13" s="77" customFormat="1" ht="15.75">
      <c r="A40" s="304" t="s">
        <v>85</v>
      </c>
      <c r="B40" s="98">
        <v>0.11672345830129738</v>
      </c>
      <c r="C40" s="98">
        <v>0</v>
      </c>
      <c r="D40" s="98">
        <v>53.092018430827054</v>
      </c>
      <c r="E40" s="98">
        <v>26.640543921605314</v>
      </c>
      <c r="F40" s="98">
        <v>0</v>
      </c>
      <c r="G40" s="98">
        <v>0</v>
      </c>
      <c r="H40" s="98">
        <v>17.253320907655731</v>
      </c>
      <c r="I40" s="98">
        <v>37.698500594308399</v>
      </c>
      <c r="J40" s="98">
        <v>3.6330927621837534</v>
      </c>
      <c r="K40" s="98">
        <v>0.3869303525365434</v>
      </c>
      <c r="L40" s="98">
        <v>138.8211304274181</v>
      </c>
    </row>
    <row r="51" spans="1:12" s="77" customFormat="1" ht="15.75">
      <c r="A51" s="91" t="s">
        <v>88</v>
      </c>
      <c r="B51" s="80"/>
      <c r="C51" s="80"/>
      <c r="D51" s="80"/>
      <c r="E51" s="80"/>
      <c r="F51" s="80"/>
      <c r="G51" s="81"/>
      <c r="H51" s="80"/>
      <c r="I51" s="80"/>
      <c r="J51" s="80"/>
      <c r="K51" s="80"/>
      <c r="L51" s="80"/>
    </row>
    <row r="54" spans="1:12" s="77" customFormat="1" ht="45">
      <c r="A54" s="83" t="s">
        <v>51</v>
      </c>
      <c r="B54" s="301" t="s">
        <v>42</v>
      </c>
      <c r="C54" s="301" t="s">
        <v>52</v>
      </c>
      <c r="D54" s="301" t="s">
        <v>53</v>
      </c>
      <c r="E54" s="302" t="s">
        <v>54</v>
      </c>
      <c r="F54" s="302" t="s">
        <v>20</v>
      </c>
      <c r="G54" s="302" t="s">
        <v>55</v>
      </c>
      <c r="H54" s="301" t="s">
        <v>56</v>
      </c>
      <c r="I54" s="301" t="s">
        <v>57</v>
      </c>
      <c r="J54" s="301" t="s">
        <v>58</v>
      </c>
      <c r="K54" s="301" t="s">
        <v>31</v>
      </c>
      <c r="L54" s="301" t="s">
        <v>10</v>
      </c>
    </row>
    <row r="55" spans="1:12" s="77" customFormat="1" ht="15.75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</row>
    <row r="56" spans="1:12" s="77" customFormat="1">
      <c r="A56" s="303" t="s">
        <v>59</v>
      </c>
      <c r="B56" s="94">
        <v>0</v>
      </c>
      <c r="C56" s="94">
        <v>0.6</v>
      </c>
      <c r="D56" s="94">
        <v>0</v>
      </c>
      <c r="E56" s="94">
        <v>0.01</v>
      </c>
      <c r="F56" s="95">
        <v>87.505468116535909</v>
      </c>
      <c r="G56" s="95">
        <v>19.604471195184864</v>
      </c>
      <c r="H56" s="94">
        <v>27.652813608001015</v>
      </c>
      <c r="I56" s="96"/>
      <c r="J56" s="96"/>
      <c r="K56" s="96"/>
      <c r="L56" s="96">
        <v>135.37275291972179</v>
      </c>
    </row>
    <row r="57" spans="1:12" s="77" customFormat="1">
      <c r="A57" s="303" t="s">
        <v>60</v>
      </c>
      <c r="B57" s="94">
        <v>2.1426447253399448</v>
      </c>
      <c r="C57" s="94">
        <v>40.135568603962227</v>
      </c>
      <c r="D57" s="94">
        <v>11.603738828489348</v>
      </c>
      <c r="E57" s="94">
        <v>27.110364556531959</v>
      </c>
      <c r="F57" s="96"/>
      <c r="G57" s="96"/>
      <c r="H57" s="96">
        <v>1.1840600232316554</v>
      </c>
      <c r="I57" s="96">
        <v>0</v>
      </c>
      <c r="J57" s="96"/>
      <c r="K57" s="96"/>
      <c r="L57" s="96">
        <v>82.176376737555131</v>
      </c>
    </row>
    <row r="58" spans="1:12" s="77" customFormat="1">
      <c r="A58" s="303" t="s">
        <v>61</v>
      </c>
      <c r="B58" s="104">
        <v>0</v>
      </c>
      <c r="C58" s="104">
        <v>0</v>
      </c>
      <c r="D58" s="94">
        <v>0</v>
      </c>
      <c r="E58" s="104">
        <v>0</v>
      </c>
      <c r="F58" s="96"/>
      <c r="G58" s="96"/>
      <c r="H58" s="104">
        <v>0</v>
      </c>
      <c r="I58" s="96">
        <v>-5.338388011490764</v>
      </c>
      <c r="J58" s="96"/>
      <c r="K58" s="96"/>
      <c r="L58" s="96">
        <v>-5.338388011490764</v>
      </c>
    </row>
    <row r="59" spans="1:12" s="77" customFormat="1">
      <c r="A59" s="303" t="s">
        <v>62</v>
      </c>
      <c r="B59" s="96"/>
      <c r="C59" s="96"/>
      <c r="D59" s="96">
        <v>-1.1000000000000001</v>
      </c>
      <c r="E59" s="96"/>
      <c r="F59" s="96"/>
      <c r="G59" s="96"/>
      <c r="H59" s="96"/>
      <c r="I59" s="96"/>
      <c r="J59" s="96"/>
      <c r="K59" s="96"/>
      <c r="L59" s="96">
        <v>-1.1000000000000001</v>
      </c>
    </row>
    <row r="60" spans="1:12" s="77" customFormat="1">
      <c r="A60" s="303" t="s">
        <v>63</v>
      </c>
      <c r="B60" s="96"/>
      <c r="C60" s="96"/>
      <c r="D60" s="96">
        <v>-7.3263599105945998</v>
      </c>
      <c r="E60" s="96"/>
      <c r="F60" s="96"/>
      <c r="G60" s="96"/>
      <c r="H60" s="96"/>
      <c r="I60" s="96"/>
      <c r="J60" s="96"/>
      <c r="K60" s="96"/>
      <c r="L60" s="96">
        <v>-7.3263599105945998</v>
      </c>
    </row>
    <row r="61" spans="1:12" s="77" customFormat="1">
      <c r="A61" s="303" t="s">
        <v>64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>
        <v>0</v>
      </c>
    </row>
    <row r="62" spans="1:12" s="77" customFormat="1" ht="15.75">
      <c r="A62" s="304" t="s">
        <v>65</v>
      </c>
      <c r="B62" s="105">
        <v>2.1426447253399448</v>
      </c>
      <c r="C62" s="105">
        <v>40.735568603962228</v>
      </c>
      <c r="D62" s="105">
        <v>3.1773789178947487</v>
      </c>
      <c r="E62" s="105">
        <v>27.12036455653196</v>
      </c>
      <c r="F62" s="105">
        <v>87.505468116535909</v>
      </c>
      <c r="G62" s="105">
        <v>19.604471195184864</v>
      </c>
      <c r="H62" s="105">
        <v>28.83687363123267</v>
      </c>
      <c r="I62" s="105">
        <v>-5.338388011490764</v>
      </c>
      <c r="J62" s="105">
        <v>0</v>
      </c>
      <c r="K62" s="105"/>
      <c r="L62" s="105">
        <v>203.78438173519157</v>
      </c>
    </row>
    <row r="63" spans="1:12" s="77" customFormat="1" ht="15.75">
      <c r="A63" s="84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</row>
    <row r="64" spans="1:12" s="77" customFormat="1">
      <c r="A64" s="303" t="s">
        <v>66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>
        <v>0</v>
      </c>
    </row>
    <row r="65" spans="1:13" s="77" customFormat="1">
      <c r="A65" s="303" t="s">
        <v>67</v>
      </c>
      <c r="B65" s="94"/>
      <c r="C65" s="94"/>
      <c r="D65" s="94"/>
      <c r="E65" s="94"/>
      <c r="F65" s="96"/>
      <c r="G65" s="96"/>
      <c r="H65" s="96"/>
      <c r="I65" s="96"/>
      <c r="J65" s="96"/>
      <c r="K65" s="96"/>
      <c r="L65" s="96">
        <v>0</v>
      </c>
    </row>
    <row r="66" spans="1:13" s="77" customFormat="1">
      <c r="A66" s="303" t="s">
        <v>68</v>
      </c>
      <c r="B66" s="94">
        <v>0</v>
      </c>
      <c r="C66" s="94">
        <v>0</v>
      </c>
      <c r="D66" s="94"/>
      <c r="E66" s="94">
        <v>4.0829815025015792</v>
      </c>
      <c r="F66" s="95">
        <v>87.505468116535909</v>
      </c>
      <c r="G66" s="95">
        <v>19.604471195184864</v>
      </c>
      <c r="H66" s="94">
        <v>2.3645743766122096</v>
      </c>
      <c r="I66" s="94">
        <v>-50.266999999999996</v>
      </c>
      <c r="J66" s="96"/>
      <c r="K66" s="96"/>
      <c r="L66" s="96">
        <v>63.290495190834577</v>
      </c>
    </row>
    <row r="67" spans="1:13" s="77" customFormat="1">
      <c r="A67" s="303" t="s">
        <v>69</v>
      </c>
      <c r="B67" s="94"/>
      <c r="C67" s="94"/>
      <c r="D67" s="94"/>
      <c r="E67" s="94"/>
      <c r="F67" s="96"/>
      <c r="G67" s="96"/>
      <c r="H67" s="94"/>
      <c r="I67" s="94"/>
      <c r="J67" s="96"/>
      <c r="K67" s="96"/>
      <c r="L67" s="96">
        <v>0</v>
      </c>
    </row>
    <row r="68" spans="1:13" s="77" customFormat="1">
      <c r="A68" s="303" t="s">
        <v>70</v>
      </c>
      <c r="B68" s="94">
        <v>0</v>
      </c>
      <c r="C68" s="94"/>
      <c r="D68" s="94">
        <v>0</v>
      </c>
      <c r="E68" s="94">
        <v>1.1033714738962501</v>
      </c>
      <c r="F68" s="96"/>
      <c r="G68" s="96"/>
      <c r="H68" s="94">
        <v>3.4223564102833111</v>
      </c>
      <c r="I68" s="94"/>
      <c r="J68" s="96">
        <v>-5.0031456465819746</v>
      </c>
      <c r="K68" s="96"/>
      <c r="L68" s="96">
        <v>-0.47741776240241318</v>
      </c>
    </row>
    <row r="69" spans="1:13" s="77" customFormat="1">
      <c r="A69" s="303" t="s">
        <v>71</v>
      </c>
      <c r="B69" s="94"/>
      <c r="C69" s="94"/>
      <c r="D69" s="94"/>
      <c r="E69" s="94">
        <v>-3.0305707441718415</v>
      </c>
      <c r="F69" s="96"/>
      <c r="G69" s="96"/>
      <c r="H69" s="94">
        <v>3.7882134302148018</v>
      </c>
      <c r="I69" s="94"/>
      <c r="J69" s="96"/>
      <c r="K69" s="96"/>
      <c r="L69" s="96">
        <v>0.75764268604296037</v>
      </c>
    </row>
    <row r="70" spans="1:13" s="77" customFormat="1">
      <c r="A70" s="303" t="s">
        <v>72</v>
      </c>
      <c r="B70" s="94"/>
      <c r="C70" s="94">
        <v>40.735568603962228</v>
      </c>
      <c r="D70" s="94">
        <v>-39.731196478800598</v>
      </c>
      <c r="E70" s="94">
        <v>0.33698049084305848</v>
      </c>
      <c r="F70" s="96"/>
      <c r="G70" s="96"/>
      <c r="H70" s="94"/>
      <c r="I70" s="94"/>
      <c r="J70" s="96"/>
      <c r="K70" s="96"/>
      <c r="L70" s="96">
        <v>1.3413526160046889</v>
      </c>
    </row>
    <row r="71" spans="1:13" s="77" customFormat="1">
      <c r="A71" s="303" t="s">
        <v>73</v>
      </c>
      <c r="B71" s="94"/>
      <c r="C71" s="94"/>
      <c r="D71" s="94"/>
      <c r="E71" s="94"/>
      <c r="F71" s="96"/>
      <c r="G71" s="96"/>
      <c r="H71" s="94"/>
      <c r="I71" s="94">
        <v>2.1496130696474633</v>
      </c>
      <c r="J71" s="96"/>
      <c r="K71" s="96">
        <v>-1.7196904557179706</v>
      </c>
      <c r="L71" s="96">
        <v>0.42992261392949271</v>
      </c>
    </row>
    <row r="72" spans="1:13" s="77" customFormat="1">
      <c r="A72" s="303" t="s">
        <v>74</v>
      </c>
      <c r="B72" s="94">
        <v>2.1404310060694471</v>
      </c>
      <c r="C72" s="94"/>
      <c r="D72" s="94"/>
      <c r="E72" s="102">
        <v>-0.15477214101461736</v>
      </c>
      <c r="F72" s="107"/>
      <c r="G72" s="107"/>
      <c r="H72" s="102"/>
      <c r="I72" s="102">
        <v>-0.2063628546861565</v>
      </c>
      <c r="J72" s="96"/>
      <c r="K72" s="107">
        <v>0.42992261392949271</v>
      </c>
      <c r="L72" s="96">
        <v>2.209218624298166</v>
      </c>
    </row>
    <row r="73" spans="1:13" s="77" customFormat="1">
      <c r="A73" s="303" t="s">
        <v>75</v>
      </c>
      <c r="B73" s="94">
        <v>0</v>
      </c>
      <c r="C73" s="94"/>
      <c r="D73" s="94">
        <v>1.0782</v>
      </c>
      <c r="E73" s="94">
        <v>1.2420767288044043</v>
      </c>
      <c r="F73" s="96"/>
      <c r="G73" s="96"/>
      <c r="H73" s="94">
        <v>5.1017483519633131E-2</v>
      </c>
      <c r="I73" s="94">
        <v>2.3520206362854692</v>
      </c>
      <c r="J73" s="96"/>
      <c r="K73" s="96"/>
      <c r="L73" s="96">
        <v>4.7233148486095065</v>
      </c>
    </row>
    <row r="74" spans="1:13" s="77" customFormat="1">
      <c r="A74" s="303" t="s">
        <v>76</v>
      </c>
      <c r="B74" s="94"/>
      <c r="C74" s="94"/>
      <c r="D74" s="94"/>
      <c r="E74" s="94">
        <v>0.3535258483957765</v>
      </c>
      <c r="F74" s="96"/>
      <c r="G74" s="96"/>
      <c r="H74" s="94"/>
      <c r="I74" s="94">
        <v>3.2582065612805073</v>
      </c>
      <c r="J74" s="96">
        <v>1.0431162352605265</v>
      </c>
      <c r="K74" s="96"/>
      <c r="L74" s="96">
        <v>4.6548486449368109</v>
      </c>
    </row>
    <row r="75" spans="1:13" s="77" customFormat="1" ht="15.75">
      <c r="A75" s="304" t="s">
        <v>77</v>
      </c>
      <c r="B75" s="105">
        <v>2.1404310060694471</v>
      </c>
      <c r="C75" s="105">
        <v>40.735568603962228</v>
      </c>
      <c r="D75" s="105">
        <v>-38.652996478800596</v>
      </c>
      <c r="E75" s="105">
        <v>3.9335931592546101</v>
      </c>
      <c r="F75" s="105">
        <v>87.505468116535909</v>
      </c>
      <c r="G75" s="105">
        <v>19.604471195184864</v>
      </c>
      <c r="H75" s="105">
        <v>9.6261617006299556</v>
      </c>
      <c r="I75" s="105">
        <v>-42.71352258747271</v>
      </c>
      <c r="J75" s="105">
        <v>-3.960029411321448</v>
      </c>
      <c r="K75" s="98">
        <v>-1.2897678417884779</v>
      </c>
      <c r="L75" s="105">
        <v>76.929377462253782</v>
      </c>
    </row>
    <row r="76" spans="1:13" s="77" customFormat="1" ht="15.75">
      <c r="A76" s="84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</row>
    <row r="77" spans="1:13" s="77" customFormat="1" ht="15.75">
      <c r="A77" s="306" t="s">
        <v>78</v>
      </c>
      <c r="B77" s="94">
        <v>0</v>
      </c>
      <c r="C77" s="96"/>
      <c r="D77" s="94">
        <v>0.91047471072988595</v>
      </c>
      <c r="E77" s="94">
        <v>9.2828412206946656</v>
      </c>
      <c r="F77" s="96"/>
      <c r="G77" s="96"/>
      <c r="H77" s="94">
        <v>2.797481014933286</v>
      </c>
      <c r="I77" s="94">
        <v>9.8446264808181319</v>
      </c>
      <c r="J77" s="94">
        <v>1.0065715207299948</v>
      </c>
      <c r="K77" s="94"/>
      <c r="L77" s="96">
        <v>23.841994947905963</v>
      </c>
      <c r="M77" s="100"/>
    </row>
    <row r="78" spans="1:13" s="77" customFormat="1" ht="15.75">
      <c r="A78" s="306" t="s">
        <v>79</v>
      </c>
      <c r="B78" s="96"/>
      <c r="C78" s="96"/>
      <c r="D78" s="94">
        <v>27.751715068457877</v>
      </c>
      <c r="E78" s="94">
        <v>0.93047307809883106</v>
      </c>
      <c r="F78" s="96"/>
      <c r="G78" s="96"/>
      <c r="H78" s="94">
        <v>3.2186817504954033</v>
      </c>
      <c r="I78" s="94">
        <v>3.1579242402183425</v>
      </c>
      <c r="J78" s="94"/>
      <c r="K78" s="103">
        <v>0</v>
      </c>
      <c r="L78" s="108">
        <v>35.058794137270453</v>
      </c>
      <c r="M78" s="100"/>
    </row>
    <row r="79" spans="1:13" s="77" customFormat="1">
      <c r="A79" s="303" t="s">
        <v>80</v>
      </c>
      <c r="B79" s="94">
        <v>0</v>
      </c>
      <c r="C79" s="96"/>
      <c r="D79" s="94">
        <v>1.746497298641001</v>
      </c>
      <c r="E79" s="94">
        <v>8.4644882734430098</v>
      </c>
      <c r="F79" s="96"/>
      <c r="G79" s="96"/>
      <c r="H79" s="94">
        <v>10.300321992032506</v>
      </c>
      <c r="I79" s="94">
        <v>11.885627565252159</v>
      </c>
      <c r="J79" s="94">
        <v>2.1555790280909841</v>
      </c>
      <c r="K79" s="94"/>
      <c r="L79" s="96">
        <v>34.552514157459662</v>
      </c>
      <c r="M79" s="100"/>
    </row>
    <row r="80" spans="1:13" s="77" customFormat="1">
      <c r="A80" s="303" t="s">
        <v>81</v>
      </c>
      <c r="B80" s="94">
        <v>0</v>
      </c>
      <c r="C80" s="96"/>
      <c r="D80" s="94">
        <v>0.60659804706016329</v>
      </c>
      <c r="E80" s="94">
        <v>3.373347366526199</v>
      </c>
      <c r="F80" s="96"/>
      <c r="G80" s="96"/>
      <c r="H80" s="94">
        <v>2.5554110979101758</v>
      </c>
      <c r="I80" s="94">
        <v>11.711297347178387</v>
      </c>
      <c r="J80" s="94">
        <v>0.79142519144709034</v>
      </c>
      <c r="K80" s="94"/>
      <c r="L80" s="96">
        <v>19.038079050122015</v>
      </c>
      <c r="M80" s="100"/>
    </row>
    <row r="81" spans="1:13" s="77" customFormat="1">
      <c r="A81" s="303" t="s">
        <v>82</v>
      </c>
      <c r="B81" s="94">
        <v>2.2137192704974398E-3</v>
      </c>
      <c r="C81" s="96"/>
      <c r="D81" s="94">
        <v>2.28816075231342</v>
      </c>
      <c r="E81" s="94">
        <v>0.47763215046268398</v>
      </c>
      <c r="F81" s="96"/>
      <c r="G81" s="96"/>
      <c r="H81" s="94">
        <v>0.338816075231342</v>
      </c>
      <c r="I81" s="94">
        <v>0.77565894251492096</v>
      </c>
      <c r="J81" s="94">
        <v>6.4536710533781346E-3</v>
      </c>
      <c r="K81" s="94"/>
      <c r="L81" s="96">
        <v>3.8889353108462426</v>
      </c>
      <c r="M81" s="100"/>
    </row>
    <row r="82" spans="1:13" s="77" customFormat="1" ht="15.75">
      <c r="A82" s="304" t="s">
        <v>83</v>
      </c>
      <c r="B82" s="105">
        <v>2.2137192704974398E-3</v>
      </c>
      <c r="C82" s="105">
        <v>0</v>
      </c>
      <c r="D82" s="105">
        <v>33.30344587720235</v>
      </c>
      <c r="E82" s="105">
        <v>22.528782089225395</v>
      </c>
      <c r="F82" s="105">
        <v>0</v>
      </c>
      <c r="G82" s="105">
        <v>0</v>
      </c>
      <c r="H82" s="105">
        <v>19.210711930602717</v>
      </c>
      <c r="I82" s="105">
        <v>37.375134575981946</v>
      </c>
      <c r="J82" s="105">
        <v>3.9600294113214476</v>
      </c>
      <c r="K82" s="98">
        <v>0</v>
      </c>
      <c r="L82" s="105">
        <v>116.38031760360433</v>
      </c>
    </row>
    <row r="83" spans="1:13" s="77" customFormat="1">
      <c r="A83" s="303" t="s">
        <v>84</v>
      </c>
      <c r="B83" s="96">
        <v>0</v>
      </c>
      <c r="C83" s="96"/>
      <c r="D83" s="94">
        <v>8.5269295194929953</v>
      </c>
      <c r="E83" s="94">
        <v>0.65798930805195532</v>
      </c>
      <c r="F83" s="96"/>
      <c r="G83" s="96"/>
      <c r="H83" s="96"/>
      <c r="I83" s="96"/>
      <c r="J83" s="96"/>
      <c r="K83" s="96">
        <v>1.2897678417884779</v>
      </c>
      <c r="L83" s="96">
        <v>10.47468666933343</v>
      </c>
    </row>
    <row r="84" spans="1:13" s="77" customFormat="1" ht="15.75">
      <c r="A84" s="304" t="s">
        <v>85</v>
      </c>
      <c r="B84" s="105">
        <v>2.2137192704974398E-3</v>
      </c>
      <c r="C84" s="105">
        <v>0</v>
      </c>
      <c r="D84" s="105">
        <v>41.830375396695345</v>
      </c>
      <c r="E84" s="105">
        <v>23.186771397277351</v>
      </c>
      <c r="F84" s="105">
        <v>0</v>
      </c>
      <c r="G84" s="105">
        <v>0</v>
      </c>
      <c r="H84" s="105">
        <v>19.210711930602717</v>
      </c>
      <c r="I84" s="105">
        <v>37.375134575981946</v>
      </c>
      <c r="J84" s="105">
        <v>3.9600294113214476</v>
      </c>
      <c r="K84" s="105">
        <v>1.2897678417884779</v>
      </c>
      <c r="L84" s="105">
        <v>126.85500427293775</v>
      </c>
    </row>
    <row r="95" spans="1:13" s="77" customFormat="1" ht="15.75">
      <c r="A95" s="91" t="s">
        <v>89</v>
      </c>
      <c r="B95" s="80"/>
      <c r="C95" s="80"/>
      <c r="D95" s="80"/>
      <c r="E95" s="80"/>
      <c r="F95" s="80"/>
      <c r="G95" s="81"/>
      <c r="H95" s="80"/>
      <c r="I95" s="80"/>
      <c r="J95" s="80"/>
      <c r="K95" s="80"/>
      <c r="L95" s="80"/>
    </row>
    <row r="98" spans="1:14" s="77" customFormat="1" ht="45">
      <c r="A98" s="83" t="s">
        <v>51</v>
      </c>
      <c r="B98" s="301" t="s">
        <v>42</v>
      </c>
      <c r="C98" s="301" t="s">
        <v>52</v>
      </c>
      <c r="D98" s="301" t="s">
        <v>53</v>
      </c>
      <c r="E98" s="302" t="s">
        <v>54</v>
      </c>
      <c r="F98" s="302" t="s">
        <v>20</v>
      </c>
      <c r="G98" s="302" t="s">
        <v>55</v>
      </c>
      <c r="H98" s="301" t="s">
        <v>56</v>
      </c>
      <c r="I98" s="301" t="s">
        <v>57</v>
      </c>
      <c r="J98" s="301" t="s">
        <v>58</v>
      </c>
      <c r="K98" s="301" t="s">
        <v>31</v>
      </c>
      <c r="L98" s="301" t="s">
        <v>10</v>
      </c>
    </row>
    <row r="99" spans="1:14" s="77" customFormat="1" ht="15.75">
      <c r="A99" s="92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N99" s="82"/>
    </row>
    <row r="100" spans="1:14" s="77" customFormat="1">
      <c r="A100" s="303" t="s">
        <v>59</v>
      </c>
      <c r="B100" s="94">
        <v>0</v>
      </c>
      <c r="C100" s="94">
        <v>0</v>
      </c>
      <c r="D100" s="94">
        <v>0</v>
      </c>
      <c r="E100" s="94">
        <v>0</v>
      </c>
      <c r="F100" s="95">
        <v>27.345458786417471</v>
      </c>
      <c r="G100" s="95">
        <v>46.775580395528799</v>
      </c>
      <c r="H100" s="94">
        <v>39.150228110130641</v>
      </c>
      <c r="I100" s="96"/>
      <c r="J100" s="96"/>
      <c r="K100" s="96"/>
      <c r="L100" s="96">
        <v>113.27126729207691</v>
      </c>
    </row>
    <row r="101" spans="1:14" s="77" customFormat="1">
      <c r="A101" s="303" t="s">
        <v>60</v>
      </c>
      <c r="B101" s="94">
        <v>0.74697394369004599</v>
      </c>
      <c r="C101" s="94">
        <v>0</v>
      </c>
      <c r="D101" s="94">
        <v>15.265776616616671</v>
      </c>
      <c r="E101" s="94">
        <v>0</v>
      </c>
      <c r="F101" s="96"/>
      <c r="G101" s="96"/>
      <c r="H101" s="96">
        <v>0</v>
      </c>
      <c r="I101" s="108">
        <v>0</v>
      </c>
      <c r="J101" s="96"/>
      <c r="K101" s="96"/>
      <c r="L101" s="96">
        <v>16.012750560306717</v>
      </c>
    </row>
    <row r="102" spans="1:14" s="77" customFormat="1">
      <c r="A102" s="303" t="s">
        <v>61</v>
      </c>
      <c r="B102" s="94">
        <v>0</v>
      </c>
      <c r="C102" s="94">
        <v>0</v>
      </c>
      <c r="D102" s="94">
        <v>0</v>
      </c>
      <c r="E102" s="94">
        <v>0</v>
      </c>
      <c r="F102" s="96"/>
      <c r="G102" s="96"/>
      <c r="H102" s="94">
        <v>0</v>
      </c>
      <c r="I102" s="96">
        <v>-1.7515441453990022</v>
      </c>
      <c r="J102" s="96"/>
      <c r="K102" s="96"/>
      <c r="L102" s="96">
        <v>-1.7515441453990022</v>
      </c>
    </row>
    <row r="103" spans="1:14" s="77" customFormat="1">
      <c r="A103" s="303" t="s">
        <v>62</v>
      </c>
      <c r="B103" s="94"/>
      <c r="C103" s="94"/>
      <c r="D103" s="94">
        <v>-1.1000000000000001</v>
      </c>
      <c r="E103" s="94"/>
      <c r="F103" s="96"/>
      <c r="G103" s="96"/>
      <c r="H103" s="96"/>
      <c r="I103" s="96"/>
      <c r="J103" s="96"/>
      <c r="K103" s="96"/>
      <c r="L103" s="96">
        <v>-1.1000000000000001</v>
      </c>
    </row>
    <row r="104" spans="1:14" s="77" customFormat="1">
      <c r="A104" s="303" t="s">
        <v>63</v>
      </c>
      <c r="B104" s="94"/>
      <c r="C104" s="94"/>
      <c r="D104" s="94">
        <v>-9.8675445253719403</v>
      </c>
      <c r="E104" s="94"/>
      <c r="F104" s="96"/>
      <c r="G104" s="96"/>
      <c r="H104" s="96"/>
      <c r="I104" s="96"/>
      <c r="J104" s="96"/>
      <c r="K104" s="96"/>
      <c r="L104" s="96">
        <v>-9.8675445253719403</v>
      </c>
    </row>
    <row r="105" spans="1:14" s="77" customFormat="1">
      <c r="A105" s="303" t="s">
        <v>64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>
        <v>0</v>
      </c>
    </row>
    <row r="106" spans="1:14" s="77" customFormat="1" ht="15.75">
      <c r="A106" s="304" t="s">
        <v>65</v>
      </c>
      <c r="B106" s="98">
        <v>0.74697394369004599</v>
      </c>
      <c r="C106" s="98">
        <v>0</v>
      </c>
      <c r="D106" s="98">
        <v>4.2982320912447314</v>
      </c>
      <c r="E106" s="98">
        <v>0</v>
      </c>
      <c r="F106" s="98">
        <v>27.345458786417471</v>
      </c>
      <c r="G106" s="98">
        <v>46.775580395528799</v>
      </c>
      <c r="H106" s="98">
        <v>39.150228110130641</v>
      </c>
      <c r="I106" s="98">
        <v>-1.7515441453990022</v>
      </c>
      <c r="J106" s="98">
        <v>0</v>
      </c>
      <c r="K106" s="98"/>
      <c r="L106" s="98">
        <v>116.5649291816127</v>
      </c>
    </row>
    <row r="107" spans="1:14" s="77" customFormat="1" ht="15.75">
      <c r="A107" s="84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1:14" s="77" customFormat="1">
      <c r="A108" s="303" t="s">
        <v>66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>
        <v>0</v>
      </c>
    </row>
    <row r="109" spans="1:14" s="77" customFormat="1">
      <c r="A109" s="303" t="s">
        <v>67</v>
      </c>
      <c r="B109" s="94"/>
      <c r="C109" s="94"/>
      <c r="D109" s="94"/>
      <c r="E109" s="94"/>
      <c r="F109" s="96"/>
      <c r="G109" s="96"/>
      <c r="H109" s="94"/>
      <c r="I109" s="94"/>
      <c r="J109" s="96"/>
      <c r="K109" s="96"/>
      <c r="L109" s="96">
        <v>0</v>
      </c>
    </row>
    <row r="110" spans="1:14" s="77" customFormat="1">
      <c r="A110" s="303" t="s">
        <v>68</v>
      </c>
      <c r="B110" s="94">
        <v>0</v>
      </c>
      <c r="C110" s="94">
        <v>0</v>
      </c>
      <c r="D110" s="94"/>
      <c r="E110" s="94">
        <v>2.1496130696474633</v>
      </c>
      <c r="F110" s="94">
        <v>27.345458786417471</v>
      </c>
      <c r="G110" s="94">
        <v>46.775580395528799</v>
      </c>
      <c r="H110" s="94">
        <v>0</v>
      </c>
      <c r="I110" s="94">
        <v>-56.673999999999992</v>
      </c>
      <c r="J110" s="96"/>
      <c r="K110" s="96"/>
      <c r="L110" s="96">
        <v>19.596652251593738</v>
      </c>
    </row>
    <row r="111" spans="1:14" s="77" customFormat="1">
      <c r="A111" s="303" t="s">
        <v>69</v>
      </c>
      <c r="B111" s="94"/>
      <c r="C111" s="94"/>
      <c r="D111" s="94"/>
      <c r="E111" s="94"/>
      <c r="F111" s="96"/>
      <c r="G111" s="96"/>
      <c r="H111" s="94"/>
      <c r="I111" s="94"/>
      <c r="J111" s="96"/>
      <c r="K111" s="96"/>
      <c r="L111" s="96">
        <v>0</v>
      </c>
    </row>
    <row r="112" spans="1:14" s="77" customFormat="1">
      <c r="A112" s="303" t="s">
        <v>70</v>
      </c>
      <c r="B112" s="94">
        <v>0</v>
      </c>
      <c r="C112" s="94"/>
      <c r="D112" s="94">
        <v>0</v>
      </c>
      <c r="E112" s="94">
        <v>0.85449177920296737</v>
      </c>
      <c r="F112" s="96"/>
      <c r="G112" s="96"/>
      <c r="H112" s="94">
        <v>3.403615539978218</v>
      </c>
      <c r="I112" s="94"/>
      <c r="J112" s="96">
        <v>-5.1661619878122789</v>
      </c>
      <c r="K112" s="96"/>
      <c r="L112" s="96">
        <v>-0.90805466863109352</v>
      </c>
    </row>
    <row r="113" spans="1:14" s="77" customFormat="1">
      <c r="A113" s="303" t="s">
        <v>71</v>
      </c>
      <c r="B113" s="94"/>
      <c r="C113" s="94"/>
      <c r="D113" s="94"/>
      <c r="E113" s="94">
        <v>-13.268132354256622</v>
      </c>
      <c r="F113" s="96"/>
      <c r="G113" s="96"/>
      <c r="H113" s="94">
        <v>16.585165442820777</v>
      </c>
      <c r="I113" s="94"/>
      <c r="J113" s="96"/>
      <c r="K113" s="96"/>
      <c r="L113" s="96">
        <v>3.3170330885641555</v>
      </c>
    </row>
    <row r="114" spans="1:14" s="77" customFormat="1">
      <c r="A114" s="303" t="s">
        <v>72</v>
      </c>
      <c r="B114" s="94"/>
      <c r="C114" s="94">
        <v>0</v>
      </c>
      <c r="D114" s="94">
        <v>0</v>
      </c>
      <c r="E114" s="94">
        <v>0</v>
      </c>
      <c r="F114" s="96"/>
      <c r="G114" s="96"/>
      <c r="H114" s="94"/>
      <c r="I114" s="94"/>
      <c r="J114" s="96"/>
      <c r="K114" s="96"/>
      <c r="L114" s="96">
        <v>0</v>
      </c>
    </row>
    <row r="115" spans="1:14" s="77" customFormat="1">
      <c r="A115" s="303" t="s">
        <v>73</v>
      </c>
      <c r="B115" s="94"/>
      <c r="C115" s="94"/>
      <c r="D115" s="94"/>
      <c r="E115" s="94"/>
      <c r="F115" s="96"/>
      <c r="G115" s="96"/>
      <c r="H115" s="94"/>
      <c r="I115" s="94">
        <v>4.2992261392949267</v>
      </c>
      <c r="J115" s="96"/>
      <c r="K115" s="96">
        <v>-3.4393809114359413</v>
      </c>
      <c r="L115" s="96">
        <v>0.85984522785898543</v>
      </c>
    </row>
    <row r="116" spans="1:14" s="77" customFormat="1">
      <c r="A116" s="303" t="s">
        <v>74</v>
      </c>
      <c r="B116" s="94">
        <v>0.74476022441954859</v>
      </c>
      <c r="C116" s="94"/>
      <c r="D116" s="94"/>
      <c r="E116" s="102">
        <v>-0.30954428202923473</v>
      </c>
      <c r="F116" s="96"/>
      <c r="G116" s="96"/>
      <c r="H116" s="94"/>
      <c r="I116" s="94">
        <v>-1.0318142734307825</v>
      </c>
      <c r="J116" s="96"/>
      <c r="K116" s="107">
        <v>1.633705932932072</v>
      </c>
      <c r="L116" s="96">
        <v>1.0371076018916034</v>
      </c>
    </row>
    <row r="117" spans="1:14" s="77" customFormat="1">
      <c r="A117" s="303" t="s">
        <v>75</v>
      </c>
      <c r="B117" s="94">
        <v>0</v>
      </c>
      <c r="C117" s="94"/>
      <c r="D117" s="94">
        <v>0</v>
      </c>
      <c r="E117" s="334">
        <v>0</v>
      </c>
      <c r="F117" s="96"/>
      <c r="G117" s="96"/>
      <c r="H117" s="94">
        <v>5.1017483519633131E-2</v>
      </c>
      <c r="I117" s="94">
        <v>2.3441960447119525</v>
      </c>
      <c r="J117" s="96"/>
      <c r="K117" s="96"/>
      <c r="L117" s="96">
        <v>2.3952135282315856</v>
      </c>
      <c r="N117" s="97"/>
    </row>
    <row r="118" spans="1:14" s="77" customFormat="1">
      <c r="A118" s="303" t="s">
        <v>76</v>
      </c>
      <c r="B118" s="94"/>
      <c r="C118" s="94"/>
      <c r="D118" s="94"/>
      <c r="E118" s="94">
        <v>0.15893900909970565</v>
      </c>
      <c r="F118" s="96"/>
      <c r="G118" s="96"/>
      <c r="H118" s="94"/>
      <c r="I118" s="94">
        <v>3.6734955070724626</v>
      </c>
      <c r="J118" s="96">
        <v>1.077103851085037</v>
      </c>
      <c r="K118" s="96"/>
      <c r="L118" s="96">
        <v>4.9095383672572055</v>
      </c>
    </row>
    <row r="119" spans="1:14" s="77" customFormat="1" ht="15.75">
      <c r="A119" s="304" t="s">
        <v>77</v>
      </c>
      <c r="B119" s="98">
        <v>0.74476022441954859</v>
      </c>
      <c r="C119" s="98">
        <v>0</v>
      </c>
      <c r="D119" s="98">
        <v>0</v>
      </c>
      <c r="E119" s="98">
        <v>-10.414632778335719</v>
      </c>
      <c r="F119" s="98">
        <v>27.345458786417471</v>
      </c>
      <c r="G119" s="98">
        <v>46.775580395528799</v>
      </c>
      <c r="H119" s="98">
        <v>20.039798466318629</v>
      </c>
      <c r="I119" s="98">
        <v>-47.388896582351435</v>
      </c>
      <c r="J119" s="98">
        <v>-4.0890581367272416</v>
      </c>
      <c r="K119" s="98">
        <v>-1.8056749785038693</v>
      </c>
      <c r="L119" s="98">
        <v>31.20733539676618</v>
      </c>
    </row>
    <row r="120" spans="1:14" s="77" customFormat="1" ht="15.75">
      <c r="A120" s="84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1:14" s="77" customFormat="1" ht="15.75">
      <c r="A121" s="306" t="s">
        <v>78</v>
      </c>
      <c r="B121" s="94">
        <v>0</v>
      </c>
      <c r="C121" s="96"/>
      <c r="D121" s="94">
        <v>0</v>
      </c>
      <c r="E121" s="94">
        <v>2.6196131084152277</v>
      </c>
      <c r="F121" s="96"/>
      <c r="G121" s="96"/>
      <c r="H121" s="94">
        <v>2.4941614081810051</v>
      </c>
      <c r="I121" s="94">
        <v>15.692222796920932</v>
      </c>
      <c r="J121" s="94">
        <v>0.41499583184774225</v>
      </c>
      <c r="K121" s="94"/>
      <c r="L121" s="96">
        <v>21.220993145364908</v>
      </c>
      <c r="M121" s="100"/>
    </row>
    <row r="122" spans="1:14" s="77" customFormat="1" ht="15.75">
      <c r="A122" s="306" t="s">
        <v>79</v>
      </c>
      <c r="B122" s="108"/>
      <c r="C122" s="108"/>
      <c r="D122" s="94">
        <v>0.93045123347554903</v>
      </c>
      <c r="E122" s="94">
        <v>3.6028639370370201</v>
      </c>
      <c r="F122" s="96"/>
      <c r="G122" s="96"/>
      <c r="H122" s="94">
        <v>4.2184772740988761</v>
      </c>
      <c r="I122" s="94">
        <v>8.1773954821011205</v>
      </c>
      <c r="J122" s="94"/>
      <c r="K122" s="94">
        <v>8.5984522785898534E-2</v>
      </c>
      <c r="L122" s="96">
        <v>17.015172449498465</v>
      </c>
      <c r="M122" s="100"/>
    </row>
    <row r="123" spans="1:14" s="77" customFormat="1">
      <c r="A123" s="303" t="s">
        <v>80</v>
      </c>
      <c r="B123" s="94">
        <v>0</v>
      </c>
      <c r="C123" s="96"/>
      <c r="D123" s="94">
        <v>0.16812387266585074</v>
      </c>
      <c r="E123" s="94">
        <v>2.6677723755245331</v>
      </c>
      <c r="F123" s="96"/>
      <c r="G123" s="96"/>
      <c r="H123" s="94">
        <v>9.1119423382098859</v>
      </c>
      <c r="I123" s="94">
        <v>11.1263428965709</v>
      </c>
      <c r="J123" s="94">
        <v>2.1285056205612118</v>
      </c>
      <c r="K123" s="94"/>
      <c r="L123" s="96">
        <v>25.202687103532384</v>
      </c>
      <c r="M123" s="100"/>
    </row>
    <row r="124" spans="1:14" s="77" customFormat="1">
      <c r="A124" s="303" t="s">
        <v>81</v>
      </c>
      <c r="B124" s="94">
        <v>0</v>
      </c>
      <c r="C124" s="96"/>
      <c r="D124" s="94">
        <v>4.3808247608083023E-2</v>
      </c>
      <c r="E124" s="94">
        <v>0.54387058176361458</v>
      </c>
      <c r="F124" s="96"/>
      <c r="G124" s="96"/>
      <c r="H124" s="94">
        <v>2.4071612194730982</v>
      </c>
      <c r="I124" s="94">
        <v>9.9325738092989031</v>
      </c>
      <c r="J124" s="94">
        <v>1.5391030132649095</v>
      </c>
      <c r="K124" s="94"/>
      <c r="L124" s="96">
        <v>14.466516871408608</v>
      </c>
      <c r="M124" s="100"/>
    </row>
    <row r="125" spans="1:14" s="77" customFormat="1">
      <c r="A125" s="303" t="s">
        <v>82</v>
      </c>
      <c r="B125" s="94">
        <v>2.2137192704974398E-3</v>
      </c>
      <c r="C125" s="96"/>
      <c r="D125" s="94">
        <v>0</v>
      </c>
      <c r="E125" s="94">
        <v>0.69442453716561003</v>
      </c>
      <c r="F125" s="96"/>
      <c r="G125" s="96"/>
      <c r="H125" s="94">
        <v>0.87868740384914412</v>
      </c>
      <c r="I125" s="94">
        <v>0.708817452060579</v>
      </c>
      <c r="J125" s="94">
        <v>6.4536710533781346E-3</v>
      </c>
      <c r="K125" s="94"/>
      <c r="L125" s="96">
        <v>2.2905967833992089</v>
      </c>
      <c r="M125" s="100"/>
    </row>
    <row r="126" spans="1:14" s="77" customFormat="1" ht="15.75">
      <c r="A126" s="304" t="s">
        <v>83</v>
      </c>
      <c r="B126" s="98">
        <v>2.2137192704974398E-3</v>
      </c>
      <c r="C126" s="98">
        <v>0</v>
      </c>
      <c r="D126" s="98">
        <v>1.1423833537494827</v>
      </c>
      <c r="E126" s="98">
        <v>10.128544539906006</v>
      </c>
      <c r="F126" s="98">
        <v>0</v>
      </c>
      <c r="G126" s="98">
        <v>0</v>
      </c>
      <c r="H126" s="98">
        <v>19.110429643812012</v>
      </c>
      <c r="I126" s="98">
        <v>45.637352436952433</v>
      </c>
      <c r="J126" s="98">
        <v>4.0890581367272416</v>
      </c>
      <c r="K126" s="98">
        <v>8.5984522785898534E-2</v>
      </c>
      <c r="L126" s="98">
        <v>80.195966353203573</v>
      </c>
    </row>
    <row r="127" spans="1:14" s="77" customFormat="1">
      <c r="A127" s="303" t="s">
        <v>84</v>
      </c>
      <c r="B127" s="96">
        <v>0</v>
      </c>
      <c r="C127" s="96"/>
      <c r="D127" s="101">
        <v>3.1558487374952491</v>
      </c>
      <c r="E127" s="101">
        <v>0.28608823842971293</v>
      </c>
      <c r="F127" s="96"/>
      <c r="G127" s="96"/>
      <c r="H127" s="96"/>
      <c r="I127" s="96"/>
      <c r="J127" s="96"/>
      <c r="K127" s="96">
        <v>1.7196904557179706</v>
      </c>
      <c r="L127" s="96">
        <v>5.1616274316429323</v>
      </c>
    </row>
    <row r="128" spans="1:14" s="77" customFormat="1" ht="15.75">
      <c r="A128" s="304" t="s">
        <v>85</v>
      </c>
      <c r="B128" s="98">
        <v>2.2137192704974398E-3</v>
      </c>
      <c r="C128" s="98">
        <v>0</v>
      </c>
      <c r="D128" s="98">
        <v>4.2982320912447314</v>
      </c>
      <c r="E128" s="98">
        <v>10.414632778335719</v>
      </c>
      <c r="F128" s="98">
        <v>0</v>
      </c>
      <c r="G128" s="98">
        <v>0</v>
      </c>
      <c r="H128" s="98">
        <v>19.110429643812012</v>
      </c>
      <c r="I128" s="98">
        <v>45.637352436952433</v>
      </c>
      <c r="J128" s="98">
        <v>4.0890581367272416</v>
      </c>
      <c r="K128" s="98">
        <v>1.8056749785038693</v>
      </c>
      <c r="L128" s="98">
        <v>85.3575937848465</v>
      </c>
    </row>
    <row r="129" spans="9:9" s="77" customFormat="1">
      <c r="I129" s="77">
        <f>(I128+I118+I117+I115)*11.63</f>
        <v>650.74816158900944</v>
      </c>
    </row>
  </sheetData>
  <conditionalFormatting sqref="B11:L11">
    <cfRule type="cellIs" dxfId="97" priority="51" operator="equal">
      <formula>0</formula>
    </cfRule>
  </conditionalFormatting>
  <conditionalFormatting sqref="B55:L55">
    <cfRule type="cellIs" dxfId="96" priority="50" operator="equal">
      <formula>0</formula>
    </cfRule>
  </conditionalFormatting>
  <conditionalFormatting sqref="B100:E100 B111:K112 J110:K110 B106:L107 J101:K102 B117:K118 C116:K116 B114:K115 B113:G113 I113:K113 B119:J119 L119 B108:K109 B103:K105 B120:L126 B128:L128 H100:K100 B110:H110">
    <cfRule type="cellIs" dxfId="95" priority="49" operator="equal">
      <formula>0</formula>
    </cfRule>
  </conditionalFormatting>
  <conditionalFormatting sqref="B127:K127">
    <cfRule type="cellIs" dxfId="94" priority="48" operator="equal">
      <formula>0</formula>
    </cfRule>
  </conditionalFormatting>
  <conditionalFormatting sqref="B99:L99">
    <cfRule type="cellIs" dxfId="93" priority="47" operator="equal">
      <formula>0</formula>
    </cfRule>
  </conditionalFormatting>
  <conditionalFormatting sqref="L127">
    <cfRule type="cellIs" dxfId="92" priority="46" operator="equal">
      <formula>0</formula>
    </cfRule>
  </conditionalFormatting>
  <conditionalFormatting sqref="B12:E12 B23:K24 B22:H22 J22:K22 B19:L19 J13:K14 B29:K30 C28:K28 H12:K12 B26:K27 B25:D25 I25:K25 B32:L32 B31:J31 L31 B38:J38 B33:K37 B20:K21 B15:K17 L38 B18:J18 L18 B40:L40 F25:G25">
    <cfRule type="cellIs" dxfId="91" priority="45" operator="equal">
      <formula>0</formula>
    </cfRule>
  </conditionalFormatting>
  <conditionalFormatting sqref="B39:K39">
    <cfRule type="cellIs" dxfId="90" priority="44" operator="equal">
      <formula>0</formula>
    </cfRule>
  </conditionalFormatting>
  <conditionalFormatting sqref="B56:F56 B67:K68 B66:H66 J66:K66 B62:L63 J57:K58 B73:K74 C72:K72 H56:K56 B70:K71 B69:D69 I69:K69 B76:L76 B75:J75 L75 B82:J82 B77:K81 B64:K65 B59:K61 L82 B84:L84 F69:G69">
    <cfRule type="cellIs" dxfId="89" priority="43" operator="equal">
      <formula>0</formula>
    </cfRule>
  </conditionalFormatting>
  <conditionalFormatting sqref="B83:K83">
    <cfRule type="cellIs" dxfId="88" priority="42" operator="equal">
      <formula>0</formula>
    </cfRule>
  </conditionalFormatting>
  <conditionalFormatting sqref="I22">
    <cfRule type="cellIs" dxfId="87" priority="41" operator="equal">
      <formula>0</formula>
    </cfRule>
  </conditionalFormatting>
  <conditionalFormatting sqref="I66">
    <cfRule type="cellIs" dxfId="86" priority="40" operator="equal">
      <formula>0</formula>
    </cfRule>
  </conditionalFormatting>
  <conditionalFormatting sqref="I110">
    <cfRule type="cellIs" dxfId="85" priority="39" operator="equal">
      <formula>0</formula>
    </cfRule>
  </conditionalFormatting>
  <conditionalFormatting sqref="I57:I58">
    <cfRule type="cellIs" dxfId="84" priority="37" operator="equal">
      <formula>0</formula>
    </cfRule>
  </conditionalFormatting>
  <conditionalFormatting sqref="I101:I102">
    <cfRule type="cellIs" dxfId="83" priority="36" operator="equal">
      <formula>0</formula>
    </cfRule>
  </conditionalFormatting>
  <conditionalFormatting sqref="B13:C14 E13:H14">
    <cfRule type="cellIs" dxfId="82" priority="35" operator="equal">
      <formula>0</formula>
    </cfRule>
  </conditionalFormatting>
  <conditionalFormatting sqref="B57:C58 E57:H58">
    <cfRule type="cellIs" dxfId="81" priority="34" operator="equal">
      <formula>0</formula>
    </cfRule>
  </conditionalFormatting>
  <conditionalFormatting sqref="B101:C102 E101:H102">
    <cfRule type="cellIs" dxfId="80" priority="33" operator="equal">
      <formula>0</formula>
    </cfRule>
  </conditionalFormatting>
  <conditionalFormatting sqref="D13:D14">
    <cfRule type="cellIs" dxfId="79" priority="32" operator="equal">
      <formula>0</formula>
    </cfRule>
  </conditionalFormatting>
  <conditionalFormatting sqref="D57:D58">
    <cfRule type="cellIs" dxfId="78" priority="31" operator="equal">
      <formula>0</formula>
    </cfRule>
  </conditionalFormatting>
  <conditionalFormatting sqref="B28">
    <cfRule type="cellIs" dxfId="77" priority="29" operator="equal">
      <formula>0</formula>
    </cfRule>
  </conditionalFormatting>
  <conditionalFormatting sqref="B72">
    <cfRule type="cellIs" dxfId="76" priority="28" operator="equal">
      <formula>0</formula>
    </cfRule>
  </conditionalFormatting>
  <conditionalFormatting sqref="B116">
    <cfRule type="cellIs" dxfId="75" priority="27" operator="equal">
      <formula>0</formula>
    </cfRule>
  </conditionalFormatting>
  <conditionalFormatting sqref="F12">
    <cfRule type="cellIs" dxfId="74" priority="26" operator="equal">
      <formula>0</formula>
    </cfRule>
  </conditionalFormatting>
  <conditionalFormatting sqref="G12">
    <cfRule type="cellIs" dxfId="73" priority="25" operator="equal">
      <formula>0</formula>
    </cfRule>
  </conditionalFormatting>
  <conditionalFormatting sqref="H25">
    <cfRule type="cellIs" dxfId="72" priority="23" operator="equal">
      <formula>0</formula>
    </cfRule>
  </conditionalFormatting>
  <conditionalFormatting sqref="H69">
    <cfRule type="cellIs" dxfId="71" priority="22" operator="equal">
      <formula>0</formula>
    </cfRule>
  </conditionalFormatting>
  <conditionalFormatting sqref="H113">
    <cfRule type="cellIs" dxfId="70" priority="21" operator="equal">
      <formula>0</formula>
    </cfRule>
  </conditionalFormatting>
  <conditionalFormatting sqref="K31">
    <cfRule type="cellIs" dxfId="69" priority="20" operator="equal">
      <formula>0</formula>
    </cfRule>
  </conditionalFormatting>
  <conditionalFormatting sqref="K75">
    <cfRule type="cellIs" dxfId="68" priority="19" operator="equal">
      <formula>0</formula>
    </cfRule>
  </conditionalFormatting>
  <conditionalFormatting sqref="K119">
    <cfRule type="cellIs" dxfId="67" priority="18" operator="equal">
      <formula>0</formula>
    </cfRule>
  </conditionalFormatting>
  <conditionalFormatting sqref="L108:L118">
    <cfRule type="cellIs" dxfId="66" priority="17" operator="equal">
      <formula>0</formula>
    </cfRule>
  </conditionalFormatting>
  <conditionalFormatting sqref="L100:L105">
    <cfRule type="cellIs" dxfId="65" priority="16" operator="equal">
      <formula>0</formula>
    </cfRule>
  </conditionalFormatting>
  <conditionalFormatting sqref="L77:L81">
    <cfRule type="cellIs" dxfId="64" priority="15" operator="equal">
      <formula>0</formula>
    </cfRule>
  </conditionalFormatting>
  <conditionalFormatting sqref="L83">
    <cfRule type="cellIs" dxfId="63" priority="14" operator="equal">
      <formula>0</formula>
    </cfRule>
  </conditionalFormatting>
  <conditionalFormatting sqref="L64:L74">
    <cfRule type="cellIs" dxfId="62" priority="13" operator="equal">
      <formula>0</formula>
    </cfRule>
  </conditionalFormatting>
  <conditionalFormatting sqref="K82">
    <cfRule type="cellIs" dxfId="61" priority="8" operator="equal">
      <formula>0</formula>
    </cfRule>
  </conditionalFormatting>
  <conditionalFormatting sqref="K38">
    <cfRule type="cellIs" dxfId="60" priority="7" operator="equal">
      <formula>0</formula>
    </cfRule>
  </conditionalFormatting>
  <conditionalFormatting sqref="K18">
    <cfRule type="cellIs" dxfId="59" priority="6" operator="equal">
      <formula>0</formula>
    </cfRule>
  </conditionalFormatting>
  <conditionalFormatting sqref="E69">
    <cfRule type="cellIs" dxfId="58" priority="4" operator="equal">
      <formula>0</formula>
    </cfRule>
  </conditionalFormatting>
  <conditionalFormatting sqref="E25">
    <cfRule type="cellIs" dxfId="57" priority="3" operator="equal">
      <formula>0</formula>
    </cfRule>
  </conditionalFormatting>
  <conditionalFormatting sqref="F100">
    <cfRule type="cellIs" dxfId="56" priority="2" operator="equal">
      <formula>0</formula>
    </cfRule>
  </conditionalFormatting>
  <conditionalFormatting sqref="I13:I14">
    <cfRule type="cellIs" dxfId="55" priority="38" operator="equal">
      <formula>0</formula>
    </cfRule>
  </conditionalFormatting>
  <conditionalFormatting sqref="D101:D102">
    <cfRule type="cellIs" dxfId="54" priority="30" operator="equal">
      <formula>0</formula>
    </cfRule>
  </conditionalFormatting>
  <conditionalFormatting sqref="G56">
    <cfRule type="cellIs" dxfId="53" priority="24" operator="equal">
      <formula>0</formula>
    </cfRule>
  </conditionalFormatting>
  <conditionalFormatting sqref="L56:L61">
    <cfRule type="cellIs" dxfId="52" priority="12" operator="equal">
      <formula>0</formula>
    </cfRule>
  </conditionalFormatting>
  <conditionalFormatting sqref="L33:L37">
    <cfRule type="cellIs" dxfId="51" priority="11" operator="equal">
      <formula>0</formula>
    </cfRule>
  </conditionalFormatting>
  <conditionalFormatting sqref="L20:L30">
    <cfRule type="cellIs" dxfId="50" priority="10" operator="equal">
      <formula>0</formula>
    </cfRule>
  </conditionalFormatting>
  <conditionalFormatting sqref="L12:L17">
    <cfRule type="cellIs" dxfId="49" priority="9" operator="equal">
      <formula>0</formula>
    </cfRule>
  </conditionalFormatting>
  <conditionalFormatting sqref="L39">
    <cfRule type="cellIs" dxfId="48" priority="5" operator="equal">
      <formula>0</formula>
    </cfRule>
  </conditionalFormatting>
  <conditionalFormatting sqref="G100">
    <cfRule type="cellIs" dxfId="47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BZ41"/>
  <sheetViews>
    <sheetView topLeftCell="A10" workbookViewId="0">
      <selection activeCell="E22" sqref="E22"/>
    </sheetView>
  </sheetViews>
  <sheetFormatPr baseColWidth="10" defaultRowHeight="15"/>
  <cols>
    <col min="1" max="1" width="52.140625" style="77" customWidth="1"/>
    <col min="2" max="12" width="15.85546875" style="77" customWidth="1"/>
    <col min="13" max="15" width="11.42578125" style="77"/>
    <col min="16" max="16" width="52.140625" style="77" customWidth="1"/>
    <col min="17" max="26" width="15.7109375" style="77" customWidth="1"/>
    <col min="27" max="78" width="11.42578125" style="77"/>
    <col min="79" max="16384" width="11.42578125" style="300"/>
  </cols>
  <sheetData>
    <row r="1" spans="1:14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74"/>
      <c r="L1" s="76">
        <v>43273</v>
      </c>
    </row>
    <row r="5" spans="1:14" ht="21">
      <c r="A5" s="78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</row>
    <row r="7" spans="1:14" s="77" customFormat="1" ht="15.75">
      <c r="A7" s="91" t="s">
        <v>89</v>
      </c>
      <c r="B7" s="80"/>
      <c r="C7" s="80"/>
      <c r="D7" s="80"/>
      <c r="E7" s="80"/>
      <c r="F7" s="80"/>
      <c r="G7" s="81"/>
      <c r="H7" s="80"/>
      <c r="I7" s="80"/>
      <c r="J7" s="80"/>
      <c r="K7" s="80"/>
      <c r="L7" s="80"/>
    </row>
    <row r="10" spans="1:14" s="77" customFormat="1" ht="45">
      <c r="A10" s="83" t="s">
        <v>51</v>
      </c>
      <c r="B10" s="301" t="s">
        <v>42</v>
      </c>
      <c r="C10" s="301" t="s">
        <v>52</v>
      </c>
      <c r="D10" s="301" t="s">
        <v>53</v>
      </c>
      <c r="E10" s="302" t="s">
        <v>54</v>
      </c>
      <c r="F10" s="302" t="s">
        <v>20</v>
      </c>
      <c r="G10" s="302" t="s">
        <v>55</v>
      </c>
      <c r="H10" s="301" t="s">
        <v>56</v>
      </c>
      <c r="I10" s="301" t="s">
        <v>57</v>
      </c>
      <c r="J10" s="301" t="s">
        <v>58</v>
      </c>
      <c r="K10" s="301" t="s">
        <v>31</v>
      </c>
      <c r="L10" s="301" t="s">
        <v>10</v>
      </c>
    </row>
    <row r="11" spans="1:14" s="77" customFormat="1" ht="15.75">
      <c r="A11" s="92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N11" s="82"/>
    </row>
    <row r="12" spans="1:14" s="77" customFormat="1">
      <c r="A12" s="303" t="s">
        <v>59</v>
      </c>
      <c r="B12" s="94">
        <v>0</v>
      </c>
      <c r="C12" s="94">
        <v>0</v>
      </c>
      <c r="D12" s="94">
        <v>0</v>
      </c>
      <c r="E12" s="94">
        <v>0</v>
      </c>
      <c r="F12" s="95">
        <v>27.345458786417471</v>
      </c>
      <c r="G12" s="95">
        <v>46.775580395528799</v>
      </c>
      <c r="H12" s="94">
        <v>39.150228110130641</v>
      </c>
      <c r="I12" s="96"/>
      <c r="J12" s="96"/>
      <c r="K12" s="96"/>
      <c r="L12" s="96">
        <v>113.27126729207691</v>
      </c>
    </row>
    <row r="13" spans="1:14" s="77" customFormat="1">
      <c r="A13" s="303" t="s">
        <v>60</v>
      </c>
      <c r="B13" s="94">
        <v>0.74697394369004599</v>
      </c>
      <c r="C13" s="94">
        <v>0</v>
      </c>
      <c r="D13" s="94">
        <v>15.265776616616671</v>
      </c>
      <c r="E13" s="94">
        <v>0</v>
      </c>
      <c r="F13" s="96"/>
      <c r="G13" s="96"/>
      <c r="H13" s="96">
        <v>0</v>
      </c>
      <c r="I13" s="108">
        <v>0</v>
      </c>
      <c r="J13" s="96"/>
      <c r="K13" s="96"/>
      <c r="L13" s="96">
        <v>16.012750560306717</v>
      </c>
    </row>
    <row r="14" spans="1:14" s="77" customFormat="1">
      <c r="A14" s="303" t="s">
        <v>61</v>
      </c>
      <c r="B14" s="94">
        <v>0</v>
      </c>
      <c r="C14" s="94">
        <v>0</v>
      </c>
      <c r="D14" s="94">
        <v>0</v>
      </c>
      <c r="E14" s="94">
        <v>0</v>
      </c>
      <c r="F14" s="96"/>
      <c r="G14" s="96"/>
      <c r="H14" s="94">
        <v>0</v>
      </c>
      <c r="I14" s="96">
        <v>-1.7515441453990022</v>
      </c>
      <c r="J14" s="96"/>
      <c r="K14" s="96"/>
      <c r="L14" s="96">
        <v>-1.7515441453990022</v>
      </c>
    </row>
    <row r="15" spans="1:14" s="77" customFormat="1">
      <c r="A15" s="303" t="s">
        <v>62</v>
      </c>
      <c r="B15" s="94"/>
      <c r="C15" s="94"/>
      <c r="D15" s="94">
        <v>-1.1000000000000001</v>
      </c>
      <c r="E15" s="94"/>
      <c r="F15" s="96"/>
      <c r="G15" s="96"/>
      <c r="H15" s="96"/>
      <c r="I15" s="96"/>
      <c r="J15" s="96"/>
      <c r="K15" s="96"/>
      <c r="L15" s="96">
        <v>-1.1000000000000001</v>
      </c>
    </row>
    <row r="16" spans="1:14" s="77" customFormat="1">
      <c r="A16" s="303" t="s">
        <v>63</v>
      </c>
      <c r="B16" s="94"/>
      <c r="C16" s="94"/>
      <c r="D16" s="94">
        <v>-9.8675445253719403</v>
      </c>
      <c r="E16" s="94"/>
      <c r="F16" s="96"/>
      <c r="G16" s="96"/>
      <c r="H16" s="96"/>
      <c r="I16" s="96"/>
      <c r="J16" s="96"/>
      <c r="K16" s="96"/>
      <c r="L16" s="96">
        <v>-9.8675445253719403</v>
      </c>
    </row>
    <row r="17" spans="1:14" s="77" customFormat="1">
      <c r="A17" s="303" t="s">
        <v>64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>
        <v>0</v>
      </c>
    </row>
    <row r="18" spans="1:14" s="77" customFormat="1" ht="15.75">
      <c r="A18" s="304" t="s">
        <v>65</v>
      </c>
      <c r="B18" s="98">
        <v>0.74697394369004599</v>
      </c>
      <c r="C18" s="98">
        <v>0</v>
      </c>
      <c r="D18" s="98">
        <v>4.2982320912447314</v>
      </c>
      <c r="E18" s="98">
        <v>0</v>
      </c>
      <c r="F18" s="98">
        <v>27.345458786417471</v>
      </c>
      <c r="G18" s="98">
        <v>46.775580395528799</v>
      </c>
      <c r="H18" s="98">
        <v>39.150228110130641</v>
      </c>
      <c r="I18" s="98">
        <v>-1.7515441453990022</v>
      </c>
      <c r="J18" s="98">
        <v>0</v>
      </c>
      <c r="K18" s="98"/>
      <c r="L18" s="98">
        <v>116.5649291816127</v>
      </c>
    </row>
    <row r="19" spans="1:14" s="77" customFormat="1" ht="15.75">
      <c r="A19" s="84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1:14" s="77" customFormat="1">
      <c r="A20" s="303" t="s">
        <v>66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>
        <v>0</v>
      </c>
    </row>
    <row r="21" spans="1:14" s="77" customFormat="1">
      <c r="A21" s="303" t="s">
        <v>67</v>
      </c>
      <c r="B21" s="94"/>
      <c r="C21" s="94"/>
      <c r="D21" s="94"/>
      <c r="E21" s="94"/>
      <c r="F21" s="96"/>
      <c r="G21" s="96"/>
      <c r="H21" s="94"/>
      <c r="I21" s="94"/>
      <c r="J21" s="96"/>
      <c r="K21" s="96"/>
      <c r="L21" s="96">
        <v>0</v>
      </c>
    </row>
    <row r="22" spans="1:14" s="77" customFormat="1">
      <c r="A22" s="303" t="s">
        <v>68</v>
      </c>
      <c r="B22" s="94">
        <v>0</v>
      </c>
      <c r="C22" s="94">
        <v>0</v>
      </c>
      <c r="D22" s="94"/>
      <c r="E22" s="94">
        <v>2.1496130696474633</v>
      </c>
      <c r="F22" s="94">
        <v>27.345458786417471</v>
      </c>
      <c r="G22" s="94">
        <v>46.775580395528799</v>
      </c>
      <c r="H22" s="94">
        <v>0</v>
      </c>
      <c r="I22" s="94">
        <v>-56.673999999999992</v>
      </c>
      <c r="J22" s="96"/>
      <c r="K22" s="96"/>
      <c r="L22" s="96">
        <v>19.596652251593738</v>
      </c>
    </row>
    <row r="23" spans="1:14" s="77" customFormat="1">
      <c r="A23" s="303" t="s">
        <v>69</v>
      </c>
      <c r="B23" s="94"/>
      <c r="C23" s="94"/>
      <c r="D23" s="94"/>
      <c r="E23" s="94"/>
      <c r="F23" s="96"/>
      <c r="G23" s="96"/>
      <c r="H23" s="94"/>
      <c r="I23" s="94"/>
      <c r="J23" s="96"/>
      <c r="K23" s="96"/>
      <c r="L23" s="96">
        <v>0</v>
      </c>
    </row>
    <row r="24" spans="1:14" s="77" customFormat="1">
      <c r="A24" s="303" t="s">
        <v>70</v>
      </c>
      <c r="B24" s="94">
        <v>0</v>
      </c>
      <c r="C24" s="94"/>
      <c r="D24" s="94">
        <v>0</v>
      </c>
      <c r="E24" s="94">
        <v>0.85449177920296737</v>
      </c>
      <c r="F24" s="96"/>
      <c r="G24" s="96"/>
      <c r="H24" s="94">
        <v>3.403615539978218</v>
      </c>
      <c r="I24" s="94"/>
      <c r="J24" s="96">
        <v>-5.1661619878122789</v>
      </c>
      <c r="K24" s="96"/>
      <c r="L24" s="96">
        <v>-0.90805466863109352</v>
      </c>
    </row>
    <row r="25" spans="1:14" s="77" customFormat="1">
      <c r="A25" s="303" t="s">
        <v>71</v>
      </c>
      <c r="B25" s="94"/>
      <c r="C25" s="94"/>
      <c r="D25" s="94"/>
      <c r="E25" s="94">
        <v>-13.268132354256622</v>
      </c>
      <c r="F25" s="96"/>
      <c r="G25" s="96"/>
      <c r="H25" s="94">
        <v>16.585165442820777</v>
      </c>
      <c r="I25" s="94"/>
      <c r="J25" s="96"/>
      <c r="K25" s="96"/>
      <c r="L25" s="96">
        <v>3.3170330885641555</v>
      </c>
    </row>
    <row r="26" spans="1:14" s="77" customFormat="1">
      <c r="A26" s="303" t="s">
        <v>72</v>
      </c>
      <c r="B26" s="94"/>
      <c r="C26" s="94">
        <v>0</v>
      </c>
      <c r="D26" s="94">
        <v>0</v>
      </c>
      <c r="E26" s="94">
        <v>0</v>
      </c>
      <c r="F26" s="96"/>
      <c r="G26" s="96"/>
      <c r="H26" s="94"/>
      <c r="I26" s="94"/>
      <c r="J26" s="96"/>
      <c r="K26" s="96"/>
      <c r="L26" s="96">
        <v>0</v>
      </c>
    </row>
    <row r="27" spans="1:14" s="77" customFormat="1">
      <c r="A27" s="303" t="s">
        <v>73</v>
      </c>
      <c r="B27" s="94"/>
      <c r="C27" s="94"/>
      <c r="D27" s="94"/>
      <c r="E27" s="94"/>
      <c r="F27" s="96"/>
      <c r="G27" s="96"/>
      <c r="H27" s="94"/>
      <c r="I27" s="94">
        <v>4.2992261392949267</v>
      </c>
      <c r="J27" s="96"/>
      <c r="K27" s="96">
        <v>-3.4393809114359413</v>
      </c>
      <c r="L27" s="96">
        <v>0.85984522785898543</v>
      </c>
    </row>
    <row r="28" spans="1:14" s="77" customFormat="1">
      <c r="A28" s="303" t="s">
        <v>74</v>
      </c>
      <c r="B28" s="94">
        <v>0.74476022441954859</v>
      </c>
      <c r="C28" s="94"/>
      <c r="D28" s="94"/>
      <c r="E28" s="102">
        <v>-0.30954428202923473</v>
      </c>
      <c r="F28" s="96"/>
      <c r="G28" s="96"/>
      <c r="H28" s="94"/>
      <c r="I28" s="94">
        <v>-1.0318142734307825</v>
      </c>
      <c r="J28" s="96"/>
      <c r="K28" s="107">
        <v>1.633705932932072</v>
      </c>
      <c r="L28" s="96">
        <v>1.0371076018916034</v>
      </c>
    </row>
    <row r="29" spans="1:14" s="77" customFormat="1">
      <c r="A29" s="303" t="s">
        <v>75</v>
      </c>
      <c r="B29" s="94">
        <v>0</v>
      </c>
      <c r="C29" s="94"/>
      <c r="D29" s="94">
        <v>0</v>
      </c>
      <c r="E29" s="334">
        <v>0</v>
      </c>
      <c r="F29" s="96"/>
      <c r="G29" s="96"/>
      <c r="H29" s="94">
        <v>5.1017483519633131E-2</v>
      </c>
      <c r="I29" s="94">
        <v>2.3441960447119525</v>
      </c>
      <c r="J29" s="96"/>
      <c r="K29" s="96"/>
      <c r="L29" s="96">
        <v>2.3952135282315856</v>
      </c>
      <c r="N29" s="97"/>
    </row>
    <row r="30" spans="1:14" s="77" customFormat="1">
      <c r="A30" s="303" t="s">
        <v>76</v>
      </c>
      <c r="B30" s="94"/>
      <c r="C30" s="94"/>
      <c r="D30" s="94"/>
      <c r="E30" s="94">
        <v>0.15893900909970565</v>
      </c>
      <c r="F30" s="96"/>
      <c r="G30" s="96"/>
      <c r="H30" s="94"/>
      <c r="I30" s="94">
        <v>3.6734955070724626</v>
      </c>
      <c r="J30" s="96">
        <v>1.077103851085037</v>
      </c>
      <c r="K30" s="96"/>
      <c r="L30" s="96">
        <v>4.9095383672572055</v>
      </c>
    </row>
    <row r="31" spans="1:14" s="77" customFormat="1" ht="15.75">
      <c r="A31" s="304" t="s">
        <v>77</v>
      </c>
      <c r="B31" s="98">
        <v>0.74476022441954859</v>
      </c>
      <c r="C31" s="98">
        <v>0</v>
      </c>
      <c r="D31" s="98">
        <v>0</v>
      </c>
      <c r="E31" s="98">
        <v>-10.414632778335719</v>
      </c>
      <c r="F31" s="98">
        <v>27.345458786417471</v>
      </c>
      <c r="G31" s="98">
        <v>46.775580395528799</v>
      </c>
      <c r="H31" s="98">
        <v>20.039798466318629</v>
      </c>
      <c r="I31" s="98">
        <v>-47.388896582351435</v>
      </c>
      <c r="J31" s="98">
        <v>-4.0890581367272416</v>
      </c>
      <c r="K31" s="98">
        <v>-1.8056749785038693</v>
      </c>
      <c r="L31" s="98">
        <v>31.20733539676618</v>
      </c>
    </row>
    <row r="32" spans="1:14" s="77" customFormat="1" ht="15.75">
      <c r="A32" s="84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1:13" s="77" customFormat="1" ht="15.75">
      <c r="A33" s="306" t="s">
        <v>78</v>
      </c>
      <c r="B33" s="94">
        <v>0</v>
      </c>
      <c r="C33" s="96"/>
      <c r="D33" s="94">
        <v>0</v>
      </c>
      <c r="E33" s="94">
        <v>2.6196131084152277</v>
      </c>
      <c r="F33" s="96"/>
      <c r="G33" s="96"/>
      <c r="H33" s="94">
        <v>2.4941614081810051</v>
      </c>
      <c r="I33" s="94">
        <v>15.692222796920932</v>
      </c>
      <c r="J33" s="94">
        <v>0.41499583184774225</v>
      </c>
      <c r="K33" s="94"/>
      <c r="L33" s="96">
        <v>21.220993145364908</v>
      </c>
      <c r="M33" s="100"/>
    </row>
    <row r="34" spans="1:13" s="77" customFormat="1" ht="15.75">
      <c r="A34" s="306" t="s">
        <v>79</v>
      </c>
      <c r="B34" s="108"/>
      <c r="C34" s="108"/>
      <c r="D34" s="94">
        <v>0.93045123347554903</v>
      </c>
      <c r="E34" s="94">
        <v>3.6028639370370201</v>
      </c>
      <c r="F34" s="96"/>
      <c r="G34" s="96"/>
      <c r="H34" s="94">
        <v>4.2184772740988761</v>
      </c>
      <c r="I34" s="94">
        <v>8.1773954821011205</v>
      </c>
      <c r="J34" s="94"/>
      <c r="K34" s="94">
        <v>8.5984522785898534E-2</v>
      </c>
      <c r="L34" s="96">
        <v>17.015172449498465</v>
      </c>
      <c r="M34" s="100"/>
    </row>
    <row r="35" spans="1:13" s="77" customFormat="1">
      <c r="A35" s="303" t="s">
        <v>80</v>
      </c>
      <c r="B35" s="94">
        <v>0</v>
      </c>
      <c r="C35" s="96"/>
      <c r="D35" s="94">
        <v>0.16812387266585074</v>
      </c>
      <c r="E35" s="94">
        <v>2.6677723755245331</v>
      </c>
      <c r="F35" s="96"/>
      <c r="G35" s="96"/>
      <c r="H35" s="94">
        <v>9.1119423382098859</v>
      </c>
      <c r="I35" s="94">
        <v>11.1263428965709</v>
      </c>
      <c r="J35" s="94">
        <v>2.1285056205612118</v>
      </c>
      <c r="K35" s="94"/>
      <c r="L35" s="96">
        <v>25.202687103532384</v>
      </c>
      <c r="M35" s="100"/>
    </row>
    <row r="36" spans="1:13" s="77" customFormat="1">
      <c r="A36" s="303" t="s">
        <v>81</v>
      </c>
      <c r="B36" s="94">
        <v>0</v>
      </c>
      <c r="C36" s="96"/>
      <c r="D36" s="94">
        <v>4.3808247608083023E-2</v>
      </c>
      <c r="E36" s="94">
        <v>0.54387058176361458</v>
      </c>
      <c r="F36" s="96"/>
      <c r="G36" s="96"/>
      <c r="H36" s="94">
        <v>2.4071612194730982</v>
      </c>
      <c r="I36" s="94">
        <v>9.9325738092989031</v>
      </c>
      <c r="J36" s="94">
        <v>1.5391030132649095</v>
      </c>
      <c r="K36" s="94"/>
      <c r="L36" s="96">
        <v>14.466516871408608</v>
      </c>
      <c r="M36" s="100"/>
    </row>
    <row r="37" spans="1:13" s="77" customFormat="1">
      <c r="A37" s="303" t="s">
        <v>82</v>
      </c>
      <c r="B37" s="94">
        <v>2.2137192704974398E-3</v>
      </c>
      <c r="C37" s="96"/>
      <c r="D37" s="94">
        <v>0</v>
      </c>
      <c r="E37" s="94">
        <v>0.69442453716561003</v>
      </c>
      <c r="F37" s="96"/>
      <c r="G37" s="96"/>
      <c r="H37" s="94">
        <v>0.87868740384914412</v>
      </c>
      <c r="I37" s="94">
        <v>0.708817452060579</v>
      </c>
      <c r="J37" s="94">
        <v>6.4536710533781346E-3</v>
      </c>
      <c r="K37" s="94"/>
      <c r="L37" s="96">
        <v>2.2905967833992089</v>
      </c>
      <c r="M37" s="100"/>
    </row>
    <row r="38" spans="1:13" s="77" customFormat="1" ht="15.75">
      <c r="A38" s="304" t="s">
        <v>83</v>
      </c>
      <c r="B38" s="98">
        <v>2.2137192704974398E-3</v>
      </c>
      <c r="C38" s="98">
        <v>0</v>
      </c>
      <c r="D38" s="98">
        <v>1.1423833537494827</v>
      </c>
      <c r="E38" s="98">
        <v>10.128544539906006</v>
      </c>
      <c r="F38" s="98">
        <v>0</v>
      </c>
      <c r="G38" s="98">
        <v>0</v>
      </c>
      <c r="H38" s="98">
        <v>19.110429643812012</v>
      </c>
      <c r="I38" s="98">
        <v>45.637352436952433</v>
      </c>
      <c r="J38" s="98">
        <v>4.0890581367272416</v>
      </c>
      <c r="K38" s="98">
        <v>8.5984522785898534E-2</v>
      </c>
      <c r="L38" s="98">
        <v>80.195966353203573</v>
      </c>
    </row>
    <row r="39" spans="1:13" s="77" customFormat="1">
      <c r="A39" s="303" t="s">
        <v>84</v>
      </c>
      <c r="B39" s="96">
        <v>0</v>
      </c>
      <c r="C39" s="96"/>
      <c r="D39" s="101">
        <v>3.1558487374952491</v>
      </c>
      <c r="E39" s="101">
        <v>0.28608823842971293</v>
      </c>
      <c r="F39" s="96"/>
      <c r="G39" s="96"/>
      <c r="H39" s="96"/>
      <c r="I39" s="96"/>
      <c r="J39" s="96"/>
      <c r="K39" s="96">
        <v>1.7196904557179706</v>
      </c>
      <c r="L39" s="96">
        <v>5.1616274316429323</v>
      </c>
    </row>
    <row r="40" spans="1:13" s="77" customFormat="1" ht="15.75">
      <c r="A40" s="304" t="s">
        <v>85</v>
      </c>
      <c r="B40" s="98">
        <v>2.2137192704974398E-3</v>
      </c>
      <c r="C40" s="98">
        <v>0</v>
      </c>
      <c r="D40" s="98">
        <v>4.2982320912447314</v>
      </c>
      <c r="E40" s="98">
        <v>10.414632778335719</v>
      </c>
      <c r="F40" s="98">
        <v>0</v>
      </c>
      <c r="G40" s="98">
        <v>0</v>
      </c>
      <c r="H40" s="98">
        <v>19.110429643812012</v>
      </c>
      <c r="I40" s="98">
        <v>45.637352436952433</v>
      </c>
      <c r="J40" s="98">
        <v>4.0890581367272416</v>
      </c>
      <c r="K40" s="98">
        <v>1.8056749785038693</v>
      </c>
      <c r="L40" s="98">
        <v>85.3575937848465</v>
      </c>
    </row>
    <row r="41" spans="1:13" s="77" customFormat="1">
      <c r="I41" s="77">
        <f>(I40+I30+I29+I27)*11.63</f>
        <v>650.74816158900944</v>
      </c>
    </row>
  </sheetData>
  <conditionalFormatting sqref="B12:E12 B23:K24 J22:K22 B18:L19 J13:K14 B29:K30 C28:K28 B26:K27 B25:G25 I25:K25 B31:J31 L31 B20:K21 B15:K17 B32:L38 B40:L40 H12:K12 B22:H22">
    <cfRule type="cellIs" dxfId="14" priority="15" operator="equal">
      <formula>0</formula>
    </cfRule>
  </conditionalFormatting>
  <conditionalFormatting sqref="B39:K39">
    <cfRule type="cellIs" dxfId="13" priority="14" operator="equal">
      <formula>0</formula>
    </cfRule>
  </conditionalFormatting>
  <conditionalFormatting sqref="B11:L11">
    <cfRule type="cellIs" dxfId="12" priority="13" operator="equal">
      <formula>0</formula>
    </cfRule>
  </conditionalFormatting>
  <conditionalFormatting sqref="L39">
    <cfRule type="cellIs" dxfId="11" priority="12" operator="equal">
      <formula>0</formula>
    </cfRule>
  </conditionalFormatting>
  <conditionalFormatting sqref="I22">
    <cfRule type="cellIs" dxfId="10" priority="11" operator="equal">
      <formula>0</formula>
    </cfRule>
  </conditionalFormatting>
  <conditionalFormatting sqref="I13:I14">
    <cfRule type="cellIs" dxfId="9" priority="10" operator="equal">
      <formula>0</formula>
    </cfRule>
  </conditionalFormatting>
  <conditionalFormatting sqref="B13:C14 E13:H14">
    <cfRule type="cellIs" dxfId="8" priority="9" operator="equal">
      <formula>0</formula>
    </cfRule>
  </conditionalFormatting>
  <conditionalFormatting sqref="D13:D14">
    <cfRule type="cellIs" dxfId="7" priority="8" operator="equal">
      <formula>0</formula>
    </cfRule>
  </conditionalFormatting>
  <conditionalFormatting sqref="B28">
    <cfRule type="cellIs" dxfId="6" priority="7" operator="equal">
      <formula>0</formula>
    </cfRule>
  </conditionalFormatting>
  <conditionalFormatting sqref="H25">
    <cfRule type="cellIs" dxfId="5" priority="6" operator="equal">
      <formula>0</formula>
    </cfRule>
  </conditionalFormatting>
  <conditionalFormatting sqref="K31">
    <cfRule type="cellIs" dxfId="4" priority="5" operator="equal">
      <formula>0</formula>
    </cfRule>
  </conditionalFormatting>
  <conditionalFormatting sqref="L20:L30">
    <cfRule type="cellIs" dxfId="3" priority="4" operator="equal">
      <formula>0</formula>
    </cfRule>
  </conditionalFormatting>
  <conditionalFormatting sqref="L12:L17">
    <cfRule type="cellIs" dxfId="2" priority="3" operator="equal">
      <formula>0</formula>
    </cfRule>
  </conditionalFormatting>
  <conditionalFormatting sqref="F12">
    <cfRule type="cellIs" dxfId="1" priority="2" operator="equal">
      <formula>0</formula>
    </cfRule>
  </conditionalFormatting>
  <conditionalFormatting sqref="G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BZ642"/>
  <sheetViews>
    <sheetView workbookViewId="0"/>
  </sheetViews>
  <sheetFormatPr baseColWidth="10" defaultRowHeight="15"/>
  <cols>
    <col min="1" max="1" width="38.140625" style="168" customWidth="1"/>
    <col min="2" max="5" width="12.28515625" style="170" customWidth="1"/>
    <col min="6" max="7" width="12.28515625" style="171" customWidth="1"/>
    <col min="8" max="12" width="13.140625" style="171" customWidth="1"/>
    <col min="13" max="78" width="11.42578125" style="168"/>
  </cols>
  <sheetData>
    <row r="1" spans="1:18" ht="28.5">
      <c r="A1" s="72" t="s">
        <v>45</v>
      </c>
      <c r="B1" s="73"/>
      <c r="C1" s="73"/>
      <c r="D1" s="73"/>
      <c r="E1" s="73"/>
      <c r="F1" s="74" t="s">
        <v>46</v>
      </c>
      <c r="G1" s="75" t="s">
        <v>47</v>
      </c>
      <c r="H1" s="75"/>
      <c r="I1" s="74" t="s">
        <v>48</v>
      </c>
      <c r="J1" s="75">
        <v>4</v>
      </c>
      <c r="K1" s="74" t="s">
        <v>49</v>
      </c>
      <c r="L1" s="167">
        <v>43273</v>
      </c>
    </row>
    <row r="2" spans="1:18" ht="26.25">
      <c r="B2" s="169"/>
    </row>
    <row r="3" spans="1:18" ht="21">
      <c r="A3" s="172"/>
      <c r="B3" s="173"/>
      <c r="C3" s="168"/>
      <c r="D3" s="174"/>
      <c r="E3" s="173"/>
      <c r="F3" s="175"/>
    </row>
    <row r="4" spans="1:18">
      <c r="B4" s="168"/>
    </row>
    <row r="5" spans="1:18" ht="21">
      <c r="A5" s="78" t="s">
        <v>96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</row>
    <row r="6" spans="1:18">
      <c r="B6" s="171"/>
      <c r="C6" s="171"/>
      <c r="D6" s="171"/>
      <c r="E6" s="171"/>
    </row>
    <row r="7" spans="1:18" ht="16.5" thickBot="1">
      <c r="A7" s="91" t="s">
        <v>97</v>
      </c>
      <c r="B7" s="81"/>
      <c r="C7" s="81"/>
      <c r="D7" s="81"/>
      <c r="E7" s="81"/>
      <c r="F7" s="80"/>
      <c r="G7" s="80"/>
      <c r="H7" s="80"/>
      <c r="I7" s="80"/>
      <c r="J7" s="80"/>
      <c r="K7" s="80"/>
      <c r="L7" s="80"/>
    </row>
    <row r="8" spans="1:18" ht="15.75" thickBot="1">
      <c r="A8" s="177" t="s">
        <v>51</v>
      </c>
      <c r="B8" s="178">
        <v>2000</v>
      </c>
      <c r="C8" s="178">
        <v>2015</v>
      </c>
      <c r="D8" s="178">
        <v>2020</v>
      </c>
      <c r="E8" s="178">
        <v>2025</v>
      </c>
      <c r="F8" s="178">
        <v>2030</v>
      </c>
      <c r="G8" s="178">
        <v>2050</v>
      </c>
      <c r="H8" s="179" t="s">
        <v>98</v>
      </c>
      <c r="I8" s="178" t="s">
        <v>99</v>
      </c>
      <c r="J8" s="178" t="s">
        <v>100</v>
      </c>
      <c r="K8" s="178" t="s">
        <v>101</v>
      </c>
      <c r="L8" s="180" t="s">
        <v>102</v>
      </c>
    </row>
    <row r="9" spans="1:18">
      <c r="A9" s="181" t="s">
        <v>103</v>
      </c>
      <c r="B9" s="182">
        <v>6.4882208233774001</v>
      </c>
      <c r="C9" s="182">
        <v>3.3110847535138079</v>
      </c>
      <c r="D9" s="182">
        <v>2.711658272486015</v>
      </c>
      <c r="E9" s="182">
        <v>2.0694837573480234</v>
      </c>
      <c r="F9" s="182">
        <v>1.2792356916645726</v>
      </c>
      <c r="G9" s="182">
        <v>0.14301841888332004</v>
      </c>
      <c r="H9" s="183">
        <v>-4.3856717185363436E-2</v>
      </c>
      <c r="I9" s="184">
        <v>-3.9155890253509851E-2</v>
      </c>
      <c r="J9" s="184">
        <v>-5.2617380910608635E-2</v>
      </c>
      <c r="K9" s="184">
        <v>-9.1724270817560183E-2</v>
      </c>
      <c r="L9" s="185">
        <v>-0.10376464890595904</v>
      </c>
      <c r="M9" s="186"/>
    </row>
    <row r="10" spans="1:18">
      <c r="A10" s="181" t="s">
        <v>54</v>
      </c>
      <c r="B10" s="182">
        <v>11.950886234578043</v>
      </c>
      <c r="C10" s="182">
        <v>10.494994051790096</v>
      </c>
      <c r="D10" s="182">
        <v>11.195696919776323</v>
      </c>
      <c r="E10" s="182">
        <v>10.800016447823944</v>
      </c>
      <c r="F10" s="182">
        <v>9.5477189838742351</v>
      </c>
      <c r="G10" s="182">
        <v>2.6943614795288058</v>
      </c>
      <c r="H10" s="187">
        <v>-8.6230762237680114E-3</v>
      </c>
      <c r="I10" s="188">
        <v>1.3010127628632517E-2</v>
      </c>
      <c r="J10" s="188">
        <v>-7.1705369024327448E-3</v>
      </c>
      <c r="K10" s="188">
        <v>-2.4347768444455964E-2</v>
      </c>
      <c r="L10" s="189">
        <v>-6.129785201037008E-2</v>
      </c>
      <c r="M10" s="186"/>
    </row>
    <row r="11" spans="1:18">
      <c r="A11" s="181" t="s">
        <v>42</v>
      </c>
      <c r="B11" s="182">
        <v>6.5015903804985697</v>
      </c>
      <c r="C11" s="182">
        <v>4.4408156366398455</v>
      </c>
      <c r="D11" s="182">
        <v>3.3198094170969599</v>
      </c>
      <c r="E11" s="182">
        <v>2.5423677932736588</v>
      </c>
      <c r="F11" s="182">
        <v>2.1404310060694471</v>
      </c>
      <c r="G11" s="182">
        <v>0.74476022441954859</v>
      </c>
      <c r="H11" s="187">
        <v>-2.5093702071978807E-2</v>
      </c>
      <c r="I11" s="188">
        <v>-5.6525684335671289E-2</v>
      </c>
      <c r="J11" s="188">
        <v>-5.1963528653960478E-2</v>
      </c>
      <c r="K11" s="188">
        <v>-3.3832174138232918E-2</v>
      </c>
      <c r="L11" s="189">
        <v>-5.1416072065252116E-2</v>
      </c>
      <c r="M11" s="186"/>
    </row>
    <row r="12" spans="1:18">
      <c r="A12" s="181" t="s">
        <v>104</v>
      </c>
      <c r="B12" s="182">
        <v>11.393120739833542</v>
      </c>
      <c r="C12" s="182">
        <v>9.9556529577361133</v>
      </c>
      <c r="D12" s="182">
        <v>9.9582926839234336</v>
      </c>
      <c r="E12" s="182">
        <v>9.8067048760813069</v>
      </c>
      <c r="F12" s="182">
        <v>9.7332714684845882</v>
      </c>
      <c r="G12" s="182">
        <v>15.514724172011537</v>
      </c>
      <c r="H12" s="187">
        <v>-8.9509795210076515E-3</v>
      </c>
      <c r="I12" s="188">
        <v>5.3024071355434188E-5</v>
      </c>
      <c r="J12" s="188">
        <v>-3.0631622876613473E-3</v>
      </c>
      <c r="K12" s="188">
        <v>-1.502122314941734E-3</v>
      </c>
      <c r="L12" s="189">
        <v>2.3585820623661213E-2</v>
      </c>
      <c r="M12" s="186"/>
    </row>
    <row r="13" spans="1:18">
      <c r="A13" s="181" t="s">
        <v>105</v>
      </c>
      <c r="B13" s="182">
        <v>1.006189880699035</v>
      </c>
      <c r="C13" s="182">
        <v>1.8103380194101062</v>
      </c>
      <c r="D13" s="182">
        <v>1.8175992433811019</v>
      </c>
      <c r="E13" s="182">
        <v>1.7267141676849138</v>
      </c>
      <c r="F13" s="182">
        <v>1.5963024649877231</v>
      </c>
      <c r="G13" s="182">
        <v>0.65813392858338293</v>
      </c>
      <c r="H13" s="187">
        <v>3.9932893011980886E-2</v>
      </c>
      <c r="I13" s="188">
        <v>8.0091143316862734E-4</v>
      </c>
      <c r="J13" s="188">
        <v>-1.0206804551134763E-2</v>
      </c>
      <c r="K13" s="188">
        <v>-1.5583359495910276E-2</v>
      </c>
      <c r="L13" s="189">
        <v>-4.333484711513258E-2</v>
      </c>
      <c r="M13" s="186"/>
      <c r="O13" s="186"/>
      <c r="P13" s="186"/>
      <c r="Q13" s="186"/>
      <c r="R13" s="186"/>
    </row>
    <row r="14" spans="1:18">
      <c r="A14" s="181" t="s">
        <v>106</v>
      </c>
      <c r="B14" s="182">
        <v>1.5759140284908504</v>
      </c>
      <c r="C14" s="182">
        <v>1.8351247425062329</v>
      </c>
      <c r="D14" s="182">
        <v>2.3056545414466596</v>
      </c>
      <c r="E14" s="182">
        <v>2.6903397791497241</v>
      </c>
      <c r="F14" s="182">
        <v>3.202943064934769</v>
      </c>
      <c r="G14" s="182">
        <v>2.6819562899348819</v>
      </c>
      <c r="H14" s="187">
        <v>1.0203505635017596E-2</v>
      </c>
      <c r="I14" s="188">
        <v>4.6708447719812751E-2</v>
      </c>
      <c r="J14" s="188">
        <v>3.1341703280112876E-2</v>
      </c>
      <c r="K14" s="188">
        <v>3.5495979797013355E-2</v>
      </c>
      <c r="L14" s="189">
        <v>-8.8369033947823805E-3</v>
      </c>
      <c r="M14" s="186"/>
    </row>
    <row r="15" spans="1:18">
      <c r="A15" s="181"/>
      <c r="B15" s="182"/>
      <c r="C15" s="182"/>
      <c r="D15" s="182"/>
      <c r="E15" s="182"/>
      <c r="F15" s="182"/>
      <c r="G15" s="182"/>
      <c r="H15" s="187"/>
      <c r="I15" s="188"/>
      <c r="J15" s="188"/>
      <c r="K15" s="188"/>
      <c r="L15" s="189"/>
      <c r="O15" s="186"/>
      <c r="P15" s="186"/>
      <c r="Q15" s="186"/>
    </row>
    <row r="16" spans="1:18" ht="15.75" thickBot="1">
      <c r="A16" s="190" t="s">
        <v>10</v>
      </c>
      <c r="B16" s="191">
        <v>38.915922087477441</v>
      </c>
      <c r="C16" s="191">
        <v>31.848010161596203</v>
      </c>
      <c r="D16" s="191">
        <v>31.308711078110491</v>
      </c>
      <c r="E16" s="191">
        <v>29.635626821361569</v>
      </c>
      <c r="F16" s="191">
        <v>27.499902680015332</v>
      </c>
      <c r="G16" s="191">
        <v>22.436954513361478</v>
      </c>
      <c r="H16" s="192">
        <v>-1.3273030719028855E-2</v>
      </c>
      <c r="I16" s="193">
        <v>-3.4098804545312777E-3</v>
      </c>
      <c r="J16" s="193">
        <v>-1.0923722377949918E-2</v>
      </c>
      <c r="K16" s="193">
        <v>-1.484762675992457E-2</v>
      </c>
      <c r="L16" s="194">
        <v>-1.0122078981262161E-2</v>
      </c>
    </row>
    <row r="17" spans="1:19">
      <c r="A17" s="195"/>
      <c r="D17" s="196"/>
      <c r="E17" s="196"/>
      <c r="F17" s="196"/>
      <c r="G17" s="196"/>
    </row>
    <row r="18" spans="1:19">
      <c r="F18" s="170"/>
    </row>
    <row r="19" spans="1:19" ht="16.5" thickBot="1">
      <c r="A19" s="91" t="s">
        <v>107</v>
      </c>
      <c r="B19" s="81"/>
      <c r="C19" s="81"/>
      <c r="D19" s="81"/>
      <c r="E19" s="81"/>
      <c r="F19" s="81"/>
      <c r="G19" s="80"/>
      <c r="H19" s="80"/>
      <c r="I19" s="80"/>
      <c r="J19" s="80"/>
      <c r="K19" s="80"/>
      <c r="L19" s="80"/>
    </row>
    <row r="20" spans="1:19" ht="15.75" thickBot="1">
      <c r="A20" s="177" t="s">
        <v>51</v>
      </c>
      <c r="B20" s="178">
        <v>2000</v>
      </c>
      <c r="C20" s="178">
        <v>2015</v>
      </c>
      <c r="D20" s="178">
        <v>2020</v>
      </c>
      <c r="E20" s="178">
        <v>2025</v>
      </c>
      <c r="F20" s="178">
        <v>2030</v>
      </c>
      <c r="G20" s="178">
        <v>2050</v>
      </c>
      <c r="H20" s="197" t="s">
        <v>98</v>
      </c>
      <c r="I20" s="198" t="s">
        <v>99</v>
      </c>
      <c r="J20" s="198" t="s">
        <v>100</v>
      </c>
      <c r="K20" s="198" t="s">
        <v>101</v>
      </c>
      <c r="L20" s="199" t="s">
        <v>102</v>
      </c>
    </row>
    <row r="21" spans="1:19">
      <c r="A21" s="181" t="s">
        <v>108</v>
      </c>
      <c r="B21" s="200">
        <v>12.835644288573071</v>
      </c>
      <c r="C21" s="201">
        <v>12.44809233451895</v>
      </c>
      <c r="D21" s="201">
        <v>11.660815430387672</v>
      </c>
      <c r="E21" s="201">
        <v>10.31575106799122</v>
      </c>
      <c r="F21" s="201">
        <v>8.5269295194929953</v>
      </c>
      <c r="G21" s="202">
        <v>3.1558487374952491</v>
      </c>
      <c r="H21" s="203">
        <v>-2.0418210296894168E-3</v>
      </c>
      <c r="I21" s="204">
        <v>-1.2981656397325958E-2</v>
      </c>
      <c r="J21" s="204">
        <v>-2.4214441228512018E-2</v>
      </c>
      <c r="K21" s="204">
        <v>-3.7372279095381211E-2</v>
      </c>
      <c r="L21" s="205">
        <v>-4.8483825121501511E-2</v>
      </c>
      <c r="R21" s="206"/>
      <c r="S21" s="207"/>
    </row>
    <row r="22" spans="1:19">
      <c r="A22" s="181" t="s">
        <v>54</v>
      </c>
      <c r="B22" s="208">
        <v>1.6286979567685305</v>
      </c>
      <c r="C22" s="209">
        <v>1.1015358194081886</v>
      </c>
      <c r="D22" s="209">
        <v>1.0281731259785394</v>
      </c>
      <c r="E22" s="209">
        <v>0.8575152317057565</v>
      </c>
      <c r="F22" s="209">
        <v>0.65798930805195532</v>
      </c>
      <c r="G22" s="210">
        <v>0.28608823842971293</v>
      </c>
      <c r="H22" s="211">
        <v>-2.5734767101810885E-2</v>
      </c>
      <c r="I22" s="212">
        <v>-1.3689799048109075E-2</v>
      </c>
      <c r="J22" s="212">
        <v>-3.5649036012973534E-2</v>
      </c>
      <c r="K22" s="212">
        <v>-5.1591584964612802E-2</v>
      </c>
      <c r="L22" s="213">
        <v>-4.0789203540956387E-2</v>
      </c>
    </row>
    <row r="23" spans="1:19">
      <c r="A23" s="181" t="s">
        <v>42</v>
      </c>
      <c r="B23" s="214">
        <v>0.15113499999999999</v>
      </c>
      <c r="C23" s="209">
        <v>0.30481003053267108</v>
      </c>
      <c r="D23" s="209">
        <v>0.21790583023693955</v>
      </c>
      <c r="E23" s="209">
        <v>0.11450973903079993</v>
      </c>
      <c r="F23" s="209">
        <v>0</v>
      </c>
      <c r="G23" s="210">
        <v>0</v>
      </c>
      <c r="H23" s="211"/>
      <c r="I23" s="212"/>
      <c r="J23" s="212"/>
      <c r="K23" s="212"/>
      <c r="L23" s="213"/>
    </row>
    <row r="24" spans="1:19">
      <c r="A24" s="181" t="s">
        <v>109</v>
      </c>
      <c r="B24" s="214">
        <v>0</v>
      </c>
      <c r="C24" s="209">
        <v>0</v>
      </c>
      <c r="D24" s="209">
        <v>0</v>
      </c>
      <c r="E24" s="209">
        <v>0.42992261392949233</v>
      </c>
      <c r="F24" s="209">
        <v>1.2897678417884793</v>
      </c>
      <c r="G24" s="210">
        <v>1.7196904557179702</v>
      </c>
      <c r="H24" s="211"/>
      <c r="I24" s="212"/>
      <c r="J24" s="212"/>
      <c r="K24" s="212"/>
      <c r="L24" s="213"/>
    </row>
    <row r="25" spans="1:19">
      <c r="A25" s="181"/>
      <c r="B25" s="214"/>
      <c r="C25" s="209"/>
      <c r="D25" s="209"/>
      <c r="E25" s="209"/>
      <c r="F25" s="209"/>
      <c r="G25" s="210"/>
      <c r="H25" s="211"/>
      <c r="I25" s="212"/>
      <c r="J25" s="212"/>
      <c r="K25" s="212"/>
      <c r="L25" s="213"/>
    </row>
    <row r="26" spans="1:19" ht="15.75" thickBot="1">
      <c r="A26" s="190" t="s">
        <v>10</v>
      </c>
      <c r="B26" s="215">
        <v>14.615477245341602</v>
      </c>
      <c r="C26" s="191">
        <v>13.854438184459811</v>
      </c>
      <c r="D26" s="191">
        <v>12.906894386603151</v>
      </c>
      <c r="E26" s="191">
        <v>11.717698652657269</v>
      </c>
      <c r="F26" s="191">
        <v>10.47468666933343</v>
      </c>
      <c r="G26" s="216">
        <v>5.1616274316429323</v>
      </c>
      <c r="H26" s="217">
        <v>-3.5586811437722243E-3</v>
      </c>
      <c r="I26" s="218">
        <v>-1.4068897056350838E-2</v>
      </c>
      <c r="J26" s="218">
        <v>-1.914657319213442E-2</v>
      </c>
      <c r="K26" s="218">
        <v>-2.2178137489036853E-2</v>
      </c>
      <c r="L26" s="219">
        <v>-3.4766735015457351E-2</v>
      </c>
      <c r="S26" s="207"/>
    </row>
    <row r="27" spans="1:19">
      <c r="A27" s="195"/>
      <c r="F27" s="170"/>
    </row>
    <row r="28" spans="1:19">
      <c r="A28" s="195"/>
      <c r="F28" s="170"/>
    </row>
    <row r="29" spans="1:19" ht="16.5" thickBot="1">
      <c r="A29" s="91" t="s">
        <v>110</v>
      </c>
      <c r="B29" s="81"/>
      <c r="C29" s="81"/>
      <c r="D29" s="81"/>
      <c r="E29" s="81"/>
      <c r="F29" s="81"/>
      <c r="G29" s="80"/>
      <c r="H29" s="80"/>
      <c r="I29" s="80"/>
      <c r="J29" s="80"/>
      <c r="K29" s="80"/>
      <c r="L29" s="80"/>
      <c r="R29" s="207"/>
      <c r="S29" s="207"/>
    </row>
    <row r="30" spans="1:19" ht="15.75" thickBot="1">
      <c r="A30" s="177" t="s">
        <v>51</v>
      </c>
      <c r="B30" s="178">
        <v>2000</v>
      </c>
      <c r="C30" s="178">
        <v>2015</v>
      </c>
      <c r="D30" s="178">
        <v>2020</v>
      </c>
      <c r="E30" s="178">
        <v>2025</v>
      </c>
      <c r="F30" s="178">
        <v>2030</v>
      </c>
      <c r="G30" s="178">
        <v>2050</v>
      </c>
      <c r="H30" s="197" t="s">
        <v>98</v>
      </c>
      <c r="I30" s="198" t="s">
        <v>99</v>
      </c>
      <c r="J30" s="198" t="s">
        <v>100</v>
      </c>
      <c r="K30" s="198" t="s">
        <v>101</v>
      </c>
      <c r="L30" s="199" t="s">
        <v>102</v>
      </c>
    </row>
    <row r="31" spans="1:19">
      <c r="A31" s="220" t="s">
        <v>111</v>
      </c>
      <c r="B31" s="221">
        <v>8.0394712179039001</v>
      </c>
      <c r="C31" s="221">
        <v>5.1846944441862366</v>
      </c>
      <c r="D31" s="221">
        <v>4.8189112632570161</v>
      </c>
      <c r="E31" s="221">
        <v>4.4760530996958234</v>
      </c>
      <c r="F31" s="221">
        <v>4.034274047820249</v>
      </c>
      <c r="G31" s="221">
        <v>2.3625478953926566</v>
      </c>
      <c r="H31" s="203">
        <v>-2.882004035877217E-2</v>
      </c>
      <c r="I31" s="204">
        <v>-1.4526041240476739E-2</v>
      </c>
      <c r="J31" s="204">
        <v>-1.4652860485782848E-2</v>
      </c>
      <c r="K31" s="204">
        <v>-2.0568577068076799E-2</v>
      </c>
      <c r="L31" s="205">
        <v>-2.639956052647785E-2</v>
      </c>
      <c r="N31" s="222"/>
      <c r="O31" s="222"/>
      <c r="P31" s="222"/>
      <c r="Q31" s="222"/>
      <c r="R31" s="222"/>
      <c r="S31" s="222"/>
    </row>
    <row r="32" spans="1:19">
      <c r="A32" s="223" t="s">
        <v>112</v>
      </c>
      <c r="B32" s="224">
        <v>6.7332839541308918</v>
      </c>
      <c r="C32" s="224">
        <v>4.3242113196648093</v>
      </c>
      <c r="D32" s="224">
        <v>3.9812495031513686</v>
      </c>
      <c r="E32" s="224">
        <v>3.6923797759723485</v>
      </c>
      <c r="F32" s="224">
        <v>3.332224397234743</v>
      </c>
      <c r="G32" s="224">
        <v>1.8202122308792859</v>
      </c>
      <c r="H32" s="211">
        <v>-2.9090690523181584E-2</v>
      </c>
      <c r="I32" s="212">
        <v>-1.6390992381878799E-2</v>
      </c>
      <c r="J32" s="212">
        <v>-1.4951999893957013E-2</v>
      </c>
      <c r="K32" s="212">
        <v>-2.031699267299869E-2</v>
      </c>
      <c r="L32" s="213">
        <v>-2.9781861944458865E-2</v>
      </c>
      <c r="N32" s="222"/>
      <c r="O32" s="222"/>
      <c r="P32" s="222"/>
      <c r="Q32" s="222"/>
      <c r="R32" s="222"/>
      <c r="S32" s="222"/>
    </row>
    <row r="33" spans="1:19">
      <c r="A33" s="223" t="s">
        <v>113</v>
      </c>
      <c r="B33" s="224">
        <v>0.77559051401547718</v>
      </c>
      <c r="C33" s="224">
        <v>0.54074363348856413</v>
      </c>
      <c r="D33" s="224">
        <v>0.49901663802665519</v>
      </c>
      <c r="E33" s="224">
        <v>0.4385274002579535</v>
      </c>
      <c r="F33" s="224">
        <v>0.35964135580395529</v>
      </c>
      <c r="G33" s="224">
        <v>0.18359310283748928</v>
      </c>
      <c r="H33" s="211">
        <v>-2.3758508572556902E-2</v>
      </c>
      <c r="I33" s="212">
        <v>-1.5932877830166836E-2</v>
      </c>
      <c r="J33" s="212">
        <v>-2.5512345193146713E-2</v>
      </c>
      <c r="K33" s="212">
        <v>-3.8886719318729335E-2</v>
      </c>
      <c r="L33" s="213">
        <v>-3.306042203497761E-2</v>
      </c>
      <c r="N33" s="222"/>
      <c r="O33" s="222"/>
      <c r="P33" s="222"/>
      <c r="Q33" s="222"/>
      <c r="R33" s="222"/>
      <c r="S33" s="222"/>
    </row>
    <row r="34" spans="1:19">
      <c r="A34" s="220" t="s">
        <v>114</v>
      </c>
      <c r="B34" s="209">
        <v>10.4052195619748</v>
      </c>
      <c r="C34" s="209">
        <v>8.6720667131958145</v>
      </c>
      <c r="D34" s="209">
        <v>8.5747209162678235</v>
      </c>
      <c r="E34" s="209">
        <v>7.9700493999923374</v>
      </c>
      <c r="F34" s="209">
        <v>7.3160300469747304</v>
      </c>
      <c r="G34" s="209">
        <v>5.3559195704119285</v>
      </c>
      <c r="H34" s="211">
        <v>-1.2073221594690486E-2</v>
      </c>
      <c r="I34" s="212">
        <v>-2.2551914850852395E-3</v>
      </c>
      <c r="J34" s="212">
        <v>-1.4519117202353105E-2</v>
      </c>
      <c r="K34" s="212">
        <v>-1.6978778630905356E-2</v>
      </c>
      <c r="L34" s="213">
        <v>-1.5472325734152914E-2</v>
      </c>
      <c r="N34" s="222"/>
      <c r="O34" s="222"/>
      <c r="P34" s="222"/>
      <c r="Q34" s="222"/>
      <c r="R34" s="222"/>
      <c r="S34" s="222"/>
    </row>
    <row r="35" spans="1:19">
      <c r="A35" s="223" t="s">
        <v>115</v>
      </c>
      <c r="B35" s="224">
        <v>0.68312001018483248</v>
      </c>
      <c r="C35" s="224">
        <v>0.4806469969597324</v>
      </c>
      <c r="D35" s="224">
        <v>0.46535362937149954</v>
      </c>
      <c r="E35" s="224">
        <v>0.45012248171260294</v>
      </c>
      <c r="F35" s="224">
        <v>0.4345029990589041</v>
      </c>
      <c r="G35" s="224">
        <v>0.35450138063253811</v>
      </c>
      <c r="H35" s="211">
        <v>-2.3163343596647179E-2</v>
      </c>
      <c r="I35" s="212">
        <v>-6.4462326771118628E-3</v>
      </c>
      <c r="J35" s="212">
        <v>-6.6334772092663252E-3</v>
      </c>
      <c r="K35" s="212">
        <v>-7.0384890511416831E-3</v>
      </c>
      <c r="L35" s="213">
        <v>-1.012294488951071E-2</v>
      </c>
      <c r="N35" s="222"/>
      <c r="O35" s="222"/>
      <c r="P35" s="222"/>
      <c r="Q35" s="222"/>
      <c r="R35" s="222"/>
      <c r="S35" s="222"/>
    </row>
    <row r="36" spans="1:19">
      <c r="A36" s="223" t="s">
        <v>116</v>
      </c>
      <c r="B36" s="224">
        <v>5.1075100039894741</v>
      </c>
      <c r="C36" s="224">
        <v>4.2140655369544628</v>
      </c>
      <c r="D36" s="224">
        <v>3.9802354628579977</v>
      </c>
      <c r="E36" s="224">
        <v>3.5585465158029939</v>
      </c>
      <c r="F36" s="224">
        <v>3.1592018945886431</v>
      </c>
      <c r="G36" s="224">
        <v>1.5111257706517573</v>
      </c>
      <c r="H36" s="211">
        <v>-1.2737129908311662E-2</v>
      </c>
      <c r="I36" s="212">
        <v>-1.135244676972591E-2</v>
      </c>
      <c r="J36" s="212">
        <v>-2.2148792341749046E-2</v>
      </c>
      <c r="K36" s="212">
        <v>-2.3525409252853957E-2</v>
      </c>
      <c r="L36" s="213">
        <v>-3.6201687547356975E-2</v>
      </c>
      <c r="N36" s="222"/>
      <c r="O36" s="222"/>
      <c r="P36" s="222"/>
      <c r="Q36" s="222"/>
      <c r="R36" s="222"/>
      <c r="S36" s="222"/>
    </row>
    <row r="37" spans="1:19">
      <c r="A37" s="223" t="s">
        <v>117</v>
      </c>
      <c r="B37" s="224">
        <v>0.54892519346517621</v>
      </c>
      <c r="C37" s="224">
        <v>0.34393809114359414</v>
      </c>
      <c r="D37" s="224">
        <v>0.33269131556319864</v>
      </c>
      <c r="E37" s="224">
        <v>0.32182287188306102</v>
      </c>
      <c r="F37" s="224">
        <v>0.31129836629406704</v>
      </c>
      <c r="G37" s="224">
        <v>0.27253654342218397</v>
      </c>
      <c r="H37" s="211">
        <v>-3.068602496959294E-2</v>
      </c>
      <c r="I37" s="212">
        <v>-6.6272609556158324E-3</v>
      </c>
      <c r="J37" s="212">
        <v>-6.6207402593306819E-3</v>
      </c>
      <c r="K37" s="212">
        <v>-6.6278338643249723E-3</v>
      </c>
      <c r="L37" s="213">
        <v>-6.6269006013536247E-3</v>
      </c>
      <c r="N37" s="222"/>
      <c r="O37" s="222"/>
      <c r="P37" s="222"/>
      <c r="Q37" s="222"/>
      <c r="R37" s="222"/>
      <c r="S37" s="222"/>
    </row>
    <row r="38" spans="1:19">
      <c r="A38" s="220" t="s">
        <v>118</v>
      </c>
      <c r="B38" s="209">
        <v>4.5197668823632196</v>
      </c>
      <c r="C38" s="209">
        <v>3.447865729935879</v>
      </c>
      <c r="D38" s="209">
        <v>3.5939518890223505</v>
      </c>
      <c r="E38" s="209">
        <v>3.5731264927694912</v>
      </c>
      <c r="F38" s="209">
        <v>3.5249925120089616</v>
      </c>
      <c r="G38" s="209">
        <v>3.5267403011479717</v>
      </c>
      <c r="H38" s="211">
        <v>-1.7885128597275535E-2</v>
      </c>
      <c r="I38" s="212">
        <v>8.3339337189247686E-3</v>
      </c>
      <c r="J38" s="212">
        <v>-1.1616090068351514E-3</v>
      </c>
      <c r="K38" s="212">
        <v>-2.7088581652070509E-3</v>
      </c>
      <c r="L38" s="213">
        <v>2.4785551026695885E-5</v>
      </c>
      <c r="N38" s="222"/>
      <c r="O38" s="222"/>
      <c r="P38" s="222"/>
      <c r="Q38" s="222"/>
      <c r="R38" s="222"/>
      <c r="S38" s="222"/>
    </row>
    <row r="39" spans="1:19">
      <c r="A39" s="223" t="s">
        <v>119</v>
      </c>
      <c r="B39" s="224">
        <v>1.7363799820886927</v>
      </c>
      <c r="C39" s="224">
        <v>1.4016381091078638</v>
      </c>
      <c r="D39" s="224">
        <v>1.5461615372952193</v>
      </c>
      <c r="E39" s="224">
        <v>1.5256008725872698</v>
      </c>
      <c r="F39" s="224">
        <v>1.5067153122042294</v>
      </c>
      <c r="G39" s="224">
        <v>1.3892801680948215</v>
      </c>
      <c r="H39" s="211">
        <v>-1.4175951100393935E-2</v>
      </c>
      <c r="I39" s="212">
        <v>1.9820631419208867E-2</v>
      </c>
      <c r="J39" s="212">
        <v>-2.6738358547824248E-3</v>
      </c>
      <c r="K39" s="212">
        <v>-2.4881705096504447E-3</v>
      </c>
      <c r="L39" s="213">
        <v>-4.0490923890846853E-3</v>
      </c>
      <c r="N39" s="222"/>
      <c r="O39" s="222"/>
      <c r="P39" s="222"/>
      <c r="Q39" s="222"/>
      <c r="R39" s="222"/>
      <c r="S39" s="222"/>
    </row>
    <row r="40" spans="1:19">
      <c r="A40" s="223" t="s">
        <v>120</v>
      </c>
      <c r="B40" s="224">
        <v>1.4736883103796508</v>
      </c>
      <c r="C40" s="224">
        <v>1.2876337450914472</v>
      </c>
      <c r="D40" s="224">
        <v>1.2383921973845406</v>
      </c>
      <c r="E40" s="224">
        <v>1.1906485453709426</v>
      </c>
      <c r="F40" s="224">
        <v>1.1445541574232407</v>
      </c>
      <c r="G40" s="224">
        <v>1.0408883823018047</v>
      </c>
      <c r="H40" s="211">
        <v>-8.9571162177584096E-3</v>
      </c>
      <c r="I40" s="212">
        <v>-7.7681318092893692E-3</v>
      </c>
      <c r="J40" s="212">
        <v>-7.832319975623836E-3</v>
      </c>
      <c r="K40" s="212">
        <v>-7.8654989502765504E-3</v>
      </c>
      <c r="L40" s="213">
        <v>-4.735781493586555E-3</v>
      </c>
      <c r="N40" s="222"/>
      <c r="O40" s="222"/>
      <c r="P40" s="222"/>
      <c r="Q40" s="222"/>
      <c r="R40" s="222"/>
      <c r="S40" s="222"/>
    </row>
    <row r="41" spans="1:19">
      <c r="A41" s="220" t="s">
        <v>121</v>
      </c>
      <c r="B41" s="209">
        <v>5.1496266408640006</v>
      </c>
      <c r="C41" s="209">
        <v>5.8753377731193162</v>
      </c>
      <c r="D41" s="209">
        <v>5.7947319886055908</v>
      </c>
      <c r="E41" s="209">
        <v>5.4994903722760293</v>
      </c>
      <c r="F41" s="209">
        <v>5.0785513846847703</v>
      </c>
      <c r="G41" s="209">
        <v>4.4458524021286028</v>
      </c>
      <c r="H41" s="211">
        <v>8.8280283181072505E-3</v>
      </c>
      <c r="I41" s="212">
        <v>-2.7590517378522916E-3</v>
      </c>
      <c r="J41" s="212">
        <v>-1.04042570745142E-2</v>
      </c>
      <c r="K41" s="212">
        <v>-1.5799727411699438E-2</v>
      </c>
      <c r="L41" s="213">
        <v>-6.6306418028676539E-3</v>
      </c>
      <c r="N41" s="222"/>
      <c r="O41" s="222"/>
      <c r="P41" s="222"/>
      <c r="Q41" s="222"/>
      <c r="R41" s="222"/>
      <c r="S41" s="222"/>
    </row>
    <row r="42" spans="1:19">
      <c r="A42" s="223" t="s">
        <v>122</v>
      </c>
      <c r="B42" s="224">
        <v>0.89190999086672396</v>
      </c>
      <c r="C42" s="224">
        <v>0.88621071035267396</v>
      </c>
      <c r="D42" s="224">
        <v>0.8485436215493638</v>
      </c>
      <c r="E42" s="224">
        <v>0.81354744611713548</v>
      </c>
      <c r="F42" s="224">
        <v>0.78116236174021758</v>
      </c>
      <c r="G42" s="224">
        <v>0.69562637154176654</v>
      </c>
      <c r="H42" s="211">
        <v>-4.2727375856344008E-4</v>
      </c>
      <c r="I42" s="212">
        <v>-8.6490302339939928E-3</v>
      </c>
      <c r="J42" s="212">
        <v>-8.3880711873516312E-3</v>
      </c>
      <c r="K42" s="212">
        <v>-8.0913336247184775E-3</v>
      </c>
      <c r="L42" s="213">
        <v>-5.7817372560600155E-3</v>
      </c>
      <c r="N42" s="222"/>
      <c r="O42" s="222"/>
      <c r="P42" s="222"/>
      <c r="Q42" s="222"/>
      <c r="R42" s="222"/>
      <c r="S42" s="222"/>
    </row>
    <row r="43" spans="1:19">
      <c r="A43" s="220" t="s">
        <v>123</v>
      </c>
      <c r="B43" s="209">
        <v>4.7684999999999995</v>
      </c>
      <c r="C43" s="209">
        <v>3.8300250539804983</v>
      </c>
      <c r="D43" s="209">
        <v>3.921195330620419</v>
      </c>
      <c r="E43" s="209">
        <v>3.8385167614785702</v>
      </c>
      <c r="F43" s="209">
        <v>3.6669911224921985</v>
      </c>
      <c r="G43" s="209">
        <v>3.7611211162741518</v>
      </c>
      <c r="H43" s="211">
        <v>-1.4504478070025084E-2</v>
      </c>
      <c r="I43" s="212">
        <v>4.7161248590787963E-3</v>
      </c>
      <c r="J43" s="212">
        <v>-4.2530314663815627E-3</v>
      </c>
      <c r="K43" s="212">
        <v>-9.1012434194077674E-3</v>
      </c>
      <c r="L43" s="213">
        <v>1.2680840401131377E-3</v>
      </c>
      <c r="N43" s="222"/>
      <c r="O43" s="222"/>
      <c r="P43" s="222"/>
      <c r="Q43" s="222"/>
      <c r="R43" s="222"/>
      <c r="S43" s="222"/>
    </row>
    <row r="44" spans="1:19">
      <c r="A44" s="220" t="s">
        <v>124</v>
      </c>
      <c r="B44" s="209">
        <v>6.0333377843715192</v>
      </c>
      <c r="C44" s="209">
        <v>4.8380204471784545</v>
      </c>
      <c r="D44" s="209">
        <v>4.605199690337292</v>
      </c>
      <c r="E44" s="209">
        <v>4.2783906951493194</v>
      </c>
      <c r="F44" s="209">
        <v>3.8790635660344259</v>
      </c>
      <c r="G44" s="209">
        <v>2.9847732280061638</v>
      </c>
      <c r="H44" s="211">
        <v>-1.4611845468938789E-2</v>
      </c>
      <c r="I44" s="212">
        <v>-9.8154322852737064E-3</v>
      </c>
      <c r="J44" s="212">
        <v>-1.4613983738678837E-2</v>
      </c>
      <c r="K44" s="212">
        <v>-1.9405865678447376E-2</v>
      </c>
      <c r="L44" s="213">
        <v>-1.3018023004762513E-2</v>
      </c>
      <c r="N44" s="222"/>
      <c r="O44" s="222"/>
      <c r="P44" s="222"/>
      <c r="Q44" s="222"/>
      <c r="R44" s="222"/>
      <c r="S44" s="222"/>
    </row>
    <row r="45" spans="1:19">
      <c r="A45" s="223" t="s">
        <v>125</v>
      </c>
      <c r="B45" s="225">
        <v>3.7799499921678623</v>
      </c>
      <c r="C45" s="225">
        <v>3.2045376473700045</v>
      </c>
      <c r="D45" s="225">
        <v>3.0280435613801702</v>
      </c>
      <c r="E45" s="225">
        <v>2.8199788022422916</v>
      </c>
      <c r="F45" s="225">
        <v>2.5460005922355178</v>
      </c>
      <c r="G45" s="225">
        <v>1.8797035765152388</v>
      </c>
      <c r="H45" s="211">
        <v>-1.0949147569268014E-2</v>
      </c>
      <c r="I45" s="212">
        <v>-1.1266274495920436E-2</v>
      </c>
      <c r="J45" s="212">
        <v>-1.4136597243633697E-2</v>
      </c>
      <c r="K45" s="212">
        <v>-2.0233623483975283E-2</v>
      </c>
      <c r="L45" s="213">
        <v>-1.5055989955698346E-2</v>
      </c>
      <c r="N45" s="222"/>
      <c r="O45" s="222"/>
      <c r="P45" s="222"/>
      <c r="Q45" s="222"/>
      <c r="R45" s="222"/>
      <c r="S45" s="222"/>
    </row>
    <row r="46" spans="1:19">
      <c r="A46" s="181"/>
      <c r="B46" s="182"/>
      <c r="C46" s="182"/>
      <c r="D46" s="182"/>
      <c r="E46" s="182"/>
      <c r="F46" s="182"/>
      <c r="G46" s="182"/>
      <c r="H46" s="211"/>
      <c r="I46" s="212"/>
      <c r="J46" s="212"/>
      <c r="K46" s="212"/>
      <c r="L46" s="213"/>
    </row>
    <row r="47" spans="1:19">
      <c r="A47" s="181"/>
      <c r="B47" s="182"/>
      <c r="C47" s="182"/>
      <c r="D47" s="182"/>
      <c r="E47" s="182"/>
      <c r="F47" s="182"/>
      <c r="G47" s="182"/>
      <c r="H47" s="211"/>
      <c r="I47" s="212"/>
      <c r="J47" s="212"/>
      <c r="K47" s="212"/>
      <c r="L47" s="213"/>
    </row>
    <row r="48" spans="1:19" ht="15.75" thickBot="1">
      <c r="A48" s="190" t="s">
        <v>10</v>
      </c>
      <c r="B48" s="226">
        <v>38.915922087477433</v>
      </c>
      <c r="C48" s="226">
        <v>31.8480101615962</v>
      </c>
      <c r="D48" s="226">
        <v>31.308711078110491</v>
      </c>
      <c r="E48" s="226">
        <v>29.635626821361569</v>
      </c>
      <c r="F48" s="226">
        <v>27.499902680015339</v>
      </c>
      <c r="G48" s="226">
        <v>22.436954513361474</v>
      </c>
      <c r="H48" s="217">
        <v>-1.3273030719028855E-2</v>
      </c>
      <c r="I48" s="218">
        <v>-3.4098804545312777E-3</v>
      </c>
      <c r="J48" s="218">
        <v>-1.0923722377949918E-2</v>
      </c>
      <c r="K48" s="218">
        <v>-1.4847626759924459E-2</v>
      </c>
      <c r="L48" s="219">
        <v>-1.0122078981262272E-2</v>
      </c>
    </row>
    <row r="49" spans="1:19" ht="15.75" thickBot="1">
      <c r="A49" s="195"/>
      <c r="F49" s="170"/>
    </row>
    <row r="50" spans="1:19" ht="15.75" thickBot="1">
      <c r="A50" s="227" t="s">
        <v>126</v>
      </c>
      <c r="B50" s="228">
        <v>21.730357951288781</v>
      </c>
      <c r="C50" s="228">
        <v>16.683625790133153</v>
      </c>
      <c r="D50" s="228">
        <v>15.919687466580012</v>
      </c>
      <c r="E50" s="228">
        <v>14.811174711946599</v>
      </c>
      <c r="F50" s="228">
        <v>13.575301436583517</v>
      </c>
      <c r="G50" s="228">
        <v>9.1474675268768859</v>
      </c>
      <c r="H50" s="229">
        <v>-1.7464530547261159E-2</v>
      </c>
      <c r="I50" s="230">
        <v>-9.3304384083779945E-3</v>
      </c>
      <c r="J50" s="230">
        <v>-1.4331236969760019E-2</v>
      </c>
      <c r="K50" s="230">
        <v>-1.7275020441781752E-2</v>
      </c>
      <c r="L50" s="231">
        <v>-1.9545216478406569E-2</v>
      </c>
    </row>
    <row r="51" spans="1:19">
      <c r="A51" s="232"/>
      <c r="B51" s="233"/>
      <c r="C51" s="233"/>
      <c r="D51" s="233"/>
      <c r="E51" s="233"/>
      <c r="F51" s="233"/>
      <c r="G51" s="233"/>
      <c r="H51" s="212"/>
      <c r="I51" s="212"/>
      <c r="J51" s="212"/>
      <c r="K51" s="212"/>
      <c r="L51" s="212"/>
    </row>
    <row r="52" spans="1:19">
      <c r="B52" s="234"/>
      <c r="C52" s="234"/>
      <c r="E52" s="171"/>
    </row>
    <row r="53" spans="1:19" ht="16.5" thickBot="1">
      <c r="A53" s="91" t="s">
        <v>127</v>
      </c>
      <c r="B53" s="81"/>
      <c r="C53" s="81"/>
      <c r="D53" s="81"/>
      <c r="E53" s="80"/>
      <c r="F53" s="80"/>
      <c r="G53" s="80"/>
      <c r="H53" s="80"/>
      <c r="I53" s="80"/>
      <c r="J53" s="80"/>
      <c r="K53" s="80"/>
      <c r="L53" s="80"/>
    </row>
    <row r="54" spans="1:19" ht="15.75" thickBot="1">
      <c r="A54" s="235" t="s">
        <v>128</v>
      </c>
      <c r="B54" s="178">
        <v>2000</v>
      </c>
      <c r="C54" s="178">
        <v>2015</v>
      </c>
      <c r="D54" s="178">
        <v>2020</v>
      </c>
      <c r="E54" s="178">
        <v>2025</v>
      </c>
      <c r="F54" s="178">
        <v>2030</v>
      </c>
      <c r="G54" s="178">
        <v>2050</v>
      </c>
      <c r="H54" s="197" t="s">
        <v>98</v>
      </c>
      <c r="I54" s="198" t="s">
        <v>99</v>
      </c>
      <c r="J54" s="198" t="s">
        <v>100</v>
      </c>
      <c r="K54" s="198" t="s">
        <v>101</v>
      </c>
      <c r="L54" s="199" t="s">
        <v>102</v>
      </c>
    </row>
    <row r="55" spans="1:19">
      <c r="A55" s="220" t="s">
        <v>111</v>
      </c>
      <c r="B55" s="209">
        <v>22.518680393209301</v>
      </c>
      <c r="C55" s="209">
        <v>16.76329479054202</v>
      </c>
      <c r="D55" s="209">
        <v>16.792292253229824</v>
      </c>
      <c r="E55" s="209">
        <v>16.609782512524042</v>
      </c>
      <c r="F55" s="209">
        <v>16.345912080578128</v>
      </c>
      <c r="G55" s="209">
        <v>16.542048660589597</v>
      </c>
      <c r="H55" s="203">
        <v>-1.9484576089642713E-2</v>
      </c>
      <c r="I55" s="204">
        <v>3.457246287976723E-4</v>
      </c>
      <c r="J55" s="204">
        <v>-2.1832446285263707E-3</v>
      </c>
      <c r="K55" s="204">
        <v>-3.1976743828334708E-3</v>
      </c>
      <c r="L55" s="205">
        <v>5.9656299673127577E-4</v>
      </c>
      <c r="N55" s="222"/>
      <c r="O55" s="222"/>
      <c r="P55" s="222"/>
      <c r="Q55" s="222"/>
      <c r="R55" s="222"/>
      <c r="S55" s="222"/>
    </row>
    <row r="56" spans="1:19">
      <c r="A56" s="223" t="s">
        <v>112</v>
      </c>
      <c r="B56" s="224">
        <v>12.717519555999999</v>
      </c>
      <c r="C56" s="224">
        <v>8.8989013000000003</v>
      </c>
      <c r="D56" s="224">
        <v>9.0894383160000007</v>
      </c>
      <c r="E56" s="224">
        <v>9.3297613320000004</v>
      </c>
      <c r="F56" s="236">
        <v>9.7280223479999997</v>
      </c>
      <c r="G56" s="224">
        <v>11.069596652632001</v>
      </c>
      <c r="H56" s="211">
        <v>-2.3522445296106476E-2</v>
      </c>
      <c r="I56" s="212">
        <v>4.2460480621713259E-3</v>
      </c>
      <c r="J56" s="212">
        <v>5.2329078770170234E-3</v>
      </c>
      <c r="K56" s="212">
        <v>8.3952821157484703E-3</v>
      </c>
      <c r="L56" s="213">
        <v>6.4804924837684741E-3</v>
      </c>
      <c r="N56" s="222"/>
      <c r="O56" s="222"/>
      <c r="P56" s="222"/>
      <c r="Q56" s="222"/>
      <c r="R56" s="222"/>
      <c r="S56" s="222"/>
    </row>
    <row r="57" spans="1:19">
      <c r="A57" s="223" t="s">
        <v>113</v>
      </c>
      <c r="B57" s="224">
        <v>6.4558120000000008</v>
      </c>
      <c r="C57" s="224">
        <v>5.2425169610000006</v>
      </c>
      <c r="D57" s="224">
        <v>4.8492560000000005</v>
      </c>
      <c r="E57" s="224">
        <v>4.2874216000000001</v>
      </c>
      <c r="F57" s="224">
        <v>3.5671275000000002</v>
      </c>
      <c r="G57" s="224">
        <v>1.9148900000000004</v>
      </c>
      <c r="H57" s="211">
        <v>-1.3782742229120348E-2</v>
      </c>
      <c r="I57" s="212">
        <v>-1.5474308830559447E-2</v>
      </c>
      <c r="J57" s="212">
        <v>-2.4327159240073892E-2</v>
      </c>
      <c r="K57" s="212">
        <v>-3.6116628208944679E-2</v>
      </c>
      <c r="L57" s="213">
        <v>-3.0626239311444592E-2</v>
      </c>
      <c r="N57" s="222"/>
      <c r="O57" s="222"/>
      <c r="P57" s="222"/>
      <c r="Q57" s="222"/>
      <c r="R57" s="222"/>
      <c r="S57" s="222"/>
    </row>
    <row r="58" spans="1:19">
      <c r="A58" s="220" t="s">
        <v>114</v>
      </c>
      <c r="B58" s="209">
        <v>34.317436634125585</v>
      </c>
      <c r="C58" s="209">
        <v>30.444032437471371</v>
      </c>
      <c r="D58" s="209">
        <v>30.362874206413746</v>
      </c>
      <c r="E58" s="209">
        <v>29.653527942090882</v>
      </c>
      <c r="F58" s="209">
        <v>29.375799873320595</v>
      </c>
      <c r="G58" s="209">
        <v>41.405759651043759</v>
      </c>
      <c r="H58" s="211">
        <v>-7.9524496774868725E-3</v>
      </c>
      <c r="I58" s="212">
        <v>-5.337329154053716E-4</v>
      </c>
      <c r="J58" s="212">
        <v>-4.716743914149224E-3</v>
      </c>
      <c r="K58" s="212">
        <v>-1.8802107418773861E-3</v>
      </c>
      <c r="L58" s="213">
        <v>1.7310560391055496E-2</v>
      </c>
      <c r="N58" s="222"/>
      <c r="O58" s="222"/>
      <c r="P58" s="222"/>
      <c r="Q58" s="222"/>
      <c r="R58" s="222"/>
      <c r="S58" s="222"/>
    </row>
    <row r="59" spans="1:19">
      <c r="A59" s="223" t="s">
        <v>115</v>
      </c>
      <c r="B59" s="224">
        <v>1.4306063496000001</v>
      </c>
      <c r="C59" s="224">
        <v>0.73014852445920009</v>
      </c>
      <c r="D59" s="224">
        <v>0.70872687964319991</v>
      </c>
      <c r="E59" s="224">
        <v>0.70553740195399994</v>
      </c>
      <c r="F59" s="224">
        <v>0.7359174663526401</v>
      </c>
      <c r="G59" s="224">
        <v>1.8039342958032001</v>
      </c>
      <c r="H59" s="211">
        <v>-4.3849908552130334E-2</v>
      </c>
      <c r="I59" s="212">
        <v>-5.9378485624641542E-3</v>
      </c>
      <c r="J59" s="212">
        <v>-9.0168293734382843E-4</v>
      </c>
      <c r="K59" s="212">
        <v>8.4672842999160558E-3</v>
      </c>
      <c r="L59" s="213">
        <v>4.5850432243369932E-2</v>
      </c>
      <c r="N59" s="222"/>
      <c r="O59" s="222"/>
      <c r="P59" s="222"/>
      <c r="Q59" s="222"/>
      <c r="R59" s="222"/>
      <c r="S59" s="222"/>
    </row>
    <row r="60" spans="1:19">
      <c r="A60" s="223" t="s">
        <v>116</v>
      </c>
      <c r="B60" s="224">
        <v>9.2656209821999997</v>
      </c>
      <c r="C60" s="224">
        <v>8.2124779623314996</v>
      </c>
      <c r="D60" s="224">
        <v>7.7895599355288008</v>
      </c>
      <c r="E60" s="224">
        <v>7.4040695891447159</v>
      </c>
      <c r="F60" s="224">
        <v>7.3256842281897461</v>
      </c>
      <c r="G60" s="224">
        <v>11.304263411981832</v>
      </c>
      <c r="H60" s="211">
        <v>-8.0114810887681465E-3</v>
      </c>
      <c r="I60" s="212">
        <v>-1.0518357694465075E-2</v>
      </c>
      <c r="J60" s="212">
        <v>-1.0099568113222435E-2</v>
      </c>
      <c r="K60" s="212">
        <v>-2.1263826370314654E-3</v>
      </c>
      <c r="L60" s="213">
        <v>2.1926600117262662E-2</v>
      </c>
      <c r="N60" s="222"/>
      <c r="O60" s="222"/>
      <c r="P60" s="222"/>
      <c r="Q60" s="222"/>
      <c r="R60" s="222"/>
      <c r="S60" s="222"/>
    </row>
    <row r="61" spans="1:19">
      <c r="A61" s="223" t="s">
        <v>117</v>
      </c>
      <c r="B61" s="224">
        <v>6.3840000000000003</v>
      </c>
      <c r="C61" s="224">
        <v>4</v>
      </c>
      <c r="D61" s="224">
        <v>3.8692000000000002</v>
      </c>
      <c r="E61" s="224">
        <v>3.7427999999999999</v>
      </c>
      <c r="F61" s="224">
        <v>3.6204000000000001</v>
      </c>
      <c r="G61" s="224">
        <v>3.1696</v>
      </c>
      <c r="H61" s="211">
        <v>-3.068602496959294E-2</v>
      </c>
      <c r="I61" s="212">
        <v>-6.6272609556158324E-3</v>
      </c>
      <c r="J61" s="212">
        <v>-6.6207402593306819E-3</v>
      </c>
      <c r="K61" s="212">
        <v>-6.6278338643249723E-3</v>
      </c>
      <c r="L61" s="213">
        <v>-6.6269006013536247E-3</v>
      </c>
      <c r="N61" s="222"/>
      <c r="O61" s="222"/>
      <c r="P61" s="222"/>
      <c r="Q61" s="222"/>
      <c r="R61" s="222"/>
      <c r="S61" s="222"/>
    </row>
    <row r="62" spans="1:19">
      <c r="A62" s="220" t="s">
        <v>118</v>
      </c>
      <c r="B62" s="209">
        <v>10.089770094130467</v>
      </c>
      <c r="C62" s="209">
        <v>9.3523773965459753</v>
      </c>
      <c r="D62" s="209">
        <v>9.6868925226809282</v>
      </c>
      <c r="E62" s="209">
        <v>10.063123682945061</v>
      </c>
      <c r="F62" s="209">
        <v>10.642687574898492</v>
      </c>
      <c r="G62" s="209">
        <v>24.929055598960488</v>
      </c>
      <c r="H62" s="211">
        <v>-5.0466540081156586E-3</v>
      </c>
      <c r="I62" s="212">
        <v>7.0533802098573517E-3</v>
      </c>
      <c r="J62" s="212">
        <v>7.6498993768454593E-3</v>
      </c>
      <c r="K62" s="212">
        <v>1.1262028880753672E-2</v>
      </c>
      <c r="L62" s="213">
        <v>4.3476626924084938E-2</v>
      </c>
      <c r="N62" s="222"/>
      <c r="O62" s="222"/>
      <c r="P62" s="222"/>
      <c r="Q62" s="222"/>
      <c r="R62" s="222"/>
      <c r="S62" s="222"/>
    </row>
    <row r="63" spans="1:19">
      <c r="A63" s="223" t="s">
        <v>119</v>
      </c>
      <c r="B63" s="224">
        <v>2.8699343444999998</v>
      </c>
      <c r="C63" s="224">
        <v>2.5391339283960002</v>
      </c>
      <c r="D63" s="224">
        <v>2.7933113348000003</v>
      </c>
      <c r="E63" s="224">
        <v>2.8385934558183998</v>
      </c>
      <c r="F63" s="224">
        <v>2.9721824669571997</v>
      </c>
      <c r="G63" s="224">
        <v>7.073843024248001</v>
      </c>
      <c r="H63" s="211">
        <v>-8.1311686295574281E-3</v>
      </c>
      <c r="I63" s="212">
        <v>1.9264144643261982E-2</v>
      </c>
      <c r="J63" s="212">
        <v>3.221360872852852E-3</v>
      </c>
      <c r="K63" s="212">
        <v>9.2399982012025816E-3</v>
      </c>
      <c r="L63" s="213">
        <v>4.4308943926575362E-2</v>
      </c>
      <c r="N63" s="222"/>
      <c r="O63" s="222"/>
      <c r="P63" s="222"/>
      <c r="Q63" s="222"/>
      <c r="R63" s="222"/>
      <c r="S63" s="222"/>
    </row>
    <row r="64" spans="1:19">
      <c r="A64" s="223" t="s">
        <v>120</v>
      </c>
      <c r="B64" s="224">
        <v>3.5000683077700003</v>
      </c>
      <c r="C64" s="224">
        <v>3.5228584738359996</v>
      </c>
      <c r="D64" s="224">
        <v>3.4087895597439992</v>
      </c>
      <c r="E64" s="224">
        <v>3.4326263260955598</v>
      </c>
      <c r="F64" s="224">
        <v>3.5780317196343203</v>
      </c>
      <c r="G64" s="224">
        <v>8.172680268564001</v>
      </c>
      <c r="H64" s="211">
        <v>4.3277639952932212E-4</v>
      </c>
      <c r="I64" s="212">
        <v>-6.561472118623235E-3</v>
      </c>
      <c r="J64" s="212">
        <v>1.39465171572839E-3</v>
      </c>
      <c r="K64" s="212">
        <v>8.3319570067608151E-3</v>
      </c>
      <c r="L64" s="213">
        <v>4.2163877829478835E-2</v>
      </c>
      <c r="N64" s="222"/>
      <c r="O64" s="222"/>
      <c r="P64" s="222"/>
      <c r="Q64" s="222"/>
      <c r="R64" s="222"/>
      <c r="S64" s="222"/>
    </row>
    <row r="65" spans="1:19">
      <c r="A65" s="220" t="s">
        <v>121</v>
      </c>
      <c r="B65" s="209">
        <v>17.126937614697678</v>
      </c>
      <c r="C65" s="209">
        <v>20.747198543355175</v>
      </c>
      <c r="D65" s="209">
        <v>20.365170255812544</v>
      </c>
      <c r="E65" s="209">
        <v>19.806208122589318</v>
      </c>
      <c r="F65" s="209">
        <v>19.578351391634179</v>
      </c>
      <c r="G65" s="209">
        <v>35.759844305960428</v>
      </c>
      <c r="H65" s="211">
        <v>1.2865977180223087E-2</v>
      </c>
      <c r="I65" s="212">
        <v>-3.7101256771170377E-3</v>
      </c>
      <c r="J65" s="212">
        <v>-5.5506720125205744E-3</v>
      </c>
      <c r="K65" s="212">
        <v>-2.3115233324033646E-3</v>
      </c>
      <c r="L65" s="213">
        <v>3.0578255766283258E-2</v>
      </c>
      <c r="N65" s="222"/>
      <c r="O65" s="222"/>
      <c r="P65" s="222"/>
      <c r="Q65" s="222"/>
      <c r="R65" s="222"/>
      <c r="S65" s="222"/>
    </row>
    <row r="66" spans="1:19">
      <c r="A66" s="223" t="s">
        <v>122</v>
      </c>
      <c r="B66" s="224">
        <v>1.075774824</v>
      </c>
      <c r="C66" s="224">
        <v>1.1107682087216002</v>
      </c>
      <c r="D66" s="224">
        <v>1.0635241159280002</v>
      </c>
      <c r="E66" s="224">
        <v>1.1160082498275483</v>
      </c>
      <c r="F66" s="224">
        <v>1.2558461316999123</v>
      </c>
      <c r="G66" s="224">
        <v>4.36006303422492</v>
      </c>
      <c r="H66" s="211">
        <v>2.1363245239840456E-3</v>
      </c>
      <c r="I66" s="212">
        <v>-8.6550920534156361E-3</v>
      </c>
      <c r="J66" s="212">
        <v>9.6806017707231629E-3</v>
      </c>
      <c r="K66" s="212">
        <v>2.3891188290943388E-2</v>
      </c>
      <c r="L66" s="213">
        <v>6.4211179326033374E-2</v>
      </c>
      <c r="N66" s="222"/>
      <c r="O66" s="222"/>
      <c r="P66" s="222"/>
      <c r="Q66" s="222"/>
      <c r="R66" s="222"/>
      <c r="S66" s="222"/>
    </row>
    <row r="67" spans="1:19">
      <c r="A67" s="220" t="s">
        <v>123</v>
      </c>
      <c r="B67" s="209">
        <v>26.596511627906978</v>
      </c>
      <c r="C67" s="209">
        <v>22.58061684351927</v>
      </c>
      <c r="D67" s="209">
        <v>23.487599299490569</v>
      </c>
      <c r="E67" s="209">
        <v>23.634529632816339</v>
      </c>
      <c r="F67" s="209">
        <v>23.664536954230794</v>
      </c>
      <c r="G67" s="209">
        <v>41.628931969166253</v>
      </c>
      <c r="H67" s="211">
        <v>-1.085322009177081E-2</v>
      </c>
      <c r="I67" s="212">
        <v>7.9072416084033925E-3</v>
      </c>
      <c r="J67" s="212">
        <v>1.248012171704449E-3</v>
      </c>
      <c r="K67" s="212">
        <v>2.5379894664756542E-4</v>
      </c>
      <c r="L67" s="213">
        <v>2.8643444965444909E-2</v>
      </c>
      <c r="N67" s="222"/>
      <c r="O67" s="222"/>
      <c r="P67" s="222"/>
      <c r="Q67" s="222"/>
      <c r="R67" s="222"/>
      <c r="S67" s="222"/>
    </row>
    <row r="68" spans="1:19">
      <c r="A68" s="220" t="s">
        <v>124</v>
      </c>
      <c r="B68" s="209">
        <v>21.828811773529303</v>
      </c>
      <c r="C68" s="209">
        <v>15.875886473869823</v>
      </c>
      <c r="D68" s="209">
        <v>15.099272438226269</v>
      </c>
      <c r="E68" s="209">
        <v>14.264280154491409</v>
      </c>
      <c r="F68" s="209">
        <v>13.570287340274875</v>
      </c>
      <c r="G68" s="209">
        <v>20.138129256274084</v>
      </c>
      <c r="H68" s="211">
        <v>-2.1004882411991499E-2</v>
      </c>
      <c r="I68" s="212">
        <v>-9.9808225370821013E-3</v>
      </c>
      <c r="J68" s="212">
        <v>-1.1313127541162316E-2</v>
      </c>
      <c r="K68" s="212">
        <v>-9.9255875117842951E-3</v>
      </c>
      <c r="L68" s="213">
        <v>1.9932672113075034E-2</v>
      </c>
      <c r="N68" s="222"/>
      <c r="O68" s="222"/>
      <c r="P68" s="222"/>
      <c r="Q68" s="222"/>
      <c r="R68" s="222"/>
      <c r="S68" s="222"/>
    </row>
    <row r="69" spans="1:19">
      <c r="A69" s="223" t="s">
        <v>125</v>
      </c>
      <c r="B69" s="224">
        <v>12.133462936320001</v>
      </c>
      <c r="C69" s="224">
        <v>9.039124295424001</v>
      </c>
      <c r="D69" s="224">
        <v>8.48864008332</v>
      </c>
      <c r="E69" s="224">
        <v>7.9764155531368806</v>
      </c>
      <c r="F69" s="224">
        <v>7.3710020571582611</v>
      </c>
      <c r="G69" s="224">
        <v>9.8448280746497989</v>
      </c>
      <c r="H69" s="211">
        <v>-1.9435635747002244E-2</v>
      </c>
      <c r="I69" s="212">
        <v>-1.248806694870741E-2</v>
      </c>
      <c r="J69" s="212">
        <v>-1.2370780345036914E-2</v>
      </c>
      <c r="K69" s="212">
        <v>-1.5663131115900453E-2</v>
      </c>
      <c r="L69" s="213">
        <v>1.4574821208431121E-2</v>
      </c>
      <c r="N69" s="222"/>
      <c r="O69" s="222"/>
      <c r="P69" s="222"/>
      <c r="Q69" s="222"/>
      <c r="R69" s="222"/>
      <c r="S69" s="222"/>
    </row>
    <row r="70" spans="1:19">
      <c r="A70" s="181"/>
      <c r="B70" s="182"/>
      <c r="C70" s="182"/>
      <c r="D70" s="182"/>
      <c r="E70" s="182"/>
      <c r="F70" s="182"/>
      <c r="G70" s="182"/>
      <c r="H70" s="211"/>
      <c r="I70" s="212"/>
      <c r="J70" s="212"/>
      <c r="K70" s="212"/>
      <c r="L70" s="213"/>
    </row>
    <row r="71" spans="1:19">
      <c r="A71" s="181"/>
      <c r="B71" s="182"/>
      <c r="C71" s="182"/>
      <c r="D71" s="182"/>
      <c r="E71" s="182"/>
      <c r="F71" s="182"/>
      <c r="G71" s="182"/>
      <c r="H71" s="211"/>
      <c r="I71" s="212"/>
      <c r="J71" s="212"/>
      <c r="K71" s="212"/>
      <c r="L71" s="213"/>
    </row>
    <row r="72" spans="1:19" ht="15.75" thickBot="1">
      <c r="A72" s="190" t="s">
        <v>10</v>
      </c>
      <c r="B72" s="226">
        <v>132.47814813759931</v>
      </c>
      <c r="C72" s="226">
        <v>115.76340648530363</v>
      </c>
      <c r="D72" s="226">
        <v>115.79410097585387</v>
      </c>
      <c r="E72" s="226">
        <v>114.03145204745707</v>
      </c>
      <c r="F72" s="226">
        <v>113.17757521493706</v>
      </c>
      <c r="G72" s="226">
        <v>180.4037694419946</v>
      </c>
      <c r="H72" s="217">
        <v>-8.9509795210076515E-3</v>
      </c>
      <c r="I72" s="218">
        <v>5.3024071355434188E-5</v>
      </c>
      <c r="J72" s="218">
        <v>-3.0631622876612363E-3</v>
      </c>
      <c r="K72" s="218">
        <v>-1.502122314941845E-3</v>
      </c>
      <c r="L72" s="219">
        <v>2.3585820623661213E-2</v>
      </c>
    </row>
    <row r="73" spans="1:19" ht="15.75" thickBot="1">
      <c r="A73" s="195"/>
      <c r="E73" s="171"/>
    </row>
    <row r="74" spans="1:19" ht="15.75" thickBot="1">
      <c r="A74" s="227" t="s">
        <v>126</v>
      </c>
      <c r="B74" s="228">
        <v>55.83279930039</v>
      </c>
      <c r="C74" s="228">
        <v>43.295929654168305</v>
      </c>
      <c r="D74" s="228">
        <v>42.060446224963997</v>
      </c>
      <c r="E74" s="228">
        <v>40.833233507977098</v>
      </c>
      <c r="F74" s="228">
        <v>40.154213917992081</v>
      </c>
      <c r="G74" s="228">
        <v>58.71369876210376</v>
      </c>
      <c r="H74" s="229">
        <v>-1.6810622409562326E-2</v>
      </c>
      <c r="I74" s="230">
        <v>-5.7734388262641323E-3</v>
      </c>
      <c r="J74" s="230">
        <v>-5.9047943408462311E-3</v>
      </c>
      <c r="K74" s="230">
        <v>-3.3481638277382819E-3</v>
      </c>
      <c r="L74" s="231">
        <v>1.9178880492322303E-2</v>
      </c>
    </row>
    <row r="75" spans="1:19">
      <c r="A75" s="232"/>
      <c r="B75" s="233"/>
      <c r="C75" s="233"/>
      <c r="D75" s="233"/>
      <c r="E75" s="233"/>
      <c r="F75" s="233"/>
      <c r="G75" s="233"/>
      <c r="H75" s="212"/>
      <c r="I75" s="212"/>
      <c r="J75" s="212"/>
      <c r="K75" s="212"/>
      <c r="L75" s="212"/>
    </row>
    <row r="76" spans="1:19">
      <c r="E76" s="171"/>
    </row>
    <row r="77" spans="1:19" ht="16.5" thickBot="1">
      <c r="A77" s="91" t="s">
        <v>129</v>
      </c>
      <c r="B77" s="81"/>
      <c r="C77" s="81"/>
      <c r="D77" s="81"/>
      <c r="E77" s="80"/>
      <c r="F77" s="80"/>
      <c r="G77" s="80"/>
      <c r="H77" s="80"/>
      <c r="I77" s="80"/>
      <c r="J77" s="80"/>
      <c r="K77" s="80"/>
      <c r="L77" s="80"/>
    </row>
    <row r="78" spans="1:19" ht="15.75" thickBot="1">
      <c r="A78" s="235" t="s">
        <v>51</v>
      </c>
      <c r="B78" s="178">
        <v>2000</v>
      </c>
      <c r="C78" s="178">
        <v>2015</v>
      </c>
      <c r="D78" s="178">
        <v>2020</v>
      </c>
      <c r="E78" s="178">
        <v>2025</v>
      </c>
      <c r="F78" s="178">
        <v>2030</v>
      </c>
      <c r="G78" s="178">
        <v>2050</v>
      </c>
      <c r="H78" s="197" t="s">
        <v>98</v>
      </c>
      <c r="I78" s="198" t="s">
        <v>99</v>
      </c>
      <c r="J78" s="198" t="s">
        <v>100</v>
      </c>
      <c r="K78" s="198" t="s">
        <v>101</v>
      </c>
      <c r="L78" s="199" t="s">
        <v>102</v>
      </c>
    </row>
    <row r="79" spans="1:19">
      <c r="A79" s="220" t="s">
        <v>111</v>
      </c>
      <c r="B79" s="209">
        <v>6.1028647040878994</v>
      </c>
      <c r="C79" s="209">
        <v>3.743051092199623</v>
      </c>
      <c r="D79" s="209">
        <v>3.3747741294792517</v>
      </c>
      <c r="E79" s="209">
        <v>3.0476118036187563</v>
      </c>
      <c r="F79" s="209">
        <v>2.6285256088905298</v>
      </c>
      <c r="G79" s="209">
        <v>0.93993171058195146</v>
      </c>
      <c r="H79" s="203">
        <v>-3.2065133243258437E-2</v>
      </c>
      <c r="I79" s="204">
        <v>-2.0501464042258277E-2</v>
      </c>
      <c r="J79" s="204">
        <v>-2.0187474137542516E-2</v>
      </c>
      <c r="K79" s="204">
        <v>-2.9153625531606608E-2</v>
      </c>
      <c r="L79" s="205">
        <v>-5.0118991966425885E-2</v>
      </c>
      <c r="N79" s="222"/>
      <c r="O79" s="222"/>
      <c r="P79" s="222"/>
      <c r="Q79" s="222"/>
      <c r="R79" s="222"/>
      <c r="S79" s="222"/>
    </row>
    <row r="80" spans="1:19">
      <c r="A80" s="223" t="s">
        <v>112</v>
      </c>
      <c r="B80" s="224">
        <v>5.6397741040878993</v>
      </c>
      <c r="C80" s="224">
        <v>3.559043538065497</v>
      </c>
      <c r="D80" s="224">
        <v>3.1996984871582472</v>
      </c>
      <c r="E80" s="224">
        <v>2.8901647001339992</v>
      </c>
      <c r="F80" s="224">
        <v>2.4957650379914069</v>
      </c>
      <c r="G80" s="224">
        <v>0.86839824527034348</v>
      </c>
      <c r="H80" s="211">
        <v>-3.0223983367855145E-2</v>
      </c>
      <c r="I80" s="212">
        <v>-2.1062081281624345E-2</v>
      </c>
      <c r="J80" s="212">
        <v>-2.0142982514886554E-2</v>
      </c>
      <c r="K80" s="212">
        <v>-2.8917291757819874E-2</v>
      </c>
      <c r="L80" s="213">
        <v>-5.1416072065252116E-2</v>
      </c>
      <c r="N80" s="222"/>
      <c r="O80" s="222"/>
      <c r="P80" s="222"/>
      <c r="Q80" s="222"/>
      <c r="R80" s="222"/>
      <c r="S80" s="222"/>
    </row>
    <row r="81" spans="1:19">
      <c r="A81" s="223" t="s">
        <v>113</v>
      </c>
      <c r="B81" s="224">
        <v>0.22049060000000001</v>
      </c>
      <c r="C81" s="224">
        <v>8.9968314399999999E-2</v>
      </c>
      <c r="D81" s="224">
        <v>8.2055675000000008E-2</v>
      </c>
      <c r="E81" s="224">
        <v>6.9875499999999979E-2</v>
      </c>
      <c r="F81" s="224">
        <v>5.2923600000000008E-2</v>
      </c>
      <c r="G81" s="224">
        <v>1.8942200000000003E-2</v>
      </c>
      <c r="H81" s="211">
        <v>-5.800925990156014E-2</v>
      </c>
      <c r="I81" s="212">
        <v>-1.8243449391070587E-2</v>
      </c>
      <c r="J81" s="212">
        <v>-3.1625686200436376E-2</v>
      </c>
      <c r="K81" s="212">
        <v>-5.4057169458854637E-2</v>
      </c>
      <c r="L81" s="213">
        <v>-5.0075580850414636E-2</v>
      </c>
      <c r="N81" s="222"/>
      <c r="O81" s="222"/>
      <c r="P81" s="222"/>
      <c r="Q81" s="222"/>
      <c r="R81" s="222"/>
      <c r="S81" s="222"/>
    </row>
    <row r="82" spans="1:19">
      <c r="A82" s="220" t="s">
        <v>114</v>
      </c>
      <c r="B82" s="209">
        <v>7.4539200114399993</v>
      </c>
      <c r="C82" s="209">
        <v>6.0538799235732776</v>
      </c>
      <c r="D82" s="209">
        <v>5.9635137345162414</v>
      </c>
      <c r="E82" s="209">
        <v>5.4198459969725219</v>
      </c>
      <c r="F82" s="209">
        <v>4.7897112578691594</v>
      </c>
      <c r="G82" s="209">
        <v>1.795024240422165</v>
      </c>
      <c r="H82" s="211">
        <v>-1.3773642860210988E-2</v>
      </c>
      <c r="I82" s="212">
        <v>-3.0033839999191736E-3</v>
      </c>
      <c r="J82" s="212">
        <v>-1.8936892563536922E-2</v>
      </c>
      <c r="K82" s="212">
        <v>-2.4416430642059117E-2</v>
      </c>
      <c r="L82" s="213">
        <v>-4.7887977249885028E-2</v>
      </c>
      <c r="N82" s="222"/>
      <c r="O82" s="222"/>
      <c r="P82" s="222"/>
      <c r="Q82" s="222"/>
      <c r="R82" s="222"/>
      <c r="S82" s="222"/>
    </row>
    <row r="83" spans="1:19">
      <c r="A83" s="223" t="s">
        <v>115</v>
      </c>
      <c r="B83" s="224">
        <v>0.56011000592000015</v>
      </c>
      <c r="C83" s="224">
        <v>0.41786552452128012</v>
      </c>
      <c r="D83" s="224">
        <v>0.40441408683984004</v>
      </c>
      <c r="E83" s="224">
        <v>0.38945718489798559</v>
      </c>
      <c r="F83" s="224">
        <v>0.37122548690476481</v>
      </c>
      <c r="G83" s="224">
        <v>0.19939095107078403</v>
      </c>
      <c r="H83" s="211">
        <v>-1.9342063656889397E-2</v>
      </c>
      <c r="I83" s="212">
        <v>-6.5227039328993319E-3</v>
      </c>
      <c r="J83" s="212">
        <v>-7.5087443496526518E-3</v>
      </c>
      <c r="K83" s="212">
        <v>-9.5430288444636746E-3</v>
      </c>
      <c r="L83" s="213">
        <v>-3.0599179512618147E-2</v>
      </c>
      <c r="N83" s="222"/>
      <c r="O83" s="222"/>
      <c r="P83" s="222"/>
      <c r="Q83" s="222"/>
      <c r="R83" s="222"/>
      <c r="S83" s="222"/>
    </row>
    <row r="84" spans="1:19">
      <c r="A84" s="223" t="s">
        <v>116</v>
      </c>
      <c r="B84" s="224">
        <v>4.3108100055199987</v>
      </c>
      <c r="C84" s="224">
        <v>3.5079195384736805</v>
      </c>
      <c r="D84" s="224">
        <v>3.3104538690893994</v>
      </c>
      <c r="E84" s="224">
        <v>2.9219111255068015</v>
      </c>
      <c r="F84" s="224">
        <v>2.5293064321475645</v>
      </c>
      <c r="G84" s="224">
        <v>0.53913407572640637</v>
      </c>
      <c r="H84" s="211">
        <v>-1.364621360705931E-2</v>
      </c>
      <c r="I84" s="212">
        <v>-1.1520690126172184E-2</v>
      </c>
      <c r="J84" s="212">
        <v>-2.4660321708745769E-2</v>
      </c>
      <c r="K84" s="212">
        <v>-2.8446122757142756E-2</v>
      </c>
      <c r="L84" s="213">
        <v>-7.4375658972649417E-2</v>
      </c>
      <c r="N84" s="222"/>
      <c r="O84" s="222"/>
      <c r="P84" s="222"/>
      <c r="Q84" s="222"/>
      <c r="R84" s="222"/>
      <c r="S84" s="222"/>
    </row>
    <row r="85" spans="1:19">
      <c r="A85" s="223" t="s">
        <v>117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24">
        <v>0</v>
      </c>
      <c r="H85" s="211" t="e">
        <v>#DIV/0!</v>
      </c>
      <c r="I85" s="212" t="e">
        <v>#DIV/0!</v>
      </c>
      <c r="J85" s="212" t="e">
        <v>#DIV/0!</v>
      </c>
      <c r="K85" s="212" t="e">
        <v>#DIV/0!</v>
      </c>
      <c r="L85" s="213" t="e">
        <v>#DIV/0!</v>
      </c>
      <c r="N85" s="222"/>
      <c r="O85" s="222"/>
      <c r="P85" s="222"/>
      <c r="Q85" s="222"/>
      <c r="R85" s="222"/>
      <c r="S85" s="222"/>
    </row>
    <row r="86" spans="1:19">
      <c r="A86" s="220" t="s">
        <v>118</v>
      </c>
      <c r="B86" s="209">
        <v>3.6520466542679997</v>
      </c>
      <c r="C86" s="209">
        <v>2.6435612738329253</v>
      </c>
      <c r="D86" s="209">
        <v>2.7608791320717905</v>
      </c>
      <c r="E86" s="209">
        <v>2.7076978560362157</v>
      </c>
      <c r="F86" s="209">
        <v>2.6097213805676915</v>
      </c>
      <c r="G86" s="209">
        <v>1.3828415196373696</v>
      </c>
      <c r="H86" s="211">
        <v>-2.1313635408318321E-2</v>
      </c>
      <c r="I86" s="212">
        <v>8.7222550422911826E-3</v>
      </c>
      <c r="J86" s="212">
        <v>-3.8825196310914301E-3</v>
      </c>
      <c r="K86" s="212">
        <v>-7.3439622184802156E-3</v>
      </c>
      <c r="L86" s="213">
        <v>-3.1256250559140719E-2</v>
      </c>
      <c r="N86" s="222"/>
      <c r="O86" s="222"/>
      <c r="P86" s="222"/>
      <c r="Q86" s="222"/>
      <c r="R86" s="222"/>
      <c r="S86" s="222"/>
    </row>
    <row r="87" spans="1:19">
      <c r="A87" s="223" t="s">
        <v>119</v>
      </c>
      <c r="B87" s="224">
        <v>1.4896100470499998</v>
      </c>
      <c r="C87" s="224">
        <v>1.1833118899852499</v>
      </c>
      <c r="D87" s="224">
        <v>1.30597999518</v>
      </c>
      <c r="E87" s="224">
        <v>1.2815257689055501</v>
      </c>
      <c r="F87" s="224">
        <v>1.2511536211502998</v>
      </c>
      <c r="G87" s="224">
        <v>0.7810391513924998</v>
      </c>
      <c r="H87" s="211">
        <v>-1.5229321466198376E-2</v>
      </c>
      <c r="I87" s="212">
        <v>1.9923173048701726E-2</v>
      </c>
      <c r="J87" s="212">
        <v>-3.7733306483830331E-3</v>
      </c>
      <c r="K87" s="212">
        <v>-4.7855829108133241E-3</v>
      </c>
      <c r="L87" s="213">
        <v>-2.3284435801467329E-2</v>
      </c>
      <c r="N87" s="222"/>
      <c r="O87" s="222"/>
      <c r="P87" s="222"/>
      <c r="Q87" s="222"/>
      <c r="R87" s="222"/>
      <c r="S87" s="222"/>
    </row>
    <row r="88" spans="1:19">
      <c r="A88" s="223" t="s">
        <v>120</v>
      </c>
      <c r="B88" s="224">
        <v>1.1727366072179999</v>
      </c>
      <c r="C88" s="224">
        <v>0.98472244037639989</v>
      </c>
      <c r="D88" s="224">
        <v>0.94528905381239969</v>
      </c>
      <c r="E88" s="224">
        <v>0.8954958088193038</v>
      </c>
      <c r="F88" s="224">
        <v>0.83689880749767587</v>
      </c>
      <c r="G88" s="224">
        <v>0.33816436952759998</v>
      </c>
      <c r="H88" s="211">
        <v>-1.1581443545223058E-2</v>
      </c>
      <c r="I88" s="212">
        <v>-8.1404966884655039E-3</v>
      </c>
      <c r="J88" s="212">
        <v>-1.0764289211216749E-2</v>
      </c>
      <c r="K88" s="212">
        <v>-1.3443690845398315E-2</v>
      </c>
      <c r="L88" s="213">
        <v>-4.4297449820036583E-2</v>
      </c>
      <c r="N88" s="222"/>
      <c r="O88" s="222"/>
      <c r="P88" s="222"/>
      <c r="Q88" s="222"/>
      <c r="R88" s="222"/>
      <c r="S88" s="222"/>
    </row>
    <row r="89" spans="1:19">
      <c r="A89" s="220" t="s">
        <v>121</v>
      </c>
      <c r="B89" s="209">
        <v>3.676710006</v>
      </c>
      <c r="C89" s="209">
        <v>4.0910786983907714</v>
      </c>
      <c r="D89" s="209">
        <v>4.0433273466057118</v>
      </c>
      <c r="E89" s="209">
        <v>3.796156473733348</v>
      </c>
      <c r="F89" s="209">
        <v>3.3948131650042308</v>
      </c>
      <c r="G89" s="209">
        <v>1.3705057918160062</v>
      </c>
      <c r="H89" s="211">
        <v>7.1447590995870058E-3</v>
      </c>
      <c r="I89" s="212">
        <v>-2.3453896803018459E-3</v>
      </c>
      <c r="J89" s="212">
        <v>-1.253652537427774E-2</v>
      </c>
      <c r="K89" s="212">
        <v>-2.2100206370139208E-2</v>
      </c>
      <c r="L89" s="213">
        <v>-4.434034928410191E-2</v>
      </c>
      <c r="N89" s="222"/>
      <c r="O89" s="222"/>
      <c r="P89" s="222"/>
      <c r="Q89" s="222"/>
      <c r="R89" s="222"/>
      <c r="S89" s="222"/>
    </row>
    <row r="90" spans="1:19">
      <c r="A90" s="223" t="s">
        <v>122</v>
      </c>
      <c r="B90" s="224">
        <v>0.79941000600000001</v>
      </c>
      <c r="C90" s="224">
        <v>0.79070183599999988</v>
      </c>
      <c r="D90" s="224">
        <v>0.75709700797000001</v>
      </c>
      <c r="E90" s="224">
        <v>0.71758800933058786</v>
      </c>
      <c r="F90" s="224">
        <v>0.6731790314134839</v>
      </c>
      <c r="G90" s="224">
        <v>0.32072843222750008</v>
      </c>
      <c r="H90" s="211">
        <v>-7.2993426955259011E-4</v>
      </c>
      <c r="I90" s="212">
        <v>-8.6482980368652873E-3</v>
      </c>
      <c r="J90" s="212">
        <v>-1.066191293344998E-2</v>
      </c>
      <c r="K90" s="212">
        <v>-1.2695579882995522E-2</v>
      </c>
      <c r="L90" s="213">
        <v>-3.6392117229602783E-2</v>
      </c>
      <c r="N90" s="222"/>
      <c r="O90" s="222"/>
      <c r="P90" s="222"/>
      <c r="Q90" s="222"/>
      <c r="R90" s="222"/>
      <c r="S90" s="222"/>
    </row>
    <row r="91" spans="1:19">
      <c r="A91" s="220" t="s">
        <v>123</v>
      </c>
      <c r="B91" s="209">
        <v>2.481199999999999</v>
      </c>
      <c r="C91" s="209">
        <v>1.8880920054378414</v>
      </c>
      <c r="D91" s="209">
        <v>1.90126179086423</v>
      </c>
      <c r="E91" s="209">
        <v>1.8059472130563652</v>
      </c>
      <c r="F91" s="209">
        <v>1.6318409444283501</v>
      </c>
      <c r="G91" s="209">
        <v>0.1810329669258543</v>
      </c>
      <c r="H91" s="211">
        <v>-1.8046870165126516E-2</v>
      </c>
      <c r="I91" s="212">
        <v>1.3911603631424629E-3</v>
      </c>
      <c r="J91" s="212">
        <v>-1.0233782875543107E-2</v>
      </c>
      <c r="K91" s="212">
        <v>-2.0071125438323012E-2</v>
      </c>
      <c r="L91" s="213">
        <v>-0.10411143744723672</v>
      </c>
      <c r="N91" s="222"/>
      <c r="O91" s="222"/>
      <c r="P91" s="222"/>
      <c r="Q91" s="222"/>
      <c r="R91" s="222"/>
      <c r="S91" s="222"/>
    </row>
    <row r="92" spans="1:19">
      <c r="A92" s="220" t="s">
        <v>124</v>
      </c>
      <c r="B92" s="209">
        <v>4.1560599718479994</v>
      </c>
      <c r="C92" s="209">
        <v>3.47269421042565</v>
      </c>
      <c r="D92" s="209">
        <v>3.3066622606498326</v>
      </c>
      <c r="E92" s="209">
        <v>3.0516626018630584</v>
      </c>
      <c r="F92" s="209">
        <v>2.7120188547707866</v>
      </c>
      <c r="G92" s="209">
        <v>1.2528941119665928</v>
      </c>
      <c r="H92" s="211">
        <v>-1.1904361094133065E-2</v>
      </c>
      <c r="I92" s="212">
        <v>-9.750437620532959E-3</v>
      </c>
      <c r="J92" s="212">
        <v>-1.5922424886672948E-2</v>
      </c>
      <c r="K92" s="212">
        <v>-2.3322376412657886E-2</v>
      </c>
      <c r="L92" s="213">
        <v>-3.7875922442457077E-2</v>
      </c>
      <c r="N92" s="222"/>
      <c r="O92" s="222"/>
      <c r="P92" s="222"/>
      <c r="Q92" s="222"/>
      <c r="R92" s="222"/>
      <c r="S92" s="222"/>
    </row>
    <row r="93" spans="1:19">
      <c r="A93" s="223" t="s">
        <v>125</v>
      </c>
      <c r="B93" s="224">
        <v>2.7366599718479998</v>
      </c>
      <c r="C93" s="224">
        <v>2.4273128584255503</v>
      </c>
      <c r="D93" s="224">
        <v>2.2981518947146498</v>
      </c>
      <c r="E93" s="224">
        <v>2.1341305173637979</v>
      </c>
      <c r="F93" s="224">
        <v>1.9122084978968883</v>
      </c>
      <c r="G93" s="224">
        <v>1.0332007326072596</v>
      </c>
      <c r="H93" s="211">
        <v>-7.9650007687418478E-3</v>
      </c>
      <c r="I93" s="212">
        <v>-1.0876330321090033E-2</v>
      </c>
      <c r="J93" s="212">
        <v>-1.4700076010013885E-2</v>
      </c>
      <c r="K93" s="212">
        <v>-2.1720723816867182E-2</v>
      </c>
      <c r="L93" s="213">
        <v>-3.0310991049048219E-2</v>
      </c>
      <c r="N93" s="222"/>
      <c r="O93" s="222"/>
      <c r="P93" s="222"/>
      <c r="Q93" s="222"/>
      <c r="R93" s="222"/>
      <c r="S93" s="222"/>
    </row>
    <row r="94" spans="1:19">
      <c r="A94" s="181"/>
      <c r="B94" s="182"/>
      <c r="C94" s="182"/>
      <c r="D94" s="182"/>
      <c r="E94" s="182"/>
      <c r="F94" s="182"/>
      <c r="G94" s="182"/>
      <c r="H94" s="211"/>
      <c r="I94" s="212"/>
      <c r="J94" s="212"/>
      <c r="K94" s="212"/>
      <c r="L94" s="213"/>
    </row>
    <row r="95" spans="1:19">
      <c r="A95" s="181"/>
      <c r="B95" s="182"/>
      <c r="C95" s="182"/>
      <c r="D95" s="182"/>
      <c r="E95" s="182"/>
      <c r="F95" s="182"/>
      <c r="G95" s="182"/>
      <c r="H95" s="211"/>
      <c r="I95" s="212"/>
      <c r="J95" s="212"/>
      <c r="K95" s="212"/>
      <c r="L95" s="213"/>
    </row>
    <row r="96" spans="1:19" ht="15.75" thickBot="1">
      <c r="A96" s="190" t="s">
        <v>10</v>
      </c>
      <c r="B96" s="226">
        <v>27.522801347643899</v>
      </c>
      <c r="C96" s="226">
        <v>21.892357203860087</v>
      </c>
      <c r="D96" s="226">
        <v>21.350418394187059</v>
      </c>
      <c r="E96" s="226">
        <v>19.828921945280268</v>
      </c>
      <c r="F96" s="226">
        <v>17.766631211530747</v>
      </c>
      <c r="G96" s="226">
        <v>6.9222303413499384</v>
      </c>
      <c r="H96" s="217">
        <v>-1.5142659964137439E-2</v>
      </c>
      <c r="I96" s="218">
        <v>-5.0007053094305309E-3</v>
      </c>
      <c r="J96" s="218">
        <v>-1.4677176623779986E-2</v>
      </c>
      <c r="K96" s="218">
        <v>-2.17244555742514E-2</v>
      </c>
      <c r="L96" s="219">
        <v>-4.6035863756779483E-2</v>
      </c>
    </row>
    <row r="97" spans="1:12" ht="15.75" thickBot="1">
      <c r="A97" s="195"/>
      <c r="E97" s="171"/>
    </row>
    <row r="98" spans="1:12" ht="15.75" thickBot="1">
      <c r="A98" s="227" t="s">
        <v>126</v>
      </c>
      <c r="B98" s="228">
        <v>16.929601347643899</v>
      </c>
      <c r="C98" s="228">
        <v>12.960845940247658</v>
      </c>
      <c r="D98" s="228">
        <v>12.303140069764535</v>
      </c>
      <c r="E98" s="228">
        <v>11.300148614958026</v>
      </c>
      <c r="F98" s="228">
        <v>10.122660515002085</v>
      </c>
      <c r="G98" s="228">
        <v>4.0989981578223933</v>
      </c>
      <c r="H98" s="229">
        <v>-1.7651074497766484E-2</v>
      </c>
      <c r="I98" s="230">
        <v>-1.0361632943188592E-2</v>
      </c>
      <c r="J98" s="230">
        <v>-1.6863913586100732E-2</v>
      </c>
      <c r="K98" s="230">
        <v>-2.1767463933394238E-2</v>
      </c>
      <c r="L98" s="231">
        <v>-4.4195320257210291E-2</v>
      </c>
    </row>
    <row r="99" spans="1:12">
      <c r="A99" s="232"/>
      <c r="B99" s="233"/>
      <c r="C99" s="233"/>
      <c r="D99" s="233"/>
      <c r="E99" s="233"/>
      <c r="F99" s="233"/>
      <c r="G99" s="233"/>
      <c r="H99" s="212"/>
      <c r="I99" s="212"/>
      <c r="J99" s="212"/>
      <c r="K99" s="212"/>
      <c r="L99" s="212"/>
    </row>
    <row r="100" spans="1:12">
      <c r="F100" s="170"/>
    </row>
    <row r="101" spans="1:12" ht="16.5" thickBot="1">
      <c r="A101" s="91" t="s">
        <v>130</v>
      </c>
      <c r="B101" s="81"/>
      <c r="C101" s="81"/>
      <c r="D101" s="81"/>
      <c r="E101" s="81"/>
      <c r="F101" s="81"/>
      <c r="G101" s="80"/>
      <c r="H101" s="80"/>
      <c r="I101" s="80"/>
      <c r="J101" s="80"/>
      <c r="K101" s="80"/>
      <c r="L101" s="80"/>
    </row>
    <row r="102" spans="1:12" ht="15.75" thickBot="1">
      <c r="A102" s="177"/>
      <c r="B102" s="178">
        <v>2000</v>
      </c>
      <c r="C102" s="178">
        <v>2015</v>
      </c>
      <c r="D102" s="178">
        <v>2020</v>
      </c>
      <c r="E102" s="178">
        <v>2025</v>
      </c>
      <c r="F102" s="178">
        <v>2030</v>
      </c>
      <c r="G102" s="178">
        <v>2050</v>
      </c>
      <c r="H102" s="197" t="s">
        <v>98</v>
      </c>
      <c r="I102" s="198" t="s">
        <v>99</v>
      </c>
      <c r="J102" s="198" t="s">
        <v>100</v>
      </c>
      <c r="K102" s="198" t="s">
        <v>101</v>
      </c>
      <c r="L102" s="199" t="s">
        <v>102</v>
      </c>
    </row>
    <row r="103" spans="1:12" ht="15.75" thickBot="1">
      <c r="A103" s="190" t="s">
        <v>131</v>
      </c>
      <c r="B103" s="237">
        <v>0.14861493671090042</v>
      </c>
      <c r="C103" s="237">
        <v>0.11094264199429463</v>
      </c>
      <c r="D103" s="237">
        <v>0.10170692751526944</v>
      </c>
      <c r="E103" s="237">
        <v>9.1600088456929865E-2</v>
      </c>
      <c r="F103" s="237">
        <v>8.0494065121002392E-2</v>
      </c>
      <c r="G103" s="237">
        <v>5.0727758757542533E-2</v>
      </c>
      <c r="H103" s="217">
        <v>-1.9300991535037504E-2</v>
      </c>
      <c r="I103" s="218">
        <v>-1.7233359478206589E-2</v>
      </c>
      <c r="J103" s="218">
        <v>-2.0715069205962333E-2</v>
      </c>
      <c r="K103" s="218">
        <v>-2.5518511561099966E-2</v>
      </c>
      <c r="L103" s="219">
        <v>-2.2821077671392298E-2</v>
      </c>
    </row>
    <row r="104" spans="1:12">
      <c r="A104" s="238"/>
      <c r="F104" s="170"/>
    </row>
    <row r="105" spans="1:12">
      <c r="F105" s="170"/>
    </row>
    <row r="106" spans="1:12" ht="21">
      <c r="A106" s="78" t="s">
        <v>132</v>
      </c>
      <c r="B106" s="73"/>
      <c r="C106" s="73"/>
      <c r="D106" s="73"/>
      <c r="E106" s="73"/>
      <c r="F106" s="73"/>
      <c r="G106" s="239"/>
      <c r="H106" s="239"/>
      <c r="I106" s="239"/>
      <c r="J106" s="239"/>
      <c r="K106" s="239"/>
      <c r="L106" s="239"/>
    </row>
    <row r="107" spans="1:12">
      <c r="F107" s="170"/>
    </row>
    <row r="108" spans="1:12" ht="16.5" thickBot="1">
      <c r="A108" s="91" t="s">
        <v>133</v>
      </c>
      <c r="B108" s="81"/>
      <c r="C108" s="81"/>
      <c r="D108" s="81"/>
      <c r="E108" s="81"/>
      <c r="F108" s="81"/>
      <c r="G108" s="80"/>
      <c r="H108" s="80"/>
      <c r="I108" s="80"/>
      <c r="J108" s="80"/>
      <c r="K108" s="80"/>
      <c r="L108" s="80"/>
    </row>
    <row r="109" spans="1:12" ht="15.75" thickBot="1">
      <c r="A109" s="177" t="s">
        <v>51</v>
      </c>
      <c r="B109" s="178">
        <v>2000</v>
      </c>
      <c r="C109" s="178">
        <v>2015</v>
      </c>
      <c r="D109" s="178">
        <v>2020</v>
      </c>
      <c r="E109" s="178">
        <v>2025</v>
      </c>
      <c r="F109" s="178">
        <v>2030</v>
      </c>
      <c r="G109" s="178">
        <v>2050</v>
      </c>
      <c r="H109" s="197" t="s">
        <v>98</v>
      </c>
      <c r="I109" s="198" t="s">
        <v>99</v>
      </c>
      <c r="J109" s="198" t="s">
        <v>100</v>
      </c>
      <c r="K109" s="198" t="s">
        <v>101</v>
      </c>
      <c r="L109" s="199" t="s">
        <v>102</v>
      </c>
    </row>
    <row r="110" spans="1:12">
      <c r="A110" s="181" t="s">
        <v>103</v>
      </c>
      <c r="B110" s="182">
        <v>9.0758812906337827</v>
      </c>
      <c r="C110" s="182">
        <v>6.7005679295957643</v>
      </c>
      <c r="D110" s="182">
        <v>5.6882318129329184</v>
      </c>
      <c r="E110" s="182">
        <v>3.9542821665322192</v>
      </c>
      <c r="F110" s="182">
        <v>1.7531094981983244</v>
      </c>
      <c r="G110" s="182">
        <v>0.16876038587276018</v>
      </c>
      <c r="H110" s="203">
        <v>-2.0025322165468706E-2</v>
      </c>
      <c r="I110" s="204">
        <v>-3.2227817829655558E-2</v>
      </c>
      <c r="J110" s="204">
        <v>-7.0138912602095926E-2</v>
      </c>
      <c r="K110" s="204">
        <v>-0.15013826160384491</v>
      </c>
      <c r="L110" s="205">
        <v>-0.11044445054685692</v>
      </c>
    </row>
    <row r="111" spans="1:12">
      <c r="A111" s="181" t="s">
        <v>54</v>
      </c>
      <c r="B111" s="182">
        <v>15.00569239050041</v>
      </c>
      <c r="C111" s="182">
        <v>14.533749468475101</v>
      </c>
      <c r="D111" s="182">
        <v>13.619199382355207</v>
      </c>
      <c r="E111" s="182">
        <v>11.929887054209381</v>
      </c>
      <c r="F111" s="182">
        <v>10.440933334102589</v>
      </c>
      <c r="G111" s="182">
        <v>3.2906931433531605</v>
      </c>
      <c r="H111" s="211">
        <v>-2.1281407827751231E-3</v>
      </c>
      <c r="I111" s="212">
        <v>-1.2914478704932786E-2</v>
      </c>
      <c r="J111" s="212">
        <v>-2.6139052164786847E-2</v>
      </c>
      <c r="K111" s="212">
        <v>-2.6310250168805283E-2</v>
      </c>
      <c r="L111" s="213">
        <v>-5.6096920086786795E-2</v>
      </c>
    </row>
    <row r="112" spans="1:12">
      <c r="A112" s="181" t="s">
        <v>42</v>
      </c>
      <c r="B112" s="182">
        <v>5.9999999999999984E-2</v>
      </c>
      <c r="C112" s="182">
        <v>0</v>
      </c>
      <c r="D112" s="182">
        <v>0</v>
      </c>
      <c r="E112" s="182">
        <v>0</v>
      </c>
      <c r="F112" s="182">
        <v>0</v>
      </c>
      <c r="G112" s="182">
        <v>0</v>
      </c>
      <c r="H112" s="211">
        <v>-1</v>
      </c>
      <c r="I112" s="212" t="e">
        <v>#DIV/0!</v>
      </c>
      <c r="J112" s="212" t="e">
        <v>#DIV/0!</v>
      </c>
      <c r="K112" s="212" t="e">
        <v>#DIV/0!</v>
      </c>
      <c r="L112" s="213" t="e">
        <v>#DIV/0!</v>
      </c>
    </row>
    <row r="113" spans="1:12">
      <c r="A113" s="181" t="s">
        <v>104</v>
      </c>
      <c r="B113" s="182">
        <v>10.566459797679247</v>
      </c>
      <c r="C113" s="182">
        <v>13.873471120627759</v>
      </c>
      <c r="D113" s="182">
        <v>13.251595559348388</v>
      </c>
      <c r="E113" s="182">
        <v>12.779135686755508</v>
      </c>
      <c r="F113" s="182">
        <v>12.106495373667938</v>
      </c>
      <c r="G113" s="182">
        <v>11.33310109741109</v>
      </c>
      <c r="H113" s="211">
        <v>1.8318675562970954E-2</v>
      </c>
      <c r="I113" s="212">
        <v>-9.1301644621099021E-3</v>
      </c>
      <c r="J113" s="212">
        <v>-7.2345335063984662E-3</v>
      </c>
      <c r="K113" s="212">
        <v>-1.0756075286291966E-2</v>
      </c>
      <c r="L113" s="213">
        <v>-3.2952772158820753E-3</v>
      </c>
    </row>
    <row r="114" spans="1:12">
      <c r="A114" s="181" t="s">
        <v>105</v>
      </c>
      <c r="B114" s="182">
        <v>1.7520381736811979</v>
      </c>
      <c r="C114" s="182">
        <v>1.3253610960698863</v>
      </c>
      <c r="D114" s="182">
        <v>1.3977555056216797</v>
      </c>
      <c r="E114" s="182">
        <v>1.8553686069309605</v>
      </c>
      <c r="F114" s="182">
        <v>2.2479759646467494</v>
      </c>
      <c r="G114" s="182">
        <v>2.1939463906381054</v>
      </c>
      <c r="H114" s="211">
        <v>-1.8434293198953178E-2</v>
      </c>
      <c r="I114" s="212">
        <v>1.069332772347642E-2</v>
      </c>
      <c r="J114" s="212">
        <v>5.8278074544066305E-2</v>
      </c>
      <c r="K114" s="212">
        <v>3.9135763206619822E-2</v>
      </c>
      <c r="L114" s="213">
        <v>-1.2156761197724686E-3</v>
      </c>
    </row>
    <row r="115" spans="1:12">
      <c r="A115" s="181" t="s">
        <v>134</v>
      </c>
      <c r="B115" s="182">
        <v>6.296013916158028</v>
      </c>
      <c r="C115" s="182">
        <v>4.2229889211334193</v>
      </c>
      <c r="D115" s="182">
        <v>4.5293827527073827</v>
      </c>
      <c r="E115" s="182">
        <v>4.7336965870786818</v>
      </c>
      <c r="F115" s="182">
        <v>5.2384202374876301</v>
      </c>
      <c r="G115" s="182">
        <v>2.9485640726408189</v>
      </c>
      <c r="H115" s="211">
        <v>-2.6273586664713022E-2</v>
      </c>
      <c r="I115" s="212">
        <v>1.4107082876768207E-2</v>
      </c>
      <c r="J115" s="212">
        <v>8.8631964133378816E-3</v>
      </c>
      <c r="K115" s="212">
        <v>2.0469393296532301E-2</v>
      </c>
      <c r="L115" s="213">
        <v>-2.8326157420179299E-2</v>
      </c>
    </row>
    <row r="116" spans="1:12">
      <c r="A116" s="181" t="s">
        <v>135</v>
      </c>
      <c r="B116" s="182">
        <v>2.0606803808999999E-2</v>
      </c>
      <c r="C116" s="182">
        <v>9.0729061511679504E-2</v>
      </c>
      <c r="D116" s="182">
        <v>0.13263095721105231</v>
      </c>
      <c r="E116" s="182">
        <v>0.17301132305501996</v>
      </c>
      <c r="F116" s="182">
        <v>0.21011104449581849</v>
      </c>
      <c r="G116" s="182">
        <v>0.36846530198985222</v>
      </c>
      <c r="H116" s="211"/>
      <c r="I116" s="212"/>
      <c r="J116" s="212"/>
      <c r="K116" s="212"/>
      <c r="L116" s="213"/>
    </row>
    <row r="117" spans="1:12">
      <c r="A117" s="181" t="s">
        <v>136</v>
      </c>
      <c r="B117" s="182">
        <v>0</v>
      </c>
      <c r="C117" s="182">
        <v>0.30229493246657396</v>
      </c>
      <c r="D117" s="182">
        <v>0.5295558756722677</v>
      </c>
      <c r="E117" s="182">
        <v>0.92374869985651298</v>
      </c>
      <c r="F117" s="182">
        <v>1.4149173781835669</v>
      </c>
      <c r="G117" s="182">
        <v>3.3607236291928517</v>
      </c>
      <c r="H117" s="211"/>
      <c r="I117" s="212"/>
      <c r="J117" s="212"/>
      <c r="K117" s="212"/>
      <c r="L117" s="213"/>
    </row>
    <row r="118" spans="1:12">
      <c r="A118" s="181"/>
      <c r="B118" s="182"/>
      <c r="C118" s="182"/>
      <c r="D118" s="182"/>
      <c r="E118" s="182"/>
      <c r="F118" s="182"/>
      <c r="G118" s="240"/>
      <c r="H118" s="211"/>
      <c r="I118" s="212"/>
      <c r="J118" s="212"/>
      <c r="K118" s="212"/>
      <c r="L118" s="213"/>
    </row>
    <row r="119" spans="1:12" ht="15.75" thickBot="1">
      <c r="A119" s="241" t="s">
        <v>10</v>
      </c>
      <c r="B119" s="242">
        <v>42.776692372461667</v>
      </c>
      <c r="C119" s="242">
        <v>41.049162529880185</v>
      </c>
      <c r="D119" s="242">
        <v>39.148351845848893</v>
      </c>
      <c r="E119" s="242">
        <v>36.349130124418281</v>
      </c>
      <c r="F119" s="242">
        <v>33.411962830782613</v>
      </c>
      <c r="G119" s="242">
        <v>23.664254021098639</v>
      </c>
      <c r="H119" s="217">
        <v>-2.7444237679368211E-3</v>
      </c>
      <c r="I119" s="218">
        <v>-9.437605874686672E-3</v>
      </c>
      <c r="J119" s="218">
        <v>-1.4728075072347302E-2</v>
      </c>
      <c r="K119" s="218">
        <v>-1.6710065541940655E-2</v>
      </c>
      <c r="L119" s="219">
        <v>-1.7099532918173233E-2</v>
      </c>
    </row>
    <row r="120" spans="1:12">
      <c r="A120" s="195"/>
      <c r="B120" s="171"/>
      <c r="C120" s="171"/>
      <c r="D120" s="171"/>
      <c r="E120" s="171"/>
    </row>
    <row r="121" spans="1:12">
      <c r="B121" s="171"/>
      <c r="C121" s="171"/>
      <c r="D121" s="171"/>
      <c r="E121" s="171"/>
    </row>
    <row r="122" spans="1:12" ht="16.5" thickBot="1">
      <c r="A122" s="91" t="s">
        <v>137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</row>
    <row r="123" spans="1:12" ht="15.75" thickBot="1">
      <c r="A123" s="177" t="s">
        <v>51</v>
      </c>
      <c r="B123" s="178">
        <v>2000</v>
      </c>
      <c r="C123" s="178">
        <v>2015</v>
      </c>
      <c r="D123" s="178">
        <v>2020</v>
      </c>
      <c r="E123" s="178">
        <v>2025</v>
      </c>
      <c r="F123" s="178">
        <v>2030</v>
      </c>
      <c r="G123" s="178">
        <v>2050</v>
      </c>
      <c r="H123" s="197" t="s">
        <v>98</v>
      </c>
      <c r="I123" s="198" t="s">
        <v>99</v>
      </c>
      <c r="J123" s="198" t="s">
        <v>100</v>
      </c>
      <c r="K123" s="198" t="s">
        <v>101</v>
      </c>
      <c r="L123" s="199" t="s">
        <v>102</v>
      </c>
    </row>
    <row r="124" spans="1:12">
      <c r="A124" s="181" t="s">
        <v>138</v>
      </c>
      <c r="B124" s="182">
        <v>30.921999999999997</v>
      </c>
      <c r="C124" s="182">
        <v>27.652058553119502</v>
      </c>
      <c r="D124" s="182">
        <v>26.463712783899322</v>
      </c>
      <c r="E124" s="182">
        <v>24.556586241057079</v>
      </c>
      <c r="F124" s="182">
        <v>22.500670721059336</v>
      </c>
      <c r="G124" s="182">
        <v>13.334897826045292</v>
      </c>
      <c r="H124" s="203">
        <v>-7.4234907039650855E-3</v>
      </c>
      <c r="I124" s="204">
        <v>-8.746665373995377E-3</v>
      </c>
      <c r="J124" s="204">
        <v>-1.4847545609201207E-2</v>
      </c>
      <c r="K124" s="204">
        <v>-1.7334985513456469E-2</v>
      </c>
      <c r="L124" s="205">
        <v>-2.5818873523801744E-2</v>
      </c>
    </row>
    <row r="125" spans="1:12">
      <c r="A125" s="181" t="s">
        <v>139</v>
      </c>
      <c r="B125" s="182">
        <v>4.4291695783465306</v>
      </c>
      <c r="C125" s="182">
        <v>4.474155657682056</v>
      </c>
      <c r="D125" s="182">
        <v>4.132790397665298</v>
      </c>
      <c r="E125" s="182">
        <v>3.6501223090048343</v>
      </c>
      <c r="F125" s="182">
        <v>3.2293203917086788</v>
      </c>
      <c r="G125" s="182">
        <v>3.0877315221168047</v>
      </c>
      <c r="H125" s="211">
        <v>6.7392976798696935E-4</v>
      </c>
      <c r="I125" s="212">
        <v>-1.5747655193639298E-2</v>
      </c>
      <c r="J125" s="212">
        <v>-2.4532493162332081E-2</v>
      </c>
      <c r="K125" s="212">
        <v>-2.4200157746800732E-2</v>
      </c>
      <c r="L125" s="213">
        <v>-2.239240351833538E-3</v>
      </c>
    </row>
    <row r="126" spans="1:12">
      <c r="A126" s="181" t="s">
        <v>140</v>
      </c>
      <c r="B126" s="182">
        <v>2.4602635678511495</v>
      </c>
      <c r="C126" s="182">
        <v>2.6872230863492259</v>
      </c>
      <c r="D126" s="182">
        <v>2.6854100599617503</v>
      </c>
      <c r="E126" s="182">
        <v>2.6644230002880747</v>
      </c>
      <c r="F126" s="182">
        <v>2.6318035872293759</v>
      </c>
      <c r="G126" s="182">
        <v>2.4418703020455128</v>
      </c>
      <c r="H126" s="211">
        <v>5.899994469378278E-3</v>
      </c>
      <c r="I126" s="212">
        <v>-1.349732281475946E-4</v>
      </c>
      <c r="J126" s="212">
        <v>-1.5679524467334671E-3</v>
      </c>
      <c r="K126" s="212">
        <v>-2.4605953999589092E-3</v>
      </c>
      <c r="L126" s="213">
        <v>-3.7382514184234328E-3</v>
      </c>
    </row>
    <row r="127" spans="1:12">
      <c r="A127" s="181" t="s">
        <v>141</v>
      </c>
      <c r="B127" s="182">
        <v>0.96691652368930292</v>
      </c>
      <c r="C127" s="182">
        <v>0.70148161066077652</v>
      </c>
      <c r="D127" s="182">
        <v>0.58710186313704127</v>
      </c>
      <c r="E127" s="182">
        <v>0.46186005347147885</v>
      </c>
      <c r="F127" s="182">
        <v>0.32666683780059202</v>
      </c>
      <c r="G127" s="182">
        <v>0.24563663908069516</v>
      </c>
      <c r="H127" s="211">
        <v>-2.1167259936537342E-2</v>
      </c>
      <c r="I127" s="212">
        <v>-3.4973068433000298E-2</v>
      </c>
      <c r="J127" s="212">
        <v>-4.6854090106972612E-2</v>
      </c>
      <c r="K127" s="212">
        <v>-6.6919895354197623E-2</v>
      </c>
      <c r="L127" s="213">
        <v>-1.4153259431963772E-2</v>
      </c>
    </row>
    <row r="128" spans="1:12">
      <c r="A128" s="181" t="s">
        <v>142</v>
      </c>
      <c r="B128" s="182">
        <v>3.9867830846792645</v>
      </c>
      <c r="C128" s="243">
        <v>5.4850534340918511</v>
      </c>
      <c r="D128" s="243">
        <v>5.2174739331531477</v>
      </c>
      <c r="E128" s="243">
        <v>4.9211498092683286</v>
      </c>
      <c r="F128" s="243">
        <v>4.6048355734494608</v>
      </c>
      <c r="G128" s="243">
        <v>4.2973325560961708</v>
      </c>
      <c r="H128" s="211">
        <v>2.1497285887240869E-2</v>
      </c>
      <c r="I128" s="212">
        <v>-9.9528337628007613E-3</v>
      </c>
      <c r="J128" s="212">
        <v>-1.1626120162068321E-2</v>
      </c>
      <c r="K128" s="212">
        <v>-1.3199165099354926E-2</v>
      </c>
      <c r="L128" s="213">
        <v>-3.4496596328031925E-3</v>
      </c>
    </row>
    <row r="129" spans="1:12">
      <c r="A129" s="181" t="s">
        <v>143</v>
      </c>
      <c r="B129" s="182">
        <v>1.15596178954212E-2</v>
      </c>
      <c r="C129" s="182">
        <v>4.9190187976775705E-2</v>
      </c>
      <c r="D129" s="182">
        <v>6.1862808032344341E-2</v>
      </c>
      <c r="E129" s="182">
        <v>9.4988711328484993E-2</v>
      </c>
      <c r="F129" s="182">
        <v>0.11866571953517088</v>
      </c>
      <c r="G129" s="182">
        <v>0.2567851757141662</v>
      </c>
      <c r="H129" s="211"/>
      <c r="I129" s="212"/>
      <c r="J129" s="212"/>
      <c r="K129" s="212"/>
      <c r="L129" s="213"/>
    </row>
    <row r="130" spans="1:12">
      <c r="A130" s="181"/>
      <c r="B130" s="182"/>
      <c r="C130" s="182"/>
      <c r="D130" s="182"/>
      <c r="E130" s="182"/>
      <c r="F130" s="182"/>
      <c r="G130" s="182"/>
      <c r="H130" s="211"/>
      <c r="I130" s="212"/>
      <c r="J130" s="212"/>
      <c r="K130" s="212"/>
      <c r="L130" s="213"/>
    </row>
    <row r="131" spans="1:12" ht="15.75" thickBot="1">
      <c r="A131" s="241" t="s">
        <v>10</v>
      </c>
      <c r="B131" s="242">
        <v>42.776692372461667</v>
      </c>
      <c r="C131" s="242">
        <v>41.049162529880185</v>
      </c>
      <c r="D131" s="242">
        <v>39.148351845848893</v>
      </c>
      <c r="E131" s="242">
        <v>36.349130124418281</v>
      </c>
      <c r="F131" s="242">
        <v>33.411962830782613</v>
      </c>
      <c r="G131" s="242">
        <v>23.664254021098639</v>
      </c>
      <c r="H131" s="217">
        <v>-2.7444237679368211E-3</v>
      </c>
      <c r="I131" s="218">
        <v>-9.437605874686672E-3</v>
      </c>
      <c r="J131" s="218">
        <v>-1.4728075072347302E-2</v>
      </c>
      <c r="K131" s="218">
        <v>-1.6710065541940655E-2</v>
      </c>
      <c r="L131" s="219">
        <v>-1.7099532918173233E-2</v>
      </c>
    </row>
    <row r="132" spans="1:12">
      <c r="A132" s="195"/>
      <c r="B132" s="171"/>
      <c r="C132" s="171"/>
      <c r="D132" s="171"/>
      <c r="E132" s="171"/>
    </row>
    <row r="133" spans="1:12">
      <c r="B133" s="171"/>
      <c r="C133" s="171"/>
      <c r="D133" s="171"/>
      <c r="E133" s="171"/>
    </row>
    <row r="134" spans="1:12" ht="16.5" thickBot="1">
      <c r="A134" s="91" t="s">
        <v>144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</row>
    <row r="135" spans="1:12" ht="15.75" thickBot="1">
      <c r="A135" s="177" t="s">
        <v>51</v>
      </c>
      <c r="B135" s="178">
        <v>2000</v>
      </c>
      <c r="C135" s="178">
        <v>2015</v>
      </c>
      <c r="D135" s="178">
        <v>2020</v>
      </c>
      <c r="E135" s="178">
        <v>2025</v>
      </c>
      <c r="F135" s="178">
        <v>2030</v>
      </c>
      <c r="G135" s="178">
        <v>2050</v>
      </c>
      <c r="H135" s="197" t="s">
        <v>98</v>
      </c>
      <c r="I135" s="198" t="s">
        <v>99</v>
      </c>
      <c r="J135" s="198" t="s">
        <v>100</v>
      </c>
      <c r="K135" s="198" t="s">
        <v>101</v>
      </c>
      <c r="L135" s="199" t="s">
        <v>102</v>
      </c>
    </row>
    <row r="136" spans="1:12">
      <c r="A136" s="181" t="s">
        <v>103</v>
      </c>
      <c r="B136" s="182">
        <v>9.0758812906337827</v>
      </c>
      <c r="C136" s="182">
        <v>6.7005679295957643</v>
      </c>
      <c r="D136" s="182">
        <v>5.6882318129329184</v>
      </c>
      <c r="E136" s="182">
        <v>3.9542821665322192</v>
      </c>
      <c r="F136" s="182">
        <v>1.7531094981983244</v>
      </c>
      <c r="G136" s="182">
        <v>0.16876038587276018</v>
      </c>
      <c r="H136" s="203">
        <v>-2.0025322165468706E-2</v>
      </c>
      <c r="I136" s="204">
        <v>-3.2227817829655558E-2</v>
      </c>
      <c r="J136" s="204">
        <v>-7.0138912602095926E-2</v>
      </c>
      <c r="K136" s="204">
        <v>-0.15013826160384491</v>
      </c>
      <c r="L136" s="205">
        <v>-0.11044445054685692</v>
      </c>
    </row>
    <row r="137" spans="1:12">
      <c r="A137" s="181" t="s">
        <v>54</v>
      </c>
      <c r="B137" s="182">
        <v>15.00569239050041</v>
      </c>
      <c r="C137" s="182">
        <v>14.533749468475101</v>
      </c>
      <c r="D137" s="182">
        <v>13.619199382355207</v>
      </c>
      <c r="E137" s="182">
        <v>11.929887054209381</v>
      </c>
      <c r="F137" s="182">
        <v>10.440933334102589</v>
      </c>
      <c r="G137" s="182">
        <v>3.2906931433531605</v>
      </c>
      <c r="H137" s="211">
        <v>-2.1281407827751231E-3</v>
      </c>
      <c r="I137" s="212">
        <v>-1.2914478704932786E-2</v>
      </c>
      <c r="J137" s="212">
        <v>-2.6139052164786847E-2</v>
      </c>
      <c r="K137" s="212">
        <v>-2.6310250168805283E-2</v>
      </c>
      <c r="L137" s="213">
        <v>-5.6096920086786795E-2</v>
      </c>
    </row>
    <row r="138" spans="1:12">
      <c r="A138" s="181" t="s">
        <v>42</v>
      </c>
      <c r="B138" s="182">
        <v>5.9999999999999984E-2</v>
      </c>
      <c r="C138" s="182">
        <v>0</v>
      </c>
      <c r="D138" s="182">
        <v>0</v>
      </c>
      <c r="E138" s="182">
        <v>0</v>
      </c>
      <c r="F138" s="182">
        <v>0</v>
      </c>
      <c r="G138" s="182">
        <v>0</v>
      </c>
      <c r="H138" s="211">
        <v>-1</v>
      </c>
      <c r="I138" s="212" t="e">
        <v>#DIV/0!</v>
      </c>
      <c r="J138" s="212" t="e">
        <v>#DIV/0!</v>
      </c>
      <c r="K138" s="212" t="e">
        <v>#DIV/0!</v>
      </c>
      <c r="L138" s="213" t="e">
        <v>#DIV/0!</v>
      </c>
    </row>
    <row r="139" spans="1:12">
      <c r="A139" s="181" t="s">
        <v>104</v>
      </c>
      <c r="B139" s="182">
        <v>5.6012005714152586</v>
      </c>
      <c r="C139" s="182">
        <v>7.6377458878983564</v>
      </c>
      <c r="D139" s="182">
        <v>7.3851569550258551</v>
      </c>
      <c r="E139" s="182">
        <v>7.3011371126872149</v>
      </c>
      <c r="F139" s="182">
        <v>7.0563272428827135</v>
      </c>
      <c r="G139" s="182">
        <v>6.5333467265200591</v>
      </c>
      <c r="H139" s="211">
        <v>2.0889974020766644E-2</v>
      </c>
      <c r="I139" s="212">
        <v>-6.7035005843146811E-3</v>
      </c>
      <c r="J139" s="212">
        <v>-2.2857963979989737E-3</v>
      </c>
      <c r="K139" s="212">
        <v>-6.797871084570084E-3</v>
      </c>
      <c r="L139" s="213">
        <v>-3.8428656227995628E-3</v>
      </c>
    </row>
    <row r="140" spans="1:12">
      <c r="A140" s="181" t="s">
        <v>105</v>
      </c>
      <c r="B140" s="182">
        <v>1.7520381736811979</v>
      </c>
      <c r="C140" s="182">
        <v>1.3253610960698863</v>
      </c>
      <c r="D140" s="182">
        <v>1.3977555056216797</v>
      </c>
      <c r="E140" s="182">
        <v>1.8553686069309605</v>
      </c>
      <c r="F140" s="182">
        <v>2.2479759646467494</v>
      </c>
      <c r="G140" s="182">
        <v>2.1939463906381054</v>
      </c>
      <c r="H140" s="211">
        <v>-1.8434293198953178E-2</v>
      </c>
      <c r="I140" s="212">
        <v>1.069332772347642E-2</v>
      </c>
      <c r="J140" s="212">
        <v>5.8278074544066305E-2</v>
      </c>
      <c r="K140" s="212">
        <v>3.9135763206619822E-2</v>
      </c>
      <c r="L140" s="213">
        <v>-1.2156761197724686E-3</v>
      </c>
    </row>
    <row r="141" spans="1:12">
      <c r="A141" s="181" t="s">
        <v>134</v>
      </c>
      <c r="B141" s="182">
        <v>6.296013916158028</v>
      </c>
      <c r="C141" s="182">
        <v>4.2229889211334193</v>
      </c>
      <c r="D141" s="182">
        <v>4.5293827527073827</v>
      </c>
      <c r="E141" s="182">
        <v>4.7336965870786818</v>
      </c>
      <c r="F141" s="182">
        <v>5.2384202374876301</v>
      </c>
      <c r="G141" s="182">
        <v>2.9485640726408189</v>
      </c>
      <c r="H141" s="211">
        <v>-2.6273586664713022E-2</v>
      </c>
      <c r="I141" s="212">
        <v>1.4107082876768207E-2</v>
      </c>
      <c r="J141" s="212">
        <v>8.8631964133378816E-3</v>
      </c>
      <c r="K141" s="212">
        <v>2.0469393296532301E-2</v>
      </c>
      <c r="L141" s="213">
        <v>-2.8326157420179299E-2</v>
      </c>
    </row>
    <row r="142" spans="1:12">
      <c r="A142" s="181" t="s">
        <v>135</v>
      </c>
      <c r="B142" s="182">
        <v>2.0606803808999999E-2</v>
      </c>
      <c r="C142" s="182">
        <v>9.0729061511679504E-2</v>
      </c>
      <c r="D142" s="182">
        <v>0.13263095721105231</v>
      </c>
      <c r="E142" s="182">
        <v>0.17301132305501996</v>
      </c>
      <c r="F142" s="182">
        <v>0.21011104449581849</v>
      </c>
      <c r="G142" s="182">
        <v>0.36846530198985222</v>
      </c>
      <c r="H142" s="211"/>
      <c r="I142" s="212"/>
      <c r="J142" s="212"/>
      <c r="K142" s="212"/>
      <c r="L142" s="213"/>
    </row>
    <row r="143" spans="1:12">
      <c r="A143" s="181" t="s">
        <v>136</v>
      </c>
      <c r="B143" s="182">
        <v>0</v>
      </c>
      <c r="C143" s="182">
        <v>0.30229493246657396</v>
      </c>
      <c r="D143" s="182">
        <v>0.5295558756722677</v>
      </c>
      <c r="E143" s="182">
        <v>0.92374869985651298</v>
      </c>
      <c r="F143" s="182">
        <v>1.4149173781835669</v>
      </c>
      <c r="G143" s="182">
        <v>3.3607236291928517</v>
      </c>
      <c r="H143" s="211"/>
      <c r="I143" s="212"/>
      <c r="J143" s="212"/>
      <c r="K143" s="212"/>
      <c r="L143" s="213"/>
    </row>
    <row r="144" spans="1:12">
      <c r="A144" s="181"/>
      <c r="B144" s="182"/>
      <c r="C144" s="182"/>
      <c r="D144" s="182"/>
      <c r="E144" s="182"/>
      <c r="F144" s="182"/>
      <c r="G144" s="244"/>
      <c r="H144" s="211"/>
      <c r="I144" s="212"/>
      <c r="J144" s="212"/>
      <c r="K144" s="212"/>
      <c r="L144" s="213"/>
    </row>
    <row r="145" spans="1:18" ht="15.75" thickBot="1">
      <c r="A145" s="241" t="s">
        <v>10</v>
      </c>
      <c r="B145" s="242">
        <v>37.811433146197679</v>
      </c>
      <c r="C145" s="242">
        <v>34.813437297150777</v>
      </c>
      <c r="D145" s="242">
        <v>33.281913241526361</v>
      </c>
      <c r="E145" s="242">
        <v>30.871131550349993</v>
      </c>
      <c r="F145" s="242">
        <v>28.36179469999739</v>
      </c>
      <c r="G145" s="242">
        <v>18.864499650207609</v>
      </c>
      <c r="H145" s="217">
        <v>-5.4920684513537488E-3</v>
      </c>
      <c r="I145" s="218">
        <v>-8.9575079206613006E-3</v>
      </c>
      <c r="J145" s="218">
        <v>-1.492600821646517E-2</v>
      </c>
      <c r="K145" s="218">
        <v>-1.6812763244704709E-2</v>
      </c>
      <c r="L145" s="219">
        <v>-2.0181626445999301E-2</v>
      </c>
    </row>
    <row r="146" spans="1:18">
      <c r="B146" s="245"/>
      <c r="C146" s="245"/>
      <c r="D146" s="245"/>
      <c r="E146" s="245"/>
      <c r="F146" s="245"/>
      <c r="G146" s="245"/>
    </row>
    <row r="147" spans="1:18">
      <c r="B147" s="171"/>
      <c r="C147" s="171"/>
      <c r="D147" s="171"/>
      <c r="E147" s="171"/>
    </row>
    <row r="148" spans="1:18" ht="16.5" thickBot="1">
      <c r="A148" s="91" t="s">
        <v>145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</row>
    <row r="149" spans="1:18" ht="15.75" thickBot="1">
      <c r="A149" s="177" t="s">
        <v>51</v>
      </c>
      <c r="B149" s="178">
        <v>2000</v>
      </c>
      <c r="C149" s="178">
        <v>2015</v>
      </c>
      <c r="D149" s="178">
        <v>2020</v>
      </c>
      <c r="E149" s="178">
        <v>2025</v>
      </c>
      <c r="F149" s="178">
        <v>2030</v>
      </c>
      <c r="G149" s="178">
        <v>2050</v>
      </c>
      <c r="H149" s="197" t="s">
        <v>98</v>
      </c>
      <c r="I149" s="198" t="s">
        <v>99</v>
      </c>
      <c r="J149" s="198" t="s">
        <v>100</v>
      </c>
      <c r="K149" s="198" t="s">
        <v>101</v>
      </c>
      <c r="L149" s="199" t="s">
        <v>102</v>
      </c>
    </row>
    <row r="150" spans="1:18">
      <c r="A150" s="181" t="s">
        <v>103</v>
      </c>
      <c r="B150" s="209">
        <v>7.419999999999999</v>
      </c>
      <c r="C150" s="209">
        <v>5.7876357211790967</v>
      </c>
      <c r="D150" s="209">
        <v>4.9386358248142646</v>
      </c>
      <c r="E150" s="209">
        <v>3.5407914375654852</v>
      </c>
      <c r="F150" s="209">
        <v>1.4747347028987237</v>
      </c>
      <c r="G150" s="209">
        <v>2.6442678991241385E-2</v>
      </c>
      <c r="H150" s="203">
        <v>-1.6427255683063358E-2</v>
      </c>
      <c r="I150" s="204">
        <v>-3.1228926371364762E-2</v>
      </c>
      <c r="J150" s="204">
        <v>-6.4381783838255324E-2</v>
      </c>
      <c r="K150" s="204">
        <v>-0.1606893947818594</v>
      </c>
      <c r="L150" s="205">
        <v>-0.18213885227406568</v>
      </c>
      <c r="N150" s="186"/>
      <c r="O150" s="186"/>
      <c r="P150" s="186"/>
      <c r="Q150" s="186"/>
      <c r="R150" s="186"/>
    </row>
    <row r="151" spans="1:18">
      <c r="A151" s="181" t="s">
        <v>54</v>
      </c>
      <c r="B151" s="209">
        <v>12.597999999999999</v>
      </c>
      <c r="C151" s="209">
        <v>11.954424622008668</v>
      </c>
      <c r="D151" s="209">
        <v>11.322255566952276</v>
      </c>
      <c r="E151" s="209">
        <v>10.080728597668493</v>
      </c>
      <c r="F151" s="209">
        <v>8.8503380795888198</v>
      </c>
      <c r="G151" s="209">
        <v>2.6025353532341691</v>
      </c>
      <c r="H151" s="211">
        <v>-3.4896702378731659E-3</v>
      </c>
      <c r="I151" s="212">
        <v>-1.0807408382239592E-2</v>
      </c>
      <c r="J151" s="212">
        <v>-2.2961238068195833E-2</v>
      </c>
      <c r="K151" s="212">
        <v>-2.5698014261145707E-2</v>
      </c>
      <c r="L151" s="213">
        <v>-5.9363474109113468E-2</v>
      </c>
      <c r="N151" s="186"/>
      <c r="O151" s="186"/>
      <c r="P151" s="186"/>
      <c r="Q151" s="186"/>
      <c r="R151" s="186"/>
    </row>
    <row r="152" spans="1:18">
      <c r="A152" s="181" t="s">
        <v>42</v>
      </c>
      <c r="B152" s="209">
        <v>5.9999999999999984E-2</v>
      </c>
      <c r="C152" s="209">
        <v>0</v>
      </c>
      <c r="D152" s="209">
        <v>0</v>
      </c>
      <c r="E152" s="209">
        <v>0</v>
      </c>
      <c r="F152" s="209">
        <v>0</v>
      </c>
      <c r="G152" s="209">
        <v>0</v>
      </c>
      <c r="H152" s="211">
        <v>-1</v>
      </c>
      <c r="I152" s="212" t="e">
        <v>#DIV/0!</v>
      </c>
      <c r="J152" s="212" t="e">
        <v>#DIV/0!</v>
      </c>
      <c r="K152" s="212" t="e">
        <v>#DIV/0!</v>
      </c>
      <c r="L152" s="213" t="e">
        <v>#DIV/0!</v>
      </c>
      <c r="N152" s="186"/>
      <c r="O152" s="186"/>
      <c r="P152" s="186"/>
      <c r="Q152" s="186"/>
      <c r="R152" s="186"/>
    </row>
    <row r="153" spans="1:18">
      <c r="A153" s="181" t="s">
        <v>104</v>
      </c>
      <c r="B153" s="209">
        <v>3.2039999999999997</v>
      </c>
      <c r="C153" s="209">
        <v>4.3502077266991952</v>
      </c>
      <c r="D153" s="209">
        <v>4.1016245004249665</v>
      </c>
      <c r="E153" s="209">
        <v>3.9589970480417827</v>
      </c>
      <c r="F153" s="209">
        <v>4.0420967368038268</v>
      </c>
      <c r="G153" s="209">
        <v>3.7768270518388043</v>
      </c>
      <c r="H153" s="211">
        <v>2.0597497716569713E-2</v>
      </c>
      <c r="I153" s="212">
        <v>-1.169912325353617E-2</v>
      </c>
      <c r="J153" s="212">
        <v>-7.0534850499125445E-3</v>
      </c>
      <c r="K153" s="212">
        <v>4.1632079944096123E-3</v>
      </c>
      <c r="L153" s="213">
        <v>-3.3882119483982232E-3</v>
      </c>
      <c r="N153" s="186"/>
      <c r="O153" s="186"/>
      <c r="P153" s="186"/>
      <c r="Q153" s="186"/>
      <c r="R153" s="186"/>
    </row>
    <row r="154" spans="1:18">
      <c r="A154" s="181" t="s">
        <v>105</v>
      </c>
      <c r="B154" s="209">
        <v>1.4529999999999996</v>
      </c>
      <c r="C154" s="209">
        <v>1.1543207401377242</v>
      </c>
      <c r="D154" s="209">
        <v>1.2190849956959604</v>
      </c>
      <c r="E154" s="209">
        <v>1.6238391294739762</v>
      </c>
      <c r="F154" s="209">
        <v>1.9720785727840835</v>
      </c>
      <c r="G154" s="209">
        <v>1.8616546833395884</v>
      </c>
      <c r="H154" s="211">
        <v>-1.5224144092485292E-2</v>
      </c>
      <c r="I154" s="212">
        <v>1.0977516911398588E-2</v>
      </c>
      <c r="J154" s="212">
        <v>5.9014248243384193E-2</v>
      </c>
      <c r="K154" s="212">
        <v>3.9623869915116794E-2</v>
      </c>
      <c r="L154" s="213">
        <v>-2.8769731902446027E-3</v>
      </c>
      <c r="N154" s="186"/>
      <c r="O154" s="186"/>
      <c r="P154" s="186"/>
      <c r="Q154" s="186"/>
      <c r="R154" s="186"/>
    </row>
    <row r="155" spans="1:18">
      <c r="A155" s="181" t="s">
        <v>134</v>
      </c>
      <c r="B155" s="209">
        <v>6.1869999999999994</v>
      </c>
      <c r="C155" s="209">
        <v>4.1903001241514977</v>
      </c>
      <c r="D155" s="209">
        <v>4.4876981542791929</v>
      </c>
      <c r="E155" s="209">
        <v>4.6947678404359259</v>
      </c>
      <c r="F155" s="209">
        <v>5.1647007675103076</v>
      </c>
      <c r="G155" s="209">
        <v>2.7894652745050434</v>
      </c>
      <c r="H155" s="211">
        <v>-2.5643991614806461E-2</v>
      </c>
      <c r="I155" s="212">
        <v>1.3807971430595201E-2</v>
      </c>
      <c r="J155" s="212">
        <v>9.0625693320669498E-3</v>
      </c>
      <c r="K155" s="212">
        <v>1.9262881255199593E-2</v>
      </c>
      <c r="L155" s="213">
        <v>-3.0330378926955448E-2</v>
      </c>
      <c r="N155" s="186"/>
      <c r="O155" s="186"/>
      <c r="P155" s="186"/>
      <c r="Q155" s="186"/>
      <c r="R155" s="186"/>
    </row>
    <row r="156" spans="1:18">
      <c r="A156" s="181" t="s">
        <v>136</v>
      </c>
      <c r="B156" s="209">
        <v>0</v>
      </c>
      <c r="C156" s="209">
        <v>0.21516961894331638</v>
      </c>
      <c r="D156" s="209">
        <v>0.39441374173265564</v>
      </c>
      <c r="E156" s="209">
        <v>0.65746218787141797</v>
      </c>
      <c r="F156" s="209">
        <v>0.99672186147357433</v>
      </c>
      <c r="G156" s="209">
        <v>2.2779727841364443</v>
      </c>
      <c r="H156" s="211"/>
      <c r="I156" s="212"/>
      <c r="J156" s="212"/>
      <c r="K156" s="212"/>
      <c r="L156" s="213"/>
      <c r="N156" s="186"/>
      <c r="O156" s="186"/>
      <c r="P156" s="186"/>
      <c r="Q156" s="186"/>
      <c r="R156" s="186"/>
    </row>
    <row r="157" spans="1:18">
      <c r="A157" s="181"/>
      <c r="B157" s="182"/>
      <c r="C157" s="182"/>
      <c r="D157" s="182"/>
      <c r="E157" s="182"/>
      <c r="F157" s="182"/>
      <c r="G157" s="244"/>
      <c r="H157" s="211"/>
      <c r="I157" s="212"/>
      <c r="J157" s="212"/>
      <c r="K157" s="212"/>
      <c r="L157" s="213"/>
      <c r="N157" s="186"/>
      <c r="O157" s="186"/>
      <c r="P157" s="186"/>
      <c r="Q157" s="186"/>
      <c r="R157" s="186"/>
    </row>
    <row r="158" spans="1:18" ht="15.75" thickBot="1">
      <c r="A158" s="241" t="s">
        <v>10</v>
      </c>
      <c r="B158" s="242">
        <v>30.921999999999997</v>
      </c>
      <c r="C158" s="242">
        <v>27.652058553119502</v>
      </c>
      <c r="D158" s="242">
        <v>26.463712783899322</v>
      </c>
      <c r="E158" s="242">
        <v>24.556586241057079</v>
      </c>
      <c r="F158" s="242">
        <v>22.500670721059336</v>
      </c>
      <c r="G158" s="242">
        <v>13.334897826045292</v>
      </c>
      <c r="H158" s="217">
        <v>-7.4234907039650855E-3</v>
      </c>
      <c r="I158" s="218">
        <v>-8.746665373995377E-3</v>
      </c>
      <c r="J158" s="218">
        <v>-1.4847545609201207E-2</v>
      </c>
      <c r="K158" s="218">
        <v>-1.7334985513456469E-2</v>
      </c>
      <c r="L158" s="219">
        <v>-2.5818873523801744E-2</v>
      </c>
      <c r="N158" s="186"/>
      <c r="O158" s="186"/>
      <c r="P158" s="186"/>
      <c r="Q158" s="186"/>
      <c r="R158" s="186"/>
    </row>
    <row r="159" spans="1:18">
      <c r="A159" s="195"/>
      <c r="B159" s="171"/>
      <c r="D159" s="171"/>
      <c r="E159" s="171"/>
    </row>
    <row r="160" spans="1:18">
      <c r="A160" s="195"/>
      <c r="B160" s="171"/>
      <c r="C160" s="171"/>
      <c r="D160" s="171"/>
      <c r="E160" s="171"/>
    </row>
    <row r="161" spans="1:17" ht="16.5" thickBot="1">
      <c r="A161" s="91" t="s">
        <v>146</v>
      </c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</row>
    <row r="162" spans="1:17" ht="15.75" thickBot="1">
      <c r="A162" s="246" t="s">
        <v>51</v>
      </c>
      <c r="B162" s="178">
        <v>2000</v>
      </c>
      <c r="C162" s="178">
        <v>2015</v>
      </c>
      <c r="D162" s="178">
        <v>2020</v>
      </c>
      <c r="E162" s="178">
        <v>2025</v>
      </c>
      <c r="F162" s="178">
        <v>2030</v>
      </c>
      <c r="G162" s="178">
        <v>2050</v>
      </c>
      <c r="H162" s="197" t="s">
        <v>98</v>
      </c>
      <c r="I162" s="198" t="s">
        <v>99</v>
      </c>
      <c r="J162" s="198" t="s">
        <v>100</v>
      </c>
      <c r="K162" s="198" t="s">
        <v>101</v>
      </c>
      <c r="L162" s="199" t="s">
        <v>102</v>
      </c>
    </row>
    <row r="163" spans="1:17">
      <c r="A163" s="181" t="s">
        <v>103</v>
      </c>
      <c r="B163" s="209">
        <v>0.97712473473756067</v>
      </c>
      <c r="C163" s="209">
        <v>0.29505465964712024</v>
      </c>
      <c r="D163" s="209">
        <v>0.18261131687176801</v>
      </c>
      <c r="E163" s="209">
        <v>0</v>
      </c>
      <c r="F163" s="209">
        <v>0</v>
      </c>
      <c r="G163" s="209">
        <v>0</v>
      </c>
      <c r="H163" s="203">
        <v>-7.6726937555410157E-2</v>
      </c>
      <c r="I163" s="204">
        <v>-9.149976885014921E-2</v>
      </c>
      <c r="J163" s="204">
        <v>-1</v>
      </c>
      <c r="K163" s="204" t="e">
        <v>#DIV/0!</v>
      </c>
      <c r="L163" s="205" t="e">
        <v>#DIV/0!</v>
      </c>
      <c r="N163" s="186"/>
      <c r="O163" s="186"/>
      <c r="P163" s="186"/>
      <c r="Q163" s="186"/>
    </row>
    <row r="164" spans="1:17">
      <c r="A164" s="181" t="s">
        <v>54</v>
      </c>
      <c r="B164" s="209">
        <v>1.4521853785454846</v>
      </c>
      <c r="C164" s="209">
        <v>1.6321630113212189</v>
      </c>
      <c r="D164" s="209">
        <v>1.4587038877681464</v>
      </c>
      <c r="E164" s="209">
        <v>1.2067079135860175</v>
      </c>
      <c r="F164" s="209">
        <v>1.0316600449254005</v>
      </c>
      <c r="G164" s="209">
        <v>0.3061471032264938</v>
      </c>
      <c r="H164" s="211">
        <v>7.8195177509521319E-3</v>
      </c>
      <c r="I164" s="212">
        <v>-2.2220963498156499E-2</v>
      </c>
      <c r="J164" s="212">
        <v>-3.7220124014459954E-2</v>
      </c>
      <c r="K164" s="212">
        <v>-3.0859171722235068E-2</v>
      </c>
      <c r="L164" s="213">
        <v>-5.8934879326727141E-2</v>
      </c>
      <c r="N164" s="186"/>
      <c r="O164" s="186"/>
      <c r="P164" s="186"/>
      <c r="Q164" s="186"/>
    </row>
    <row r="165" spans="1:17">
      <c r="A165" s="181" t="s">
        <v>42</v>
      </c>
      <c r="B165" s="209">
        <v>0</v>
      </c>
      <c r="C165" s="209">
        <v>0</v>
      </c>
      <c r="D165" s="209">
        <v>0</v>
      </c>
      <c r="E165" s="209">
        <v>0</v>
      </c>
      <c r="F165" s="209">
        <v>0</v>
      </c>
      <c r="G165" s="209">
        <v>0</v>
      </c>
      <c r="H165" s="211" t="e">
        <v>#DIV/0!</v>
      </c>
      <c r="I165" s="212" t="e">
        <v>#DIV/0!</v>
      </c>
      <c r="J165" s="212" t="e">
        <v>#DIV/0!</v>
      </c>
      <c r="K165" s="212" t="e">
        <v>#DIV/0!</v>
      </c>
      <c r="L165" s="213" t="e">
        <v>#DIV/0!</v>
      </c>
      <c r="N165" s="186"/>
      <c r="O165" s="186"/>
      <c r="P165" s="186"/>
      <c r="Q165" s="186"/>
    </row>
    <row r="166" spans="1:17">
      <c r="A166" s="181" t="s">
        <v>104</v>
      </c>
      <c r="B166" s="209">
        <v>1.571200571415259</v>
      </c>
      <c r="C166" s="209">
        <v>2.1653544587646958</v>
      </c>
      <c r="D166" s="209">
        <v>2.0033469935208101</v>
      </c>
      <c r="E166" s="209">
        <v>1.7336583362789615</v>
      </c>
      <c r="F166" s="209">
        <v>1.2197369237374784</v>
      </c>
      <c r="G166" s="209">
        <v>0.83897776640975896</v>
      </c>
      <c r="H166" s="211">
        <v>2.1613189758759255E-2</v>
      </c>
      <c r="I166" s="212">
        <v>-1.5432635694312302E-2</v>
      </c>
      <c r="J166" s="212">
        <v>-2.8502993520950093E-2</v>
      </c>
      <c r="K166" s="212">
        <v>-6.7904241465863602E-2</v>
      </c>
      <c r="L166" s="213">
        <v>-1.853636227569555E-2</v>
      </c>
      <c r="N166" s="186"/>
      <c r="O166" s="186"/>
      <c r="P166" s="186"/>
      <c r="Q166" s="186"/>
    </row>
    <row r="167" spans="1:17">
      <c r="A167" s="181" t="s">
        <v>105</v>
      </c>
      <c r="B167" s="209">
        <v>0.29903817368119823</v>
      </c>
      <c r="C167" s="209">
        <v>0.17104035593216207</v>
      </c>
      <c r="D167" s="209">
        <v>0.17867050992571934</v>
      </c>
      <c r="E167" s="209">
        <v>0.23152947745698416</v>
      </c>
      <c r="F167" s="209">
        <v>0.27589739186266604</v>
      </c>
      <c r="G167" s="209">
        <v>0.33229170729851704</v>
      </c>
      <c r="H167" s="211">
        <v>-3.6559724951000128E-2</v>
      </c>
      <c r="I167" s="212">
        <v>8.7669777437231478E-3</v>
      </c>
      <c r="J167" s="212">
        <v>5.3199593822560898E-2</v>
      </c>
      <c r="K167" s="212">
        <v>3.5686369670621776E-2</v>
      </c>
      <c r="L167" s="213">
        <v>9.342581567002517E-3</v>
      </c>
      <c r="N167" s="186"/>
      <c r="O167" s="186"/>
      <c r="P167" s="186"/>
      <c r="Q167" s="186"/>
    </row>
    <row r="168" spans="1:17">
      <c r="A168" s="181" t="s">
        <v>134</v>
      </c>
      <c r="B168" s="209">
        <v>0.10901391615802879</v>
      </c>
      <c r="C168" s="209">
        <v>3.2688796981922001E-2</v>
      </c>
      <c r="D168" s="209">
        <v>4.1684598428189529E-2</v>
      </c>
      <c r="E168" s="209">
        <v>3.892874664275605E-2</v>
      </c>
      <c r="F168" s="209">
        <v>7.371946997732283E-2</v>
      </c>
      <c r="G168" s="209">
        <v>0.15909879813577535</v>
      </c>
      <c r="H168" s="211"/>
      <c r="I168" s="212"/>
      <c r="J168" s="212"/>
      <c r="K168" s="212"/>
      <c r="L168" s="213"/>
      <c r="N168" s="186"/>
      <c r="O168" s="186"/>
      <c r="P168" s="186"/>
      <c r="Q168" s="186"/>
    </row>
    <row r="169" spans="1:17">
      <c r="A169" s="181" t="s">
        <v>135</v>
      </c>
      <c r="B169" s="209">
        <v>2.0606803808999999E-2</v>
      </c>
      <c r="C169" s="209">
        <v>9.0729061511679504E-2</v>
      </c>
      <c r="D169" s="209">
        <v>0.13263095721105231</v>
      </c>
      <c r="E169" s="209">
        <v>0.17301132305501996</v>
      </c>
      <c r="F169" s="209">
        <v>0.21011104449581849</v>
      </c>
      <c r="G169" s="209">
        <v>0.36846530198985222</v>
      </c>
      <c r="H169" s="211">
        <v>0.10386437812593452</v>
      </c>
      <c r="I169" s="212">
        <v>7.8896283493349095E-2</v>
      </c>
      <c r="J169" s="212">
        <v>5.4595526256296045E-2</v>
      </c>
      <c r="K169" s="212">
        <v>3.9620586738793317E-2</v>
      </c>
      <c r="L169" s="213">
        <v>2.8483635181664413E-2</v>
      </c>
      <c r="N169" s="186"/>
      <c r="O169" s="186"/>
      <c r="P169" s="186"/>
      <c r="Q169" s="186"/>
    </row>
    <row r="170" spans="1:17">
      <c r="A170" s="181" t="s">
        <v>136</v>
      </c>
      <c r="B170" s="209">
        <v>0</v>
      </c>
      <c r="C170" s="209">
        <v>8.71253135232576E-2</v>
      </c>
      <c r="D170" s="209">
        <v>0.13514213393961208</v>
      </c>
      <c r="E170" s="209">
        <v>0.26628651198509506</v>
      </c>
      <c r="F170" s="209">
        <v>0.41819551670999261</v>
      </c>
      <c r="G170" s="209">
        <v>1.0827508450564076</v>
      </c>
      <c r="H170" s="211"/>
      <c r="I170" s="212"/>
      <c r="J170" s="212"/>
      <c r="K170" s="212"/>
      <c r="L170" s="213"/>
      <c r="N170" s="186"/>
      <c r="O170" s="186"/>
      <c r="P170" s="186"/>
      <c r="Q170" s="186"/>
    </row>
    <row r="171" spans="1:17">
      <c r="A171" s="181"/>
      <c r="B171" s="182"/>
      <c r="C171" s="182"/>
      <c r="D171" s="182"/>
      <c r="E171" s="182"/>
      <c r="F171" s="182"/>
      <c r="G171" s="182"/>
      <c r="H171" s="211"/>
      <c r="I171" s="212"/>
      <c r="J171" s="212"/>
      <c r="K171" s="212"/>
      <c r="L171" s="213"/>
      <c r="N171" s="186"/>
      <c r="O171" s="186"/>
      <c r="P171" s="186"/>
      <c r="Q171" s="186"/>
    </row>
    <row r="172" spans="1:17" ht="15.75" thickBot="1">
      <c r="A172" s="241" t="s">
        <v>10</v>
      </c>
      <c r="B172" s="242">
        <v>4.4291695783465306</v>
      </c>
      <c r="C172" s="247">
        <v>4.474155657682056</v>
      </c>
      <c r="D172" s="247">
        <v>4.132790397665298</v>
      </c>
      <c r="E172" s="247">
        <v>3.6501223090048343</v>
      </c>
      <c r="F172" s="247">
        <v>3.2293203917086788</v>
      </c>
      <c r="G172" s="247">
        <v>3.0877315221168047</v>
      </c>
      <c r="H172" s="217">
        <v>6.7392976798696935E-4</v>
      </c>
      <c r="I172" s="218">
        <v>-1.5747655193639298E-2</v>
      </c>
      <c r="J172" s="218">
        <v>-2.4532493162332081E-2</v>
      </c>
      <c r="K172" s="218">
        <v>-2.4200157746800732E-2</v>
      </c>
      <c r="L172" s="219">
        <v>-2.239240351833538E-3</v>
      </c>
      <c r="N172" s="186"/>
      <c r="O172" s="186"/>
      <c r="P172" s="186"/>
      <c r="Q172" s="186"/>
    </row>
    <row r="173" spans="1:17">
      <c r="A173" s="195"/>
      <c r="B173" s="171"/>
      <c r="C173" s="171"/>
      <c r="D173" s="171"/>
      <c r="E173" s="171"/>
    </row>
    <row r="174" spans="1:17">
      <c r="B174" s="171"/>
      <c r="C174" s="171"/>
      <c r="D174" s="171"/>
      <c r="E174" s="171"/>
    </row>
    <row r="175" spans="1:17" ht="16.5" thickBot="1">
      <c r="A175" s="91" t="s">
        <v>147</v>
      </c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</row>
    <row r="176" spans="1:17" ht="15.75" thickBot="1">
      <c r="A176" s="177" t="s">
        <v>51</v>
      </c>
      <c r="B176" s="178">
        <v>2000</v>
      </c>
      <c r="C176" s="178">
        <v>2015</v>
      </c>
      <c r="D176" s="178">
        <v>2020</v>
      </c>
      <c r="E176" s="178">
        <v>2025</v>
      </c>
      <c r="F176" s="178">
        <v>2030</v>
      </c>
      <c r="G176" s="178">
        <v>2050</v>
      </c>
      <c r="H176" s="197" t="s">
        <v>98</v>
      </c>
      <c r="I176" s="198" t="s">
        <v>99</v>
      </c>
      <c r="J176" s="198" t="s">
        <v>100</v>
      </c>
      <c r="K176" s="198" t="s">
        <v>101</v>
      </c>
      <c r="L176" s="199" t="s">
        <v>102</v>
      </c>
    </row>
    <row r="177" spans="1:21">
      <c r="A177" s="181" t="s">
        <v>103</v>
      </c>
      <c r="B177" s="209">
        <v>0.67875655589622275</v>
      </c>
      <c r="C177" s="209">
        <v>0.61787754876954737</v>
      </c>
      <c r="D177" s="209">
        <v>0.56698467124688645</v>
      </c>
      <c r="E177" s="209">
        <v>0.41349072896673383</v>
      </c>
      <c r="F177" s="209">
        <v>0.2783747952996008</v>
      </c>
      <c r="G177" s="209">
        <v>0.14231770688151879</v>
      </c>
      <c r="H177" s="203">
        <v>-6.2452325127548836E-3</v>
      </c>
      <c r="I177" s="204">
        <v>-1.7044673184611447E-2</v>
      </c>
      <c r="J177" s="204">
        <v>-6.1187438802784877E-2</v>
      </c>
      <c r="K177" s="204">
        <v>-7.608327939658166E-2</v>
      </c>
      <c r="L177" s="205">
        <v>-3.2988917577112642E-2</v>
      </c>
      <c r="N177" s="248"/>
      <c r="O177" s="248"/>
      <c r="P177" s="248"/>
      <c r="Q177" s="248"/>
      <c r="R177" s="248"/>
      <c r="S177" s="248"/>
      <c r="T177" s="248"/>
      <c r="U177" s="248"/>
    </row>
    <row r="178" spans="1:21">
      <c r="A178" s="181" t="s">
        <v>54</v>
      </c>
      <c r="B178" s="209">
        <v>0.95550701195492693</v>
      </c>
      <c r="C178" s="209">
        <v>0.9471618351452129</v>
      </c>
      <c r="D178" s="209">
        <v>0.83823992763478516</v>
      </c>
      <c r="E178" s="209">
        <v>0.64245054295487036</v>
      </c>
      <c r="F178" s="209">
        <v>0.5589352095883674</v>
      </c>
      <c r="G178" s="209">
        <v>0.38201068689249773</v>
      </c>
      <c r="H178" s="211">
        <v>-5.8463777549722096E-4</v>
      </c>
      <c r="I178" s="212">
        <v>-2.4137047881651941E-2</v>
      </c>
      <c r="J178" s="212">
        <v>-5.1812400269630299E-2</v>
      </c>
      <c r="K178" s="212">
        <v>-2.7466984642139591E-2</v>
      </c>
      <c r="L178" s="213">
        <v>-1.8849335751053742E-2</v>
      </c>
      <c r="N178" s="248"/>
      <c r="O178" s="248"/>
      <c r="P178" s="248"/>
      <c r="Q178" s="248"/>
      <c r="R178" s="248"/>
      <c r="S178" s="248"/>
      <c r="T178" s="248"/>
      <c r="U178" s="248"/>
    </row>
    <row r="179" spans="1:21">
      <c r="A179" s="181" t="s">
        <v>104</v>
      </c>
      <c r="B179" s="209">
        <v>0.82600000000000007</v>
      </c>
      <c r="C179" s="209">
        <v>1.1221837024344656</v>
      </c>
      <c r="D179" s="209">
        <v>1.2801854610800787</v>
      </c>
      <c r="E179" s="209">
        <v>1.6084817283664707</v>
      </c>
      <c r="F179" s="209">
        <v>1.7944935823414079</v>
      </c>
      <c r="G179" s="209">
        <v>1.9175419082714962</v>
      </c>
      <c r="H179" s="211">
        <v>2.0639238204596122E-2</v>
      </c>
      <c r="I179" s="212">
        <v>2.6695803050380995E-2</v>
      </c>
      <c r="J179" s="212">
        <v>4.6715482882137893E-2</v>
      </c>
      <c r="K179" s="212">
        <v>2.2127694242718876E-2</v>
      </c>
      <c r="L179" s="213">
        <v>3.3215669382815616E-3</v>
      </c>
      <c r="N179" s="248"/>
      <c r="O179" s="248"/>
      <c r="P179" s="248"/>
      <c r="Q179" s="248"/>
      <c r="R179" s="222"/>
      <c r="S179" s="248"/>
      <c r="T179" s="248"/>
      <c r="U179" s="248"/>
    </row>
    <row r="180" spans="1:21">
      <c r="A180" s="181"/>
      <c r="B180" s="182"/>
      <c r="C180" s="182"/>
      <c r="D180" s="182"/>
      <c r="E180" s="182"/>
      <c r="F180" s="182"/>
      <c r="G180" s="243"/>
      <c r="H180" s="211"/>
      <c r="I180" s="212"/>
      <c r="J180" s="212"/>
      <c r="K180" s="212"/>
      <c r="L180" s="213"/>
    </row>
    <row r="181" spans="1:21" ht="15.75" thickBot="1">
      <c r="A181" s="241" t="s">
        <v>10</v>
      </c>
      <c r="B181" s="242">
        <v>2.4602635678511495</v>
      </c>
      <c r="C181" s="247">
        <v>2.6872230863492259</v>
      </c>
      <c r="D181" s="247">
        <v>2.6854100599617503</v>
      </c>
      <c r="E181" s="247">
        <v>2.6644230002880747</v>
      </c>
      <c r="F181" s="247">
        <v>2.6318035872293759</v>
      </c>
      <c r="G181" s="247">
        <v>2.4418703020455128</v>
      </c>
      <c r="H181" s="217">
        <v>5.899994469378278E-3</v>
      </c>
      <c r="I181" s="218">
        <v>-1.349732281475946E-4</v>
      </c>
      <c r="J181" s="218">
        <v>-1.5679524467334671E-3</v>
      </c>
      <c r="K181" s="218">
        <v>-2.4605953999589092E-3</v>
      </c>
      <c r="L181" s="219">
        <v>-3.7382514184234328E-3</v>
      </c>
    </row>
    <row r="182" spans="1:21">
      <c r="B182" s="171"/>
      <c r="C182" s="171"/>
      <c r="D182" s="171"/>
      <c r="E182" s="171"/>
    </row>
    <row r="183" spans="1:21">
      <c r="B183" s="171"/>
      <c r="C183" s="171"/>
      <c r="D183" s="171"/>
      <c r="E183" s="171"/>
    </row>
    <row r="184" spans="1:21" ht="16.5" thickBot="1">
      <c r="A184" s="91" t="s">
        <v>148</v>
      </c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</row>
    <row r="185" spans="1:21" ht="15.75" thickBot="1">
      <c r="A185" s="177"/>
      <c r="B185" s="178">
        <v>2000</v>
      </c>
      <c r="C185" s="178">
        <v>2015</v>
      </c>
      <c r="D185" s="178">
        <v>2020</v>
      </c>
      <c r="E185" s="178">
        <v>2025</v>
      </c>
      <c r="F185" s="178">
        <v>2030</v>
      </c>
      <c r="G185" s="178">
        <v>2050</v>
      </c>
      <c r="H185" s="197" t="s">
        <v>98</v>
      </c>
      <c r="I185" s="198" t="s">
        <v>99</v>
      </c>
      <c r="J185" s="198" t="s">
        <v>100</v>
      </c>
      <c r="K185" s="198" t="s">
        <v>101</v>
      </c>
      <c r="L185" s="199" t="s">
        <v>102</v>
      </c>
    </row>
    <row r="186" spans="1:21">
      <c r="A186" s="181" t="s">
        <v>149</v>
      </c>
      <c r="B186" s="249">
        <v>24.33355382834463</v>
      </c>
      <c r="C186" s="249">
        <v>28.339281768158333</v>
      </c>
      <c r="D186" s="249">
        <v>29.486771451207698</v>
      </c>
      <c r="E186" s="249">
        <v>30.56320934088988</v>
      </c>
      <c r="F186" s="249">
        <v>31.676713168911213</v>
      </c>
      <c r="G186" s="249">
        <v>34.886850350703753</v>
      </c>
      <c r="H186" s="211">
        <v>1.0211294832557005E-2</v>
      </c>
      <c r="I186" s="212">
        <v>7.970163359137139E-3</v>
      </c>
      <c r="J186" s="212">
        <v>7.1968213529980396E-3</v>
      </c>
      <c r="K186" s="212">
        <v>7.1826391154925506E-3</v>
      </c>
      <c r="L186" s="213">
        <v>4.8380742114828568E-3</v>
      </c>
    </row>
    <row r="187" spans="1:21">
      <c r="A187" s="181" t="s">
        <v>150</v>
      </c>
      <c r="B187" s="250">
        <v>0.72677787849505027</v>
      </c>
      <c r="C187" s="250">
        <v>0.63382058461282031</v>
      </c>
      <c r="D187" s="250">
        <v>0.5885582574952769</v>
      </c>
      <c r="E187" s="250">
        <v>0.53079364805578111</v>
      </c>
      <c r="F187" s="250">
        <v>0.47158271606779512</v>
      </c>
      <c r="G187" s="250">
        <v>0.2872667690901376</v>
      </c>
      <c r="H187" s="211">
        <v>-9.0821706173750405E-3</v>
      </c>
      <c r="I187" s="212">
        <v>-1.4708755643135452E-2</v>
      </c>
      <c r="J187" s="212">
        <v>-2.0448549698030338E-2</v>
      </c>
      <c r="K187" s="212">
        <v>-2.3378159160086009E-2</v>
      </c>
      <c r="L187" s="213">
        <v>-2.4479555597915037E-2</v>
      </c>
    </row>
    <row r="188" spans="1:21">
      <c r="A188" s="181" t="s">
        <v>151</v>
      </c>
      <c r="B188" s="251">
        <v>2087.8712740325814</v>
      </c>
      <c r="C188" s="251">
        <v>2509.7875508518869</v>
      </c>
      <c r="D188" s="251">
        <v>2353.0712478637665</v>
      </c>
      <c r="E188" s="251">
        <v>2238.2941406678951</v>
      </c>
      <c r="F188" s="251">
        <v>2097.7632981649776</v>
      </c>
      <c r="G188" s="251">
        <v>1951.6980386195353</v>
      </c>
      <c r="H188" s="211">
        <v>1.2345793868838273E-2</v>
      </c>
      <c r="I188" s="212">
        <v>-1.2812555216551225E-2</v>
      </c>
      <c r="J188" s="212">
        <v>-9.9516231025180701E-3</v>
      </c>
      <c r="K188" s="212">
        <v>-1.2884741805356259E-2</v>
      </c>
      <c r="L188" s="213">
        <v>-3.6020917613875936E-3</v>
      </c>
    </row>
    <row r="189" spans="1:21" ht="15.75" thickBot="1">
      <c r="A189" s="190" t="s">
        <v>152</v>
      </c>
      <c r="B189" s="252">
        <v>4.7055972739865524E-2</v>
      </c>
      <c r="C189" s="252">
        <v>3.6892357357629232E-2</v>
      </c>
      <c r="D189" s="252">
        <v>3.2499527630024838E-2</v>
      </c>
      <c r="E189" s="252">
        <v>2.8288528764723344E-2</v>
      </c>
      <c r="F189" s="252">
        <v>2.4256523315956641E-2</v>
      </c>
      <c r="G189" s="252">
        <v>1.2263101535418508E-2</v>
      </c>
      <c r="H189" s="217">
        <v>-1.6091354362357646E-2</v>
      </c>
      <c r="I189" s="218">
        <v>-2.5037013656187712E-2</v>
      </c>
      <c r="J189" s="218">
        <v>-2.7372236004291395E-2</v>
      </c>
      <c r="K189" s="218">
        <v>-3.0286060692249261E-2</v>
      </c>
      <c r="L189" s="219">
        <v>-3.3529530892992265E-2</v>
      </c>
    </row>
    <row r="190" spans="1:21">
      <c r="A190" s="238"/>
      <c r="F190" s="170"/>
    </row>
    <row r="191" spans="1:21">
      <c r="F191" s="170"/>
    </row>
    <row r="192" spans="1:21" ht="21">
      <c r="A192" s="78" t="s">
        <v>153</v>
      </c>
      <c r="B192" s="73"/>
      <c r="C192" s="73"/>
      <c r="D192" s="73"/>
      <c r="E192" s="73"/>
      <c r="F192" s="73"/>
      <c r="G192" s="239"/>
      <c r="H192" s="239"/>
      <c r="I192" s="239"/>
      <c r="J192" s="239"/>
      <c r="K192" s="239"/>
      <c r="L192" s="239"/>
    </row>
    <row r="193" spans="1:13">
      <c r="F193" s="170"/>
    </row>
    <row r="194" spans="1:13" ht="16.5" thickBot="1">
      <c r="A194" s="91" t="s">
        <v>154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</row>
    <row r="195" spans="1:13" ht="15.75" thickBot="1">
      <c r="A195" s="235" t="s">
        <v>51</v>
      </c>
      <c r="B195" s="178">
        <v>2000</v>
      </c>
      <c r="C195" s="178">
        <v>2015</v>
      </c>
      <c r="D195" s="178">
        <v>2020</v>
      </c>
      <c r="E195" s="178">
        <v>2025</v>
      </c>
      <c r="F195" s="178">
        <v>2030</v>
      </c>
      <c r="G195" s="178">
        <v>2050</v>
      </c>
      <c r="H195" s="197" t="s">
        <v>98</v>
      </c>
      <c r="I195" s="198" t="s">
        <v>99</v>
      </c>
      <c r="J195" s="198" t="s">
        <v>100</v>
      </c>
      <c r="K195" s="198" t="s">
        <v>101</v>
      </c>
      <c r="L195" s="199" t="s">
        <v>102</v>
      </c>
    </row>
    <row r="196" spans="1:13">
      <c r="A196" s="181" t="s">
        <v>103</v>
      </c>
      <c r="B196" s="209">
        <v>3.7561</v>
      </c>
      <c r="C196" s="209">
        <v>2.294081628046909</v>
      </c>
      <c r="D196" s="209">
        <v>1.4999354182290088</v>
      </c>
      <c r="E196" s="209">
        <v>0.91577378091033934</v>
      </c>
      <c r="F196" s="209">
        <v>0.4614827689525573</v>
      </c>
      <c r="G196" s="209">
        <v>3.3328085224007112E-2</v>
      </c>
      <c r="H196" s="203">
        <v>-3.2335560855585976E-2</v>
      </c>
      <c r="I196" s="204">
        <v>-8.1471283025754904E-2</v>
      </c>
      <c r="J196" s="204">
        <v>-9.3968850614089883E-2</v>
      </c>
      <c r="K196" s="204">
        <v>-0.12808638973734165</v>
      </c>
      <c r="L196" s="205">
        <v>-0.12313498369315445</v>
      </c>
      <c r="M196" s="248"/>
    </row>
    <row r="197" spans="1:13">
      <c r="A197" s="181" t="s">
        <v>54</v>
      </c>
      <c r="B197" s="209">
        <v>5.5961999999999996</v>
      </c>
      <c r="C197" s="209">
        <v>5.9093799275223491</v>
      </c>
      <c r="D197" s="209">
        <v>5.0141841483421405</v>
      </c>
      <c r="E197" s="209">
        <v>3.9253754708631132</v>
      </c>
      <c r="F197" s="209">
        <v>2.7924101130175507</v>
      </c>
      <c r="G197" s="209">
        <v>0.45020851625292024</v>
      </c>
      <c r="H197" s="211">
        <v>3.6368045657122483E-3</v>
      </c>
      <c r="I197" s="212">
        <v>-3.2320204463460733E-2</v>
      </c>
      <c r="J197" s="212">
        <v>-4.7782442557674054E-2</v>
      </c>
      <c r="K197" s="212">
        <v>-6.5843587022246575E-2</v>
      </c>
      <c r="L197" s="213">
        <v>-8.7208210057492241E-2</v>
      </c>
      <c r="M197" s="248"/>
    </row>
    <row r="198" spans="1:13">
      <c r="A198" s="181" t="s">
        <v>42</v>
      </c>
      <c r="B198" s="209">
        <v>0.15870000000000001</v>
      </c>
      <c r="C198" s="209">
        <v>6.1426658136617469E-2</v>
      </c>
      <c r="D198" s="209">
        <v>0</v>
      </c>
      <c r="E198" s="209">
        <v>0</v>
      </c>
      <c r="F198" s="209">
        <v>0</v>
      </c>
      <c r="G198" s="209">
        <v>0</v>
      </c>
      <c r="H198" s="211">
        <v>-6.1317623639847718E-2</v>
      </c>
      <c r="I198" s="212">
        <v>-1</v>
      </c>
      <c r="J198" s="212" t="e">
        <v>#DIV/0!</v>
      </c>
      <c r="K198" s="212" t="e">
        <v>#DIV/0!</v>
      </c>
      <c r="L198" s="213" t="e">
        <v>#DIV/0!</v>
      </c>
      <c r="M198" s="248"/>
    </row>
    <row r="199" spans="1:13">
      <c r="A199" s="181" t="s">
        <v>104</v>
      </c>
      <c r="B199" s="209">
        <v>9.3300278041400002</v>
      </c>
      <c r="C199" s="209">
        <v>11.937063274925904</v>
      </c>
      <c r="D199" s="209">
        <v>12.247274994977751</v>
      </c>
      <c r="E199" s="209">
        <v>11.638236194512082</v>
      </c>
      <c r="F199" s="209">
        <v>11.006572303064363</v>
      </c>
      <c r="G199" s="209">
        <v>9.3348831087369852</v>
      </c>
      <c r="H199" s="211">
        <v>1.6563012389721354E-2</v>
      </c>
      <c r="I199" s="212">
        <v>5.1442548788833697E-3</v>
      </c>
      <c r="J199" s="212">
        <v>-1.0149653412321769E-2</v>
      </c>
      <c r="K199" s="212">
        <v>-1.109861576364779E-2</v>
      </c>
      <c r="L199" s="213">
        <v>-8.2028872666444208E-3</v>
      </c>
      <c r="M199" s="248"/>
    </row>
    <row r="200" spans="1:13">
      <c r="A200" s="181" t="s">
        <v>105</v>
      </c>
      <c r="B200" s="209">
        <v>0.85539999999999994</v>
      </c>
      <c r="C200" s="209">
        <v>0.53425976252893026</v>
      </c>
      <c r="D200" s="209">
        <v>0.59950681383681492</v>
      </c>
      <c r="E200" s="209">
        <v>0.62608679865874795</v>
      </c>
      <c r="F200" s="209">
        <v>0.6489364458522886</v>
      </c>
      <c r="G200" s="209">
        <v>1.4277110119754055</v>
      </c>
      <c r="H200" s="211">
        <v>-3.0891919597692663E-2</v>
      </c>
      <c r="I200" s="212">
        <v>2.3312622964225982E-2</v>
      </c>
      <c r="J200" s="212">
        <v>8.7140839369357348E-3</v>
      </c>
      <c r="K200" s="212">
        <v>7.1949135337332493E-3</v>
      </c>
      <c r="L200" s="213">
        <v>4.0212114087618156E-2</v>
      </c>
      <c r="M200" s="248"/>
    </row>
    <row r="201" spans="1:13">
      <c r="A201" s="181" t="s">
        <v>134</v>
      </c>
      <c r="B201" s="182">
        <v>0.32080000000000003</v>
      </c>
      <c r="C201" s="182">
        <v>0.34122197089421541</v>
      </c>
      <c r="D201" s="182">
        <v>0.47141796818446802</v>
      </c>
      <c r="E201" s="182">
        <v>0.57957328619773529</v>
      </c>
      <c r="F201" s="182">
        <v>0.60781576438640272</v>
      </c>
      <c r="G201" s="182">
        <v>0.40500654890806143</v>
      </c>
      <c r="H201" s="211">
        <v>4.1228309505667582E-3</v>
      </c>
      <c r="I201" s="212">
        <v>6.6777455177402079E-2</v>
      </c>
      <c r="J201" s="212">
        <v>4.2174507148687645E-2</v>
      </c>
      <c r="K201" s="212">
        <v>9.5613600365422879E-3</v>
      </c>
      <c r="L201" s="213">
        <v>-2.0093802750761336E-2</v>
      </c>
      <c r="M201" s="248"/>
    </row>
    <row r="202" spans="1:13">
      <c r="A202" s="181" t="s">
        <v>135</v>
      </c>
      <c r="B202" s="182">
        <v>0</v>
      </c>
      <c r="C202" s="182">
        <v>9.2840255611806088E-2</v>
      </c>
      <c r="D202" s="182">
        <v>0.27398793194875748</v>
      </c>
      <c r="E202" s="182">
        <v>0.41307977334996671</v>
      </c>
      <c r="F202" s="182">
        <v>0.47962513716076938</v>
      </c>
      <c r="G202" s="182">
        <v>0.38611314657298224</v>
      </c>
      <c r="H202" s="211"/>
      <c r="I202" s="212"/>
      <c r="J202" s="212"/>
      <c r="K202" s="212"/>
      <c r="L202" s="213"/>
      <c r="M202" s="248"/>
    </row>
    <row r="203" spans="1:13">
      <c r="A203" s="181" t="s">
        <v>136</v>
      </c>
      <c r="B203" s="182">
        <v>0</v>
      </c>
      <c r="C203" s="182">
        <v>0.78959091954753502</v>
      </c>
      <c r="D203" s="182">
        <v>1.0466780933681137</v>
      </c>
      <c r="E203" s="182">
        <v>1.4236480127691269</v>
      </c>
      <c r="F203" s="182">
        <v>1.7320243313100603</v>
      </c>
      <c r="G203" s="182">
        <v>1.8224684836634182</v>
      </c>
      <c r="H203" s="211"/>
      <c r="I203" s="212"/>
      <c r="J203" s="212"/>
      <c r="K203" s="212"/>
      <c r="L203" s="213"/>
      <c r="M203" s="248"/>
    </row>
    <row r="204" spans="1:13">
      <c r="A204" s="181"/>
      <c r="B204" s="182"/>
      <c r="C204" s="182"/>
      <c r="D204" s="182"/>
      <c r="E204" s="182"/>
      <c r="F204" s="182"/>
      <c r="G204" s="182"/>
      <c r="H204" s="211"/>
      <c r="I204" s="212"/>
      <c r="J204" s="212"/>
      <c r="K204" s="212"/>
      <c r="L204" s="213"/>
    </row>
    <row r="205" spans="1:13" ht="15.75" thickBot="1">
      <c r="A205" s="190" t="s">
        <v>10</v>
      </c>
      <c r="B205" s="226">
        <v>20.017227804139996</v>
      </c>
      <c r="C205" s="226">
        <v>21.959864397214265</v>
      </c>
      <c r="D205" s="226">
        <v>21.152985368887055</v>
      </c>
      <c r="E205" s="226">
        <v>19.521773317261111</v>
      </c>
      <c r="F205" s="226">
        <v>17.728866863743995</v>
      </c>
      <c r="G205" s="226">
        <v>13.85971890133378</v>
      </c>
      <c r="H205" s="217">
        <v>6.1939804284143474E-3</v>
      </c>
      <c r="I205" s="218">
        <v>-7.459120426147603E-3</v>
      </c>
      <c r="J205" s="218">
        <v>-1.5922008030237689E-2</v>
      </c>
      <c r="K205" s="218">
        <v>-1.9082816168849881E-2</v>
      </c>
      <c r="L205" s="219">
        <v>-1.2234912067208059E-2</v>
      </c>
    </row>
    <row r="206" spans="1:13">
      <c r="A206" s="195"/>
      <c r="B206" s="171"/>
      <c r="C206" s="171"/>
      <c r="D206" s="171"/>
      <c r="E206" s="171"/>
    </row>
    <row r="207" spans="1:13">
      <c r="A207" s="195"/>
      <c r="B207" s="171"/>
      <c r="C207" s="171"/>
      <c r="D207" s="171"/>
      <c r="E207" s="171"/>
    </row>
    <row r="208" spans="1:13" ht="16.5" thickBot="1">
      <c r="A208" s="91" t="s">
        <v>155</v>
      </c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</row>
    <row r="209" spans="1:14" ht="15.75" thickBot="1">
      <c r="A209" s="235" t="s">
        <v>51</v>
      </c>
      <c r="B209" s="178">
        <v>2000</v>
      </c>
      <c r="C209" s="178">
        <v>2015</v>
      </c>
      <c r="D209" s="178">
        <v>2020</v>
      </c>
      <c r="E209" s="178">
        <v>2025</v>
      </c>
      <c r="F209" s="178">
        <v>2030</v>
      </c>
      <c r="G209" s="178">
        <v>2050</v>
      </c>
      <c r="H209" s="197" t="s">
        <v>98</v>
      </c>
      <c r="I209" s="198" t="s">
        <v>99</v>
      </c>
      <c r="J209" s="198" t="s">
        <v>100</v>
      </c>
      <c r="K209" s="198" t="s">
        <v>101</v>
      </c>
      <c r="L209" s="199" t="s">
        <v>102</v>
      </c>
    </row>
    <row r="210" spans="1:14">
      <c r="A210" s="181" t="s">
        <v>138</v>
      </c>
      <c r="B210" s="209">
        <v>9.3037991407357321</v>
      </c>
      <c r="C210" s="209">
        <v>9.7967066005804764</v>
      </c>
      <c r="D210" s="209">
        <v>8.8111494611042218</v>
      </c>
      <c r="E210" s="209">
        <v>7.7609912080261276</v>
      </c>
      <c r="F210" s="209">
        <v>6.6626634496136381</v>
      </c>
      <c r="G210" s="209">
        <v>4.5884891463066495</v>
      </c>
      <c r="H210" s="203">
        <v>3.4474917456241982E-3</v>
      </c>
      <c r="I210" s="204">
        <v>-2.0982413481280271E-2</v>
      </c>
      <c r="J210" s="204">
        <v>-2.5062164954301025E-2</v>
      </c>
      <c r="K210" s="204">
        <v>-3.0057170045617587E-2</v>
      </c>
      <c r="L210" s="205">
        <v>-1.8475619668650411E-2</v>
      </c>
      <c r="N210" s="186"/>
    </row>
    <row r="211" spans="1:14">
      <c r="A211" s="181" t="s">
        <v>156</v>
      </c>
      <c r="B211" s="182">
        <v>3.8242762748856345</v>
      </c>
      <c r="C211" s="182">
        <v>3.2036843665619221</v>
      </c>
      <c r="D211" s="182">
        <v>3.4189914694173242</v>
      </c>
      <c r="E211" s="182">
        <v>3.406880100048773</v>
      </c>
      <c r="F211" s="182">
        <v>3.3021092786222539</v>
      </c>
      <c r="G211" s="182">
        <v>2.5825866572536436</v>
      </c>
      <c r="H211" s="211">
        <v>-1.1735115266409246E-2</v>
      </c>
      <c r="I211" s="212">
        <v>1.3093803528589243E-2</v>
      </c>
      <c r="J211" s="212">
        <v>-7.0948215431976269E-4</v>
      </c>
      <c r="K211" s="212">
        <v>-6.2276286723228491E-3</v>
      </c>
      <c r="L211" s="213">
        <v>-1.2213302864828357E-2</v>
      </c>
      <c r="N211" s="186"/>
    </row>
    <row r="212" spans="1:14">
      <c r="A212" s="181" t="s">
        <v>143</v>
      </c>
      <c r="B212" s="209">
        <v>0.26720797829915388</v>
      </c>
      <c r="C212" s="253">
        <v>0.50829686499882776</v>
      </c>
      <c r="D212" s="253">
        <v>0.52851811348477384</v>
      </c>
      <c r="E212" s="253">
        <v>0.51609148663286786</v>
      </c>
      <c r="F212" s="253">
        <v>0.5232467957589515</v>
      </c>
      <c r="G212" s="253">
        <v>0.54711698805678899</v>
      </c>
      <c r="H212" s="211">
        <v>4.3801381524881888E-2</v>
      </c>
      <c r="I212" s="212">
        <v>7.8328013950903497E-3</v>
      </c>
      <c r="J212" s="212">
        <v>-4.7473015071414215E-3</v>
      </c>
      <c r="K212" s="212">
        <v>2.7576329212564143E-3</v>
      </c>
      <c r="L212" s="213">
        <v>2.2329600556985074E-3</v>
      </c>
      <c r="N212" s="186"/>
    </row>
    <row r="213" spans="1:14">
      <c r="A213" s="181" t="s">
        <v>142</v>
      </c>
      <c r="B213" s="209">
        <v>6.621944410219478</v>
      </c>
      <c r="C213" s="209">
        <v>8.451176565073041</v>
      </c>
      <c r="D213" s="209">
        <v>8.3943263248807334</v>
      </c>
      <c r="E213" s="209">
        <v>7.837810522553343</v>
      </c>
      <c r="F213" s="209">
        <v>7.2408473397491493</v>
      </c>
      <c r="G213" s="209">
        <v>6.1415261097166978</v>
      </c>
      <c r="H213" s="211">
        <v>1.6394039767257285E-2</v>
      </c>
      <c r="I213" s="212">
        <v>-1.3490152641688624E-3</v>
      </c>
      <c r="J213" s="212">
        <v>-1.3625622233366275E-2</v>
      </c>
      <c r="K213" s="212">
        <v>-1.5719398022254749E-2</v>
      </c>
      <c r="L213" s="213">
        <v>-8.1994482386018586E-3</v>
      </c>
      <c r="N213" s="186"/>
    </row>
    <row r="214" spans="1:14">
      <c r="A214" s="181"/>
      <c r="B214" s="182"/>
      <c r="C214" s="182"/>
      <c r="D214" s="182"/>
      <c r="E214" s="182"/>
      <c r="F214" s="182"/>
      <c r="G214" s="182"/>
      <c r="H214" s="211"/>
      <c r="I214" s="212"/>
      <c r="J214" s="212"/>
      <c r="K214" s="212"/>
      <c r="L214" s="213"/>
      <c r="N214" s="186"/>
    </row>
    <row r="215" spans="1:14" ht="15.75" thickBot="1">
      <c r="A215" s="190" t="s">
        <v>10</v>
      </c>
      <c r="B215" s="226">
        <v>20.017227804139999</v>
      </c>
      <c r="C215" s="226">
        <v>21.959864397214268</v>
      </c>
      <c r="D215" s="226">
        <v>21.152985368887052</v>
      </c>
      <c r="E215" s="226">
        <v>19.521773317261111</v>
      </c>
      <c r="F215" s="226">
        <v>17.728866863743992</v>
      </c>
      <c r="G215" s="226">
        <v>13.85971890133378</v>
      </c>
      <c r="H215" s="217">
        <v>6.1939804284143474E-3</v>
      </c>
      <c r="I215" s="218">
        <v>-7.459120426147714E-3</v>
      </c>
      <c r="J215" s="218">
        <v>-1.5922008030237689E-2</v>
      </c>
      <c r="K215" s="218">
        <v>-1.9082816168849881E-2</v>
      </c>
      <c r="L215" s="219">
        <v>-1.2234912067208059E-2</v>
      </c>
      <c r="N215" s="186"/>
    </row>
    <row r="216" spans="1:14">
      <c r="A216" s="195"/>
      <c r="B216" s="171"/>
      <c r="C216" s="254"/>
      <c r="D216" s="254"/>
      <c r="E216" s="254"/>
      <c r="F216" s="254"/>
      <c r="G216" s="254"/>
      <c r="N216" s="186"/>
    </row>
    <row r="217" spans="1:14">
      <c r="A217" s="195"/>
      <c r="B217" s="171"/>
      <c r="C217" s="171"/>
      <c r="D217" s="171"/>
      <c r="E217" s="254"/>
      <c r="F217" s="255"/>
      <c r="G217" s="254"/>
      <c r="N217" s="186"/>
    </row>
    <row r="218" spans="1:14" ht="16.5" thickBot="1">
      <c r="A218" s="91" t="s">
        <v>157</v>
      </c>
      <c r="B218" s="80"/>
      <c r="C218" s="80"/>
      <c r="D218" s="80"/>
      <c r="E218" s="256"/>
      <c r="F218" s="256"/>
      <c r="G218" s="256"/>
      <c r="H218" s="80"/>
      <c r="I218" s="80"/>
      <c r="J218" s="80"/>
      <c r="K218" s="80"/>
      <c r="L218" s="80"/>
      <c r="N218" s="186"/>
    </row>
    <row r="219" spans="1:14" ht="15.75" thickBot="1">
      <c r="A219" s="235" t="s">
        <v>51</v>
      </c>
      <c r="B219" s="178">
        <v>2000</v>
      </c>
      <c r="C219" s="178">
        <v>2015</v>
      </c>
      <c r="D219" s="178">
        <v>2020</v>
      </c>
      <c r="E219" s="178">
        <v>2025</v>
      </c>
      <c r="F219" s="178">
        <v>2030</v>
      </c>
      <c r="G219" s="178">
        <v>2050</v>
      </c>
      <c r="H219" s="197" t="s">
        <v>98</v>
      </c>
      <c r="I219" s="198" t="s">
        <v>99</v>
      </c>
      <c r="J219" s="198" t="s">
        <v>100</v>
      </c>
      <c r="K219" s="198" t="s">
        <v>101</v>
      </c>
      <c r="L219" s="199" t="s">
        <v>102</v>
      </c>
      <c r="N219" s="186"/>
    </row>
    <row r="220" spans="1:14">
      <c r="A220" s="181" t="s">
        <v>103</v>
      </c>
      <c r="B220" s="182">
        <v>3.7561</v>
      </c>
      <c r="C220" s="182">
        <v>2.294081628046909</v>
      </c>
      <c r="D220" s="182">
        <v>1.4999354182290088</v>
      </c>
      <c r="E220" s="182">
        <v>0.91577378091033934</v>
      </c>
      <c r="F220" s="182">
        <v>0.4614827689525573</v>
      </c>
      <c r="G220" s="182">
        <v>3.3328085224007112E-2</v>
      </c>
      <c r="H220" s="203">
        <v>-3.2335560855585976E-2</v>
      </c>
      <c r="I220" s="204">
        <v>-8.1471283025754904E-2</v>
      </c>
      <c r="J220" s="204">
        <v>-9.3968850614089883E-2</v>
      </c>
      <c r="K220" s="204">
        <v>-0.12808638973734165</v>
      </c>
      <c r="L220" s="205">
        <v>-0.12313498369315445</v>
      </c>
      <c r="N220" s="186"/>
    </row>
    <row r="221" spans="1:14">
      <c r="A221" s="181" t="s">
        <v>54</v>
      </c>
      <c r="B221" s="182">
        <v>5.5961999999999996</v>
      </c>
      <c r="C221" s="182">
        <v>5.9093799275223491</v>
      </c>
      <c r="D221" s="182">
        <v>5.0141841483421405</v>
      </c>
      <c r="E221" s="182">
        <v>3.9253754708631132</v>
      </c>
      <c r="F221" s="182">
        <v>2.7924101130175507</v>
      </c>
      <c r="G221" s="182">
        <v>0.45020851625292024</v>
      </c>
      <c r="H221" s="211">
        <v>3.6368045657122483E-3</v>
      </c>
      <c r="I221" s="212">
        <v>-3.2320204463460733E-2</v>
      </c>
      <c r="J221" s="212">
        <v>-4.7782442557674054E-2</v>
      </c>
      <c r="K221" s="212">
        <v>-6.5843587022246575E-2</v>
      </c>
      <c r="L221" s="213">
        <v>-8.7208210057492241E-2</v>
      </c>
      <c r="N221" s="186"/>
    </row>
    <row r="222" spans="1:14">
      <c r="A222" s="181" t="s">
        <v>42</v>
      </c>
      <c r="B222" s="182">
        <v>0.15870000000000001</v>
      </c>
      <c r="C222" s="182">
        <v>6.1426658136617469E-2</v>
      </c>
      <c r="D222" s="182">
        <v>0</v>
      </c>
      <c r="E222" s="182">
        <v>0</v>
      </c>
      <c r="F222" s="182">
        <v>0</v>
      </c>
      <c r="G222" s="182">
        <v>0</v>
      </c>
      <c r="H222" s="211">
        <v>-6.1317623639847718E-2</v>
      </c>
      <c r="I222" s="212">
        <v>-1</v>
      </c>
      <c r="J222" s="212" t="e">
        <v>#DIV/0!</v>
      </c>
      <c r="K222" s="212" t="e">
        <v>#DIV/0!</v>
      </c>
      <c r="L222" s="213" t="e">
        <v>#DIV/0!</v>
      </c>
      <c r="N222" s="186"/>
    </row>
    <row r="223" spans="1:14">
      <c r="A223" s="181" t="s">
        <v>104</v>
      </c>
      <c r="B223" s="182">
        <v>2.4408754156213677</v>
      </c>
      <c r="C223" s="182">
        <v>2.9775898448540357</v>
      </c>
      <c r="D223" s="182">
        <v>3.3244305566122438</v>
      </c>
      <c r="E223" s="182">
        <v>3.2843341853258705</v>
      </c>
      <c r="F223" s="182">
        <v>3.2424781675562633</v>
      </c>
      <c r="G223" s="182">
        <v>2.6462400109634983</v>
      </c>
      <c r="H223" s="211">
        <v>1.3338673160219194E-2</v>
      </c>
      <c r="I223" s="212">
        <v>2.2281445010654322E-2</v>
      </c>
      <c r="J223" s="212">
        <v>-2.4239475209221206E-3</v>
      </c>
      <c r="K223" s="212">
        <v>-2.5619214854888384E-3</v>
      </c>
      <c r="L223" s="213">
        <v>-1.0108469259847097E-2</v>
      </c>
      <c r="N223" s="186"/>
    </row>
    <row r="224" spans="1:14">
      <c r="A224" s="181" t="s">
        <v>105</v>
      </c>
      <c r="B224" s="182">
        <v>0.85539999999999994</v>
      </c>
      <c r="C224" s="182">
        <v>0.53425976252893026</v>
      </c>
      <c r="D224" s="182">
        <v>0.59950681383681492</v>
      </c>
      <c r="E224" s="182">
        <v>0.62608679865874795</v>
      </c>
      <c r="F224" s="182">
        <v>0.6489364458522886</v>
      </c>
      <c r="G224" s="182">
        <v>1.4277110119754055</v>
      </c>
      <c r="H224" s="211">
        <v>-3.0891919597692663E-2</v>
      </c>
      <c r="I224" s="212">
        <v>2.3312622964225982E-2</v>
      </c>
      <c r="J224" s="212">
        <v>8.7140839369357348E-3</v>
      </c>
      <c r="K224" s="212">
        <v>7.1949135337332493E-3</v>
      </c>
      <c r="L224" s="213">
        <v>4.0212114087618156E-2</v>
      </c>
      <c r="N224" s="186"/>
    </row>
    <row r="225" spans="1:14">
      <c r="A225" s="181" t="s">
        <v>134</v>
      </c>
      <c r="B225" s="182">
        <v>0.32080000000000003</v>
      </c>
      <c r="C225" s="182">
        <v>0.34122197089421541</v>
      </c>
      <c r="D225" s="182">
        <v>0.47141796818446802</v>
      </c>
      <c r="E225" s="182">
        <v>0.57957328619773529</v>
      </c>
      <c r="F225" s="182">
        <v>0.60781576438640272</v>
      </c>
      <c r="G225" s="182">
        <v>0.40500654890806143</v>
      </c>
      <c r="H225" s="211">
        <v>4.1228309505667582E-3</v>
      </c>
      <c r="I225" s="212">
        <v>6.6777455177402079E-2</v>
      </c>
      <c r="J225" s="212">
        <v>4.2174507148687645E-2</v>
      </c>
      <c r="K225" s="212">
        <v>9.5613600365422879E-3</v>
      </c>
      <c r="L225" s="213">
        <v>-2.0093802750761336E-2</v>
      </c>
      <c r="N225" s="186"/>
    </row>
    <row r="226" spans="1:14">
      <c r="A226" s="181" t="s">
        <v>135</v>
      </c>
      <c r="B226" s="182">
        <v>0</v>
      </c>
      <c r="C226" s="182">
        <v>9.2840255611806088E-2</v>
      </c>
      <c r="D226" s="182">
        <v>0.27398793194875748</v>
      </c>
      <c r="E226" s="182">
        <v>0.41307977334996671</v>
      </c>
      <c r="F226" s="182">
        <v>0.47962513716076938</v>
      </c>
      <c r="G226" s="182">
        <v>0.38611314657298224</v>
      </c>
      <c r="H226" s="211"/>
      <c r="I226" s="212"/>
      <c r="J226" s="212"/>
      <c r="K226" s="212"/>
      <c r="L226" s="213"/>
      <c r="N226" s="186"/>
    </row>
    <row r="227" spans="1:14">
      <c r="A227" s="181" t="s">
        <v>136</v>
      </c>
      <c r="B227" s="182">
        <v>0</v>
      </c>
      <c r="C227" s="182">
        <v>0.78959091954753502</v>
      </c>
      <c r="D227" s="182">
        <v>1.0466780933681137</v>
      </c>
      <c r="E227" s="182">
        <v>1.4236480127691269</v>
      </c>
      <c r="F227" s="182">
        <v>1.7320243313100603</v>
      </c>
      <c r="G227" s="182">
        <v>1.8224684836634182</v>
      </c>
      <c r="H227" s="211"/>
      <c r="I227" s="212"/>
      <c r="J227" s="212"/>
      <c r="K227" s="212"/>
      <c r="L227" s="213"/>
      <c r="N227" s="186"/>
    </row>
    <row r="228" spans="1:14">
      <c r="A228" s="181"/>
      <c r="B228" s="182"/>
      <c r="C228" s="182"/>
      <c r="D228" s="182"/>
      <c r="E228" s="182"/>
      <c r="F228" s="182"/>
      <c r="G228" s="182"/>
      <c r="H228" s="211"/>
      <c r="I228" s="212"/>
      <c r="J228" s="212"/>
      <c r="K228" s="212"/>
      <c r="L228" s="213"/>
      <c r="N228" s="186"/>
    </row>
    <row r="229" spans="1:14" ht="15.75" thickBot="1">
      <c r="A229" s="190" t="s">
        <v>10</v>
      </c>
      <c r="B229" s="226">
        <v>13.128075415621366</v>
      </c>
      <c r="C229" s="226">
        <v>13.000390967142401</v>
      </c>
      <c r="D229" s="226">
        <v>12.230140930521546</v>
      </c>
      <c r="E229" s="226">
        <v>11.167871308074899</v>
      </c>
      <c r="F229" s="226">
        <v>9.9647727282358929</v>
      </c>
      <c r="G229" s="226">
        <v>7.1710758035602931</v>
      </c>
      <c r="H229" s="217">
        <v>-6.5136556964595638E-4</v>
      </c>
      <c r="I229" s="218">
        <v>-1.2140889079191863E-2</v>
      </c>
      <c r="J229" s="218">
        <v>-1.8008366046744384E-2</v>
      </c>
      <c r="K229" s="218">
        <v>-2.2539087618029474E-2</v>
      </c>
      <c r="L229" s="219">
        <v>-1.631546027045383E-2</v>
      </c>
      <c r="N229" s="186"/>
    </row>
    <row r="230" spans="1:14">
      <c r="A230" s="195"/>
      <c r="B230" s="171"/>
      <c r="C230" s="171"/>
      <c r="D230" s="171"/>
      <c r="E230" s="171"/>
      <c r="N230" s="186"/>
    </row>
    <row r="231" spans="1:14">
      <c r="A231" s="195"/>
      <c r="B231" s="171"/>
      <c r="C231" s="171"/>
      <c r="D231" s="171"/>
      <c r="E231" s="171"/>
      <c r="N231" s="186"/>
    </row>
    <row r="232" spans="1:14" ht="16.5" thickBot="1">
      <c r="A232" s="91" t="s">
        <v>158</v>
      </c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N232" s="186"/>
    </row>
    <row r="233" spans="1:14" ht="15.75" thickBot="1">
      <c r="A233" s="235" t="s">
        <v>51</v>
      </c>
      <c r="B233" s="178">
        <v>2000</v>
      </c>
      <c r="C233" s="178">
        <v>2015</v>
      </c>
      <c r="D233" s="178">
        <v>2020</v>
      </c>
      <c r="E233" s="178">
        <v>2025</v>
      </c>
      <c r="F233" s="178">
        <v>2030</v>
      </c>
      <c r="G233" s="178">
        <v>2050</v>
      </c>
      <c r="H233" s="197" t="s">
        <v>98</v>
      </c>
      <c r="I233" s="198" t="s">
        <v>99</v>
      </c>
      <c r="J233" s="198" t="s">
        <v>100</v>
      </c>
      <c r="K233" s="198" t="s">
        <v>101</v>
      </c>
      <c r="L233" s="199" t="s">
        <v>102</v>
      </c>
      <c r="N233" s="257"/>
    </row>
    <row r="234" spans="1:14">
      <c r="A234" s="181" t="s">
        <v>103</v>
      </c>
      <c r="B234" s="209">
        <v>2.6271374019358529</v>
      </c>
      <c r="C234" s="209">
        <v>1.9412630992461428</v>
      </c>
      <c r="D234" s="209">
        <v>1.2925689660478921</v>
      </c>
      <c r="E234" s="209">
        <v>0.81365554390397421</v>
      </c>
      <c r="F234" s="209">
        <v>0.38417309673559524</v>
      </c>
      <c r="G234" s="209">
        <v>1.2978195519191616E-3</v>
      </c>
      <c r="H234" s="203">
        <v>-1.9968336343000548E-2</v>
      </c>
      <c r="I234" s="204">
        <v>-7.8121121001402227E-2</v>
      </c>
      <c r="J234" s="204">
        <v>-8.8414575245205684E-2</v>
      </c>
      <c r="K234" s="204">
        <v>-0.13936843176079083</v>
      </c>
      <c r="L234" s="205">
        <v>-0.24762497942105766</v>
      </c>
      <c r="M234" s="258"/>
      <c r="N234" s="257"/>
    </row>
    <row r="235" spans="1:14">
      <c r="A235" s="181" t="s">
        <v>54</v>
      </c>
      <c r="B235" s="209">
        <v>3.9701595313874058</v>
      </c>
      <c r="C235" s="209">
        <v>4.842737041613133</v>
      </c>
      <c r="D235" s="209">
        <v>4.1711191196282513</v>
      </c>
      <c r="E235" s="209">
        <v>3.2873587229148398</v>
      </c>
      <c r="F235" s="209">
        <v>2.2846596246074227</v>
      </c>
      <c r="G235" s="209">
        <v>0.2818801532956044</v>
      </c>
      <c r="H235" s="211">
        <v>1.3333021631106279E-2</v>
      </c>
      <c r="I235" s="212">
        <v>-2.941775822344106E-2</v>
      </c>
      <c r="J235" s="212">
        <v>-4.6503943962651673E-2</v>
      </c>
      <c r="K235" s="212">
        <v>-7.0188567381903266E-2</v>
      </c>
      <c r="L235" s="213">
        <v>-9.9337357347846988E-2</v>
      </c>
      <c r="M235" s="258"/>
      <c r="N235" s="257"/>
    </row>
    <row r="236" spans="1:14">
      <c r="A236" s="181" t="s">
        <v>42</v>
      </c>
      <c r="B236" s="209">
        <v>0.11470512934855193</v>
      </c>
      <c r="C236" s="209">
        <v>0</v>
      </c>
      <c r="D236" s="209">
        <v>0</v>
      </c>
      <c r="E236" s="209">
        <v>0</v>
      </c>
      <c r="F236" s="209">
        <v>0</v>
      </c>
      <c r="G236" s="209">
        <v>0</v>
      </c>
      <c r="H236" s="211">
        <v>-1</v>
      </c>
      <c r="I236" s="212" t="e">
        <v>#DIV/0!</v>
      </c>
      <c r="J236" s="212" t="e">
        <v>#DIV/0!</v>
      </c>
      <c r="K236" s="212" t="e">
        <v>#DIV/0!</v>
      </c>
      <c r="L236" s="213" t="e">
        <v>#DIV/0!</v>
      </c>
      <c r="M236" s="258"/>
      <c r="N236" s="257"/>
    </row>
    <row r="237" spans="1:14">
      <c r="A237" s="181" t="s">
        <v>104</v>
      </c>
      <c r="B237" s="209">
        <v>1.7416372605000001</v>
      </c>
      <c r="C237" s="209">
        <v>1.5282873187444288</v>
      </c>
      <c r="D237" s="209">
        <v>1.5251722268210117</v>
      </c>
      <c r="E237" s="209">
        <v>1.483250277268523</v>
      </c>
      <c r="F237" s="209">
        <v>1.4942634265064132</v>
      </c>
      <c r="G237" s="209">
        <v>1.1630055070505922</v>
      </c>
      <c r="H237" s="211">
        <v>-8.6740227800810032E-3</v>
      </c>
      <c r="I237" s="212">
        <v>-4.0799066763319569E-4</v>
      </c>
      <c r="J237" s="212">
        <v>-5.5587976312836407E-3</v>
      </c>
      <c r="K237" s="212">
        <v>1.4806112322043319E-3</v>
      </c>
      <c r="L237" s="213">
        <v>-1.2453099610837959E-2</v>
      </c>
      <c r="M237" s="258"/>
      <c r="N237" s="257"/>
    </row>
    <row r="238" spans="1:14">
      <c r="A238" s="181" t="s">
        <v>105</v>
      </c>
      <c r="B238" s="209">
        <v>0.61828129795404607</v>
      </c>
      <c r="C238" s="209">
        <v>0.44349127277597444</v>
      </c>
      <c r="D238" s="209">
        <v>0.47706793056668984</v>
      </c>
      <c r="E238" s="209">
        <v>0.48585607223277549</v>
      </c>
      <c r="F238" s="209">
        <v>0.5345206090639244</v>
      </c>
      <c r="G238" s="209">
        <v>1.3293672002893107</v>
      </c>
      <c r="H238" s="211">
        <v>-2.1907494487042212E-2</v>
      </c>
      <c r="I238" s="212">
        <v>1.4703197900608922E-2</v>
      </c>
      <c r="J238" s="212">
        <v>3.6573798572989702E-3</v>
      </c>
      <c r="K238" s="212">
        <v>1.9274980373501727E-2</v>
      </c>
      <c r="L238" s="213">
        <v>4.6607940178492013E-2</v>
      </c>
      <c r="M238" s="258"/>
      <c r="N238" s="257"/>
    </row>
    <row r="239" spans="1:14">
      <c r="A239" s="181" t="s">
        <v>134</v>
      </c>
      <c r="B239" s="209">
        <v>0.23187851960987504</v>
      </c>
      <c r="C239" s="209">
        <v>0.34122197089421541</v>
      </c>
      <c r="D239" s="209">
        <v>0.47141796818446802</v>
      </c>
      <c r="E239" s="209">
        <v>0.57957328619773529</v>
      </c>
      <c r="F239" s="209">
        <v>0.60781576438640272</v>
      </c>
      <c r="G239" s="209">
        <v>0.40500654890806143</v>
      </c>
      <c r="H239" s="211">
        <v>2.6089155966032784E-2</v>
      </c>
      <c r="I239" s="212">
        <v>6.6777455177402079E-2</v>
      </c>
      <c r="J239" s="212">
        <v>4.2174507148687645E-2</v>
      </c>
      <c r="K239" s="212">
        <v>9.5613600365422879E-3</v>
      </c>
      <c r="L239" s="213">
        <v>-2.0093802750761336E-2</v>
      </c>
      <c r="M239" s="258"/>
      <c r="N239" s="257"/>
    </row>
    <row r="240" spans="1:14">
      <c r="A240" s="181" t="s">
        <v>135</v>
      </c>
      <c r="B240" s="209">
        <v>0</v>
      </c>
      <c r="C240" s="209">
        <v>4.5203000384551432E-2</v>
      </c>
      <c r="D240" s="209">
        <v>9.8601218835455459E-2</v>
      </c>
      <c r="E240" s="209">
        <v>0.13582199694526742</v>
      </c>
      <c r="F240" s="209">
        <v>0.15372765584619141</v>
      </c>
      <c r="G240" s="209">
        <v>0.11641782052141147</v>
      </c>
      <c r="H240" s="211"/>
      <c r="I240" s="212"/>
      <c r="J240" s="212"/>
      <c r="K240" s="212"/>
      <c r="L240" s="213"/>
      <c r="M240" s="259"/>
      <c r="N240" s="257"/>
    </row>
    <row r="241" spans="1:14">
      <c r="A241" s="181" t="s">
        <v>136</v>
      </c>
      <c r="B241" s="209">
        <v>0</v>
      </c>
      <c r="C241" s="209">
        <v>0.65450289692202979</v>
      </c>
      <c r="D241" s="209">
        <v>0.77520203102045482</v>
      </c>
      <c r="E241" s="209">
        <v>0.97547530856301168</v>
      </c>
      <c r="F241" s="209">
        <v>1.2035032724676886</v>
      </c>
      <c r="G241" s="209">
        <v>1.2915140966897503</v>
      </c>
      <c r="H241" s="211"/>
      <c r="I241" s="212"/>
      <c r="J241" s="212"/>
      <c r="K241" s="212"/>
      <c r="L241" s="213"/>
      <c r="M241" s="259"/>
      <c r="N241" s="257"/>
    </row>
    <row r="242" spans="1:14">
      <c r="A242" s="181"/>
      <c r="B242" s="182"/>
      <c r="C242" s="182"/>
      <c r="D242" s="182"/>
      <c r="E242" s="182"/>
      <c r="F242" s="182"/>
      <c r="G242" s="182"/>
      <c r="H242" s="211"/>
      <c r="I242" s="212"/>
      <c r="J242" s="212"/>
      <c r="K242" s="212"/>
      <c r="L242" s="213"/>
      <c r="N242" s="186"/>
    </row>
    <row r="243" spans="1:14" ht="15.75" thickBot="1">
      <c r="A243" s="190" t="s">
        <v>10</v>
      </c>
      <c r="B243" s="226">
        <v>9.3037991407357321</v>
      </c>
      <c r="C243" s="226">
        <v>9.7967066005804764</v>
      </c>
      <c r="D243" s="226">
        <v>8.8111494611042218</v>
      </c>
      <c r="E243" s="226">
        <v>7.7609912080261276</v>
      </c>
      <c r="F243" s="226">
        <v>6.6626634496136381</v>
      </c>
      <c r="G243" s="226">
        <v>4.5884891463066495</v>
      </c>
      <c r="H243" s="217">
        <v>3.4474917456241982E-3</v>
      </c>
      <c r="I243" s="218">
        <v>-2.0982413481280271E-2</v>
      </c>
      <c r="J243" s="218">
        <v>-2.5062164954301025E-2</v>
      </c>
      <c r="K243" s="218">
        <v>-3.0057170045617587E-2</v>
      </c>
      <c r="L243" s="219">
        <v>-1.8475619668650411E-2</v>
      </c>
      <c r="N243" s="186"/>
    </row>
    <row r="244" spans="1:14">
      <c r="A244" s="195"/>
      <c r="B244" s="171"/>
      <c r="C244" s="171"/>
      <c r="D244" s="171"/>
      <c r="E244" s="171"/>
      <c r="G244" s="245"/>
      <c r="N244" s="186"/>
    </row>
    <row r="245" spans="1:14">
      <c r="A245" s="195"/>
      <c r="B245" s="171"/>
      <c r="C245" s="171"/>
      <c r="D245" s="171"/>
      <c r="E245" s="171"/>
      <c r="N245" s="186"/>
    </row>
    <row r="246" spans="1:14" ht="16.5" thickBot="1">
      <c r="A246" s="91" t="s">
        <v>159</v>
      </c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N246" s="186"/>
    </row>
    <row r="247" spans="1:14" ht="15.75" thickBot="1">
      <c r="A247" s="235" t="s">
        <v>51</v>
      </c>
      <c r="B247" s="178">
        <v>2000</v>
      </c>
      <c r="C247" s="178">
        <v>2015</v>
      </c>
      <c r="D247" s="178">
        <v>2020</v>
      </c>
      <c r="E247" s="178">
        <v>2025</v>
      </c>
      <c r="F247" s="178">
        <v>2030</v>
      </c>
      <c r="G247" s="178">
        <v>2050</v>
      </c>
      <c r="H247" s="197" t="s">
        <v>98</v>
      </c>
      <c r="I247" s="198" t="s">
        <v>99</v>
      </c>
      <c r="J247" s="198" t="s">
        <v>100</v>
      </c>
      <c r="K247" s="198" t="s">
        <v>101</v>
      </c>
      <c r="L247" s="199" t="s">
        <v>102</v>
      </c>
      <c r="N247" s="186"/>
    </row>
    <row r="248" spans="1:14">
      <c r="A248" s="181" t="s">
        <v>103</v>
      </c>
      <c r="B248" s="209">
        <v>1.1289625980641464</v>
      </c>
      <c r="C248" s="209">
        <v>0.35281852880076614</v>
      </c>
      <c r="D248" s="209">
        <v>0.20736645218111671</v>
      </c>
      <c r="E248" s="209">
        <v>0.10211823700636513</v>
      </c>
      <c r="F248" s="209">
        <v>7.7309672216962055E-2</v>
      </c>
      <c r="G248" s="209">
        <v>3.203026567208795E-2</v>
      </c>
      <c r="H248" s="203">
        <v>-7.4610028539812023E-2</v>
      </c>
      <c r="I248" s="204">
        <v>-0.1008390809533678</v>
      </c>
      <c r="J248" s="204">
        <v>-0.13209345749852719</v>
      </c>
      <c r="K248" s="204">
        <v>-5.4141644411357603E-2</v>
      </c>
      <c r="L248" s="205">
        <v>-4.3100482826194386E-2</v>
      </c>
      <c r="N248" s="186"/>
    </row>
    <row r="249" spans="1:14">
      <c r="A249" s="181" t="s">
        <v>54</v>
      </c>
      <c r="B249" s="209">
        <v>1.6260404686125933</v>
      </c>
      <c r="C249" s="209">
        <v>1.0666428859092161</v>
      </c>
      <c r="D249" s="209">
        <v>0.84306502871388922</v>
      </c>
      <c r="E249" s="209">
        <v>0.63801674794827345</v>
      </c>
      <c r="F249" s="209">
        <v>0.50775048841012804</v>
      </c>
      <c r="G249" s="209">
        <v>0.16832836295731585</v>
      </c>
      <c r="H249" s="211">
        <v>-2.7717402091364196E-2</v>
      </c>
      <c r="I249" s="212">
        <v>-4.5955995368462066E-2</v>
      </c>
      <c r="J249" s="212">
        <v>-5.4211125776998381E-2</v>
      </c>
      <c r="K249" s="212">
        <v>-4.4647478608088487E-2</v>
      </c>
      <c r="L249" s="213">
        <v>-5.3707610105795056E-2</v>
      </c>
      <c r="N249" s="186"/>
    </row>
    <row r="250" spans="1:14">
      <c r="A250" s="181" t="s">
        <v>42</v>
      </c>
      <c r="B250" s="209">
        <v>4.3994870651448061E-2</v>
      </c>
      <c r="C250" s="209">
        <v>6.1426658136617469E-2</v>
      </c>
      <c r="D250" s="209">
        <v>0</v>
      </c>
      <c r="E250" s="209">
        <v>0</v>
      </c>
      <c r="F250" s="209">
        <v>0</v>
      </c>
      <c r="G250" s="209">
        <v>0</v>
      </c>
      <c r="H250" s="211">
        <v>2.2500799424380657E-2</v>
      </c>
      <c r="I250" s="212">
        <v>-1</v>
      </c>
      <c r="J250" s="212" t="e">
        <v>#DIV/0!</v>
      </c>
      <c r="K250" s="212" t="e">
        <v>#DIV/0!</v>
      </c>
      <c r="L250" s="213" t="e">
        <v>#DIV/0!</v>
      </c>
      <c r="N250" s="186"/>
    </row>
    <row r="251" spans="1:14">
      <c r="A251" s="181" t="s">
        <v>104</v>
      </c>
      <c r="B251" s="182">
        <v>0.69923815512136756</v>
      </c>
      <c r="C251" s="209">
        <v>1.4493025261096069</v>
      </c>
      <c r="D251" s="209">
        <v>1.7992583297912321</v>
      </c>
      <c r="E251" s="209">
        <v>1.8010839080573475</v>
      </c>
      <c r="F251" s="209">
        <v>1.7482147410498501</v>
      </c>
      <c r="G251" s="209">
        <v>1.483234503912906</v>
      </c>
      <c r="H251" s="211">
        <v>4.9789590454425658E-2</v>
      </c>
      <c r="I251" s="212">
        <v>4.4207707641105154E-2</v>
      </c>
      <c r="J251" s="212">
        <v>2.0284333531717103E-4</v>
      </c>
      <c r="K251" s="212">
        <v>-5.9409892249479013E-3</v>
      </c>
      <c r="L251" s="213">
        <v>-8.1848175086691732E-3</v>
      </c>
      <c r="N251" s="186"/>
    </row>
    <row r="252" spans="1:14">
      <c r="A252" s="181" t="s">
        <v>105</v>
      </c>
      <c r="B252" s="209">
        <v>0.23711870204595384</v>
      </c>
      <c r="C252" s="209">
        <v>9.0768489752955817E-2</v>
      </c>
      <c r="D252" s="209">
        <v>0.12243888327012509</v>
      </c>
      <c r="E252" s="209">
        <v>0.14023072642597245</v>
      </c>
      <c r="F252" s="209">
        <v>0.1144158367883642</v>
      </c>
      <c r="G252" s="209">
        <v>9.8343811686094851E-2</v>
      </c>
      <c r="H252" s="211">
        <v>-6.2010550714744039E-2</v>
      </c>
      <c r="I252" s="212">
        <v>6.168785676802746E-2</v>
      </c>
      <c r="J252" s="212">
        <v>2.7506942147243807E-2</v>
      </c>
      <c r="K252" s="212">
        <v>-3.9873201842772321E-2</v>
      </c>
      <c r="L252" s="213">
        <v>-7.5399251345754648E-3</v>
      </c>
      <c r="N252" s="186"/>
    </row>
    <row r="253" spans="1:14">
      <c r="A253" s="181" t="s">
        <v>134</v>
      </c>
      <c r="B253" s="209">
        <v>8.8921480390124985E-2</v>
      </c>
      <c r="C253" s="209">
        <v>0</v>
      </c>
      <c r="D253" s="209">
        <v>0</v>
      </c>
      <c r="E253" s="209">
        <v>0</v>
      </c>
      <c r="F253" s="209">
        <v>0</v>
      </c>
      <c r="G253" s="209">
        <v>0</v>
      </c>
      <c r="H253" s="211">
        <v>-1</v>
      </c>
      <c r="I253" s="212" t="e">
        <v>#DIV/0!</v>
      </c>
      <c r="J253" s="212" t="e">
        <v>#DIV/0!</v>
      </c>
      <c r="K253" s="212" t="e">
        <v>#DIV/0!</v>
      </c>
      <c r="L253" s="213" t="e">
        <v>#DIV/0!</v>
      </c>
      <c r="N253" s="186"/>
    </row>
    <row r="254" spans="1:14">
      <c r="A254" s="181" t="s">
        <v>135</v>
      </c>
      <c r="B254" s="209">
        <v>0</v>
      </c>
      <c r="C254" s="209">
        <v>4.7637255227254656E-2</v>
      </c>
      <c r="D254" s="209">
        <v>0.17538671311330201</v>
      </c>
      <c r="E254" s="209">
        <v>0.27725777640469929</v>
      </c>
      <c r="F254" s="209">
        <v>0.32589748131457796</v>
      </c>
      <c r="G254" s="209">
        <v>0.26969532605157076</v>
      </c>
      <c r="H254" s="211"/>
      <c r="I254" s="212"/>
      <c r="J254" s="212"/>
      <c r="K254" s="212"/>
      <c r="L254" s="213"/>
      <c r="N254" s="186"/>
    </row>
    <row r="255" spans="1:14">
      <c r="A255" s="181" t="s">
        <v>136</v>
      </c>
      <c r="B255" s="209">
        <v>0</v>
      </c>
      <c r="C255" s="209">
        <v>0.13508802262550523</v>
      </c>
      <c r="D255" s="209">
        <v>0.27147606234765886</v>
      </c>
      <c r="E255" s="209">
        <v>0.44817270420611521</v>
      </c>
      <c r="F255" s="209">
        <v>0.52852105884237166</v>
      </c>
      <c r="G255" s="209">
        <v>0.53095438697366792</v>
      </c>
      <c r="H255" s="211"/>
      <c r="I255" s="212"/>
      <c r="J255" s="212"/>
      <c r="K255" s="212"/>
      <c r="L255" s="213"/>
      <c r="N255" s="186"/>
    </row>
    <row r="256" spans="1:14">
      <c r="A256" s="181"/>
      <c r="B256" s="182"/>
      <c r="C256" s="182"/>
      <c r="D256" s="182"/>
      <c r="E256" s="243"/>
      <c r="F256" s="182"/>
      <c r="G256" s="182"/>
      <c r="H256" s="211" t="e">
        <v>#DIV/0!</v>
      </c>
      <c r="I256" s="212" t="e">
        <v>#DIV/0!</v>
      </c>
      <c r="J256" s="212" t="e">
        <v>#DIV/0!</v>
      </c>
      <c r="K256" s="212" t="e">
        <v>#DIV/0!</v>
      </c>
      <c r="L256" s="213" t="e">
        <v>#DIV/0!</v>
      </c>
      <c r="N256" s="186"/>
    </row>
    <row r="257" spans="1:14" ht="15.75" thickBot="1">
      <c r="A257" s="190" t="s">
        <v>10</v>
      </c>
      <c r="B257" s="226">
        <v>3.8242762748856345</v>
      </c>
      <c r="C257" s="226">
        <v>3.2036843665619221</v>
      </c>
      <c r="D257" s="226">
        <v>3.4189914694173242</v>
      </c>
      <c r="E257" s="226">
        <v>3.406880100048773</v>
      </c>
      <c r="F257" s="226">
        <v>3.3021092786222539</v>
      </c>
      <c r="G257" s="226">
        <v>2.5825866572536436</v>
      </c>
      <c r="H257" s="217">
        <v>-1.1735115266409246E-2</v>
      </c>
      <c r="I257" s="218">
        <v>1.3093803528589243E-2</v>
      </c>
      <c r="J257" s="218">
        <v>-7.0948215431976269E-4</v>
      </c>
      <c r="K257" s="218">
        <v>-6.2276286723228491E-3</v>
      </c>
      <c r="L257" s="219">
        <v>-1.2213302864828357E-2</v>
      </c>
      <c r="N257" s="186"/>
    </row>
    <row r="258" spans="1:14">
      <c r="A258" s="195"/>
      <c r="B258" s="171"/>
      <c r="C258" s="171"/>
      <c r="D258" s="171"/>
      <c r="E258" s="171"/>
    </row>
    <row r="259" spans="1:14">
      <c r="A259" s="195"/>
      <c r="B259" s="171"/>
      <c r="C259" s="171"/>
      <c r="D259" s="171"/>
      <c r="E259" s="171"/>
    </row>
    <row r="260" spans="1:14" ht="16.5" thickBot="1">
      <c r="A260" s="91" t="s">
        <v>160</v>
      </c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</row>
    <row r="261" spans="1:14" ht="15.75" thickBot="1">
      <c r="A261" s="177"/>
      <c r="B261" s="178">
        <v>2000</v>
      </c>
      <c r="C261" s="178">
        <v>2015</v>
      </c>
      <c r="D261" s="178">
        <v>2020</v>
      </c>
      <c r="E261" s="178">
        <v>2025</v>
      </c>
      <c r="F261" s="178">
        <v>2030</v>
      </c>
      <c r="G261" s="178">
        <v>2050</v>
      </c>
      <c r="H261" s="197" t="s">
        <v>98</v>
      </c>
      <c r="I261" s="198" t="s">
        <v>99</v>
      </c>
      <c r="J261" s="198" t="s">
        <v>100</v>
      </c>
      <c r="K261" s="198" t="s">
        <v>101</v>
      </c>
      <c r="L261" s="199" t="s">
        <v>102</v>
      </c>
    </row>
    <row r="262" spans="1:14">
      <c r="A262" s="181" t="s">
        <v>161</v>
      </c>
      <c r="B262" s="250">
        <v>1.4720925580653493E-2</v>
      </c>
      <c r="C262" s="250">
        <v>1.3197148287904184E-2</v>
      </c>
      <c r="D262" s="250">
        <v>1.1715774520708567E-2</v>
      </c>
      <c r="E262" s="250">
        <v>1.0146302275750297E-2</v>
      </c>
      <c r="F262" s="250">
        <v>8.5924304405191488E-3</v>
      </c>
      <c r="G262" s="250">
        <v>4.751226240245562E-3</v>
      </c>
      <c r="H262" s="211">
        <v>-7.2581463688579095E-3</v>
      </c>
      <c r="I262" s="212">
        <v>-2.3531626519421089E-2</v>
      </c>
      <c r="J262" s="212">
        <v>-2.8355585747873335E-2</v>
      </c>
      <c r="K262" s="212">
        <v>-3.2698980077977446E-2</v>
      </c>
      <c r="L262" s="213">
        <v>-2.918945662625505E-2</v>
      </c>
    </row>
    <row r="263" spans="1:14">
      <c r="A263" s="181" t="s">
        <v>162</v>
      </c>
      <c r="B263" s="260">
        <v>17.813600000000001</v>
      </c>
      <c r="C263" s="260">
        <v>20.182164976284767</v>
      </c>
      <c r="D263" s="209">
        <v>20.667077912216154</v>
      </c>
      <c r="E263" s="209">
        <v>21.028815173946828</v>
      </c>
      <c r="F263" s="209">
        <v>21.396893568966835</v>
      </c>
      <c r="G263" s="209">
        <v>22.74711701186752</v>
      </c>
      <c r="H263" s="211">
        <v>8.3572001738927426E-3</v>
      </c>
      <c r="I263" s="212">
        <v>4.7598327296394238E-3</v>
      </c>
      <c r="J263" s="212">
        <v>3.4763592025344181E-3</v>
      </c>
      <c r="K263" s="212">
        <v>3.4764494492369735E-3</v>
      </c>
      <c r="L263" s="213">
        <v>3.064318527203902E-3</v>
      </c>
    </row>
    <row r="264" spans="1:14">
      <c r="A264" s="181" t="s">
        <v>163</v>
      </c>
      <c r="B264" s="261">
        <v>1.123704798813266</v>
      </c>
      <c r="C264" s="261">
        <v>1.0880826919717681</v>
      </c>
      <c r="D264" s="261">
        <v>1.0235111832807136</v>
      </c>
      <c r="E264" s="261">
        <v>0.92833443804514326</v>
      </c>
      <c r="F264" s="261">
        <v>0.82857199838845796</v>
      </c>
      <c r="G264" s="261">
        <v>0.60929562608320664</v>
      </c>
      <c r="H264" s="211">
        <v>-2.145291118172632E-3</v>
      </c>
      <c r="I264" s="212">
        <v>-1.2161068503894756E-2</v>
      </c>
      <c r="J264" s="212">
        <v>-1.9331165158876451E-2</v>
      </c>
      <c r="K264" s="212">
        <v>-2.2481111171536283E-2</v>
      </c>
      <c r="L264" s="213">
        <v>-1.5252492100283011E-2</v>
      </c>
    </row>
    <row r="265" spans="1:14" ht="15.75" thickBot="1">
      <c r="A265" s="190" t="s">
        <v>164</v>
      </c>
      <c r="B265" s="262">
        <v>6091.3135672827621</v>
      </c>
      <c r="C265" s="262">
        <v>6878.748937515842</v>
      </c>
      <c r="D265" s="262">
        <v>6891.9180929491022</v>
      </c>
      <c r="E265" s="262">
        <v>6436.5341471956854</v>
      </c>
      <c r="F265" s="262">
        <v>5982.4775718982764</v>
      </c>
      <c r="G265" s="262">
        <v>4772.6791266766377</v>
      </c>
      <c r="H265" s="217">
        <v>8.1378029674539221E-3</v>
      </c>
      <c r="I265" s="218">
        <v>3.8260103232778953E-4</v>
      </c>
      <c r="J265" s="218">
        <v>-1.357880780139642E-2</v>
      </c>
      <c r="K265" s="218">
        <v>-1.4524571275075115E-2</v>
      </c>
      <c r="L265" s="219">
        <v>-1.12327849627748E-2</v>
      </c>
    </row>
    <row r="266" spans="1:14">
      <c r="A266" s="238"/>
      <c r="F266" s="170"/>
    </row>
    <row r="267" spans="1:14">
      <c r="F267" s="170"/>
      <c r="G267" s="212"/>
      <c r="H267" s="212"/>
      <c r="I267" s="212"/>
    </row>
    <row r="268" spans="1:14" ht="21">
      <c r="A268" s="78" t="s">
        <v>165</v>
      </c>
      <c r="B268" s="73"/>
      <c r="C268" s="73"/>
      <c r="D268" s="73"/>
      <c r="E268" s="73"/>
      <c r="F268" s="73"/>
      <c r="G268" s="239"/>
      <c r="H268" s="239"/>
      <c r="I268" s="239"/>
      <c r="J268" s="239"/>
      <c r="K268" s="239"/>
      <c r="L268" s="239"/>
    </row>
    <row r="269" spans="1:14" ht="21">
      <c r="A269" s="172"/>
      <c r="E269" s="196"/>
      <c r="F269" s="170"/>
      <c r="G269" s="170"/>
    </row>
    <row r="270" spans="1:14" ht="16.5" thickBot="1">
      <c r="A270" s="91" t="s">
        <v>166</v>
      </c>
      <c r="B270" s="81"/>
      <c r="C270" s="81"/>
      <c r="D270" s="81"/>
      <c r="E270" s="81"/>
      <c r="F270" s="81"/>
      <c r="G270" s="80"/>
      <c r="H270" s="80"/>
      <c r="I270" s="80"/>
      <c r="J270" s="80"/>
      <c r="K270" s="80"/>
      <c r="L270" s="80"/>
    </row>
    <row r="271" spans="1:14" ht="15.75" thickBot="1">
      <c r="A271" s="177"/>
      <c r="B271" s="178">
        <v>2000</v>
      </c>
      <c r="C271" s="178">
        <v>2015</v>
      </c>
      <c r="D271" s="178">
        <v>2020</v>
      </c>
      <c r="E271" s="178">
        <v>2025</v>
      </c>
      <c r="F271" s="178">
        <v>2030</v>
      </c>
      <c r="G271" s="178">
        <v>2050</v>
      </c>
      <c r="H271" s="197" t="s">
        <v>98</v>
      </c>
      <c r="I271" s="198" t="s">
        <v>99</v>
      </c>
      <c r="J271" s="198" t="s">
        <v>100</v>
      </c>
      <c r="K271" s="198" t="s">
        <v>101</v>
      </c>
      <c r="L271" s="199" t="s">
        <v>102</v>
      </c>
    </row>
    <row r="272" spans="1:14">
      <c r="A272" s="263" t="s">
        <v>167</v>
      </c>
      <c r="B272" s="264"/>
      <c r="C272" s="264"/>
      <c r="D272" s="264"/>
      <c r="E272" s="264"/>
      <c r="F272" s="264"/>
      <c r="G272" s="264"/>
      <c r="H272" s="265"/>
      <c r="I272" s="266"/>
      <c r="J272" s="266"/>
      <c r="K272" s="266"/>
      <c r="L272" s="267"/>
    </row>
    <row r="273" spans="1:15">
      <c r="A273" s="181" t="s">
        <v>168</v>
      </c>
      <c r="B273" s="268">
        <v>687.75139082118562</v>
      </c>
      <c r="C273" s="268">
        <v>729.41039110308895</v>
      </c>
      <c r="D273" s="268">
        <v>736.86472396822205</v>
      </c>
      <c r="E273" s="268">
        <v>732.23441232682694</v>
      </c>
      <c r="F273" s="268">
        <v>742.89450397264022</v>
      </c>
      <c r="G273" s="268">
        <v>815.82122751667885</v>
      </c>
      <c r="H273" s="211">
        <v>3.9283024521541421E-3</v>
      </c>
      <c r="I273" s="212">
        <v>2.03562936676982E-3</v>
      </c>
      <c r="J273" s="212">
        <v>-1.2599311509894351E-3</v>
      </c>
      <c r="K273" s="212">
        <v>2.8948520036853331E-3</v>
      </c>
      <c r="L273" s="213">
        <v>4.6930379180274429E-3</v>
      </c>
    </row>
    <row r="274" spans="1:15">
      <c r="A274" s="181" t="s">
        <v>169</v>
      </c>
      <c r="B274" s="268">
        <v>55.897287896679252</v>
      </c>
      <c r="C274" s="268">
        <v>71.178672922923482</v>
      </c>
      <c r="D274" s="268">
        <v>82.08586207956202</v>
      </c>
      <c r="E274" s="268">
        <v>86.297139713864055</v>
      </c>
      <c r="F274" s="268">
        <v>92.414884905488719</v>
      </c>
      <c r="G274" s="268">
        <v>121.79036470159761</v>
      </c>
      <c r="H274" s="211">
        <v>1.6242320283317069E-2</v>
      </c>
      <c r="I274" s="212">
        <v>2.8924942901046524E-2</v>
      </c>
      <c r="J274" s="212">
        <v>1.0056359931976733E-2</v>
      </c>
      <c r="K274" s="212">
        <v>1.3792572609656606E-2</v>
      </c>
      <c r="L274" s="213">
        <v>1.3896328033659699E-2</v>
      </c>
    </row>
    <row r="275" spans="1:15">
      <c r="A275" s="181" t="s">
        <v>170</v>
      </c>
      <c r="B275" s="268">
        <v>80.924999999999997</v>
      </c>
      <c r="C275" s="268">
        <v>104.51484495482742</v>
      </c>
      <c r="D275" s="268">
        <v>114.04164472797071</v>
      </c>
      <c r="E275" s="268">
        <v>123.70485770027287</v>
      </c>
      <c r="F275" s="268">
        <v>132.47934995950087</v>
      </c>
      <c r="G275" s="268">
        <v>187.42889571060383</v>
      </c>
      <c r="H275" s="211">
        <v>1.7200000000000104E-2</v>
      </c>
      <c r="I275" s="212">
        <v>1.760000000000006E-2</v>
      </c>
      <c r="J275" s="212">
        <v>1.639999999999997E-2</v>
      </c>
      <c r="K275" s="212">
        <v>1.3800000000000034E-2</v>
      </c>
      <c r="L275" s="213">
        <v>1.7500000000000071E-2</v>
      </c>
    </row>
    <row r="276" spans="1:15">
      <c r="A276" s="181" t="s">
        <v>171</v>
      </c>
      <c r="B276" s="268">
        <v>15.128</v>
      </c>
      <c r="C276" s="268">
        <v>14.2793192</v>
      </c>
      <c r="D276" s="268">
        <v>14.008528</v>
      </c>
      <c r="E276" s="268">
        <v>15.236921600000002</v>
      </c>
      <c r="F276" s="268">
        <v>15.9797064</v>
      </c>
      <c r="G276" s="268">
        <v>16.0387056</v>
      </c>
      <c r="H276" s="211">
        <v>-3.8416054578340741E-3</v>
      </c>
      <c r="I276" s="212">
        <v>-3.8218767042812463E-3</v>
      </c>
      <c r="J276" s="212">
        <v>1.6953150482852175E-2</v>
      </c>
      <c r="K276" s="212">
        <v>9.5650619982303731E-3</v>
      </c>
      <c r="L276" s="213">
        <v>1.842836643781709E-4</v>
      </c>
    </row>
    <row r="277" spans="1:15">
      <c r="A277" s="181"/>
      <c r="B277" s="268"/>
      <c r="C277" s="268"/>
      <c r="D277" s="268"/>
      <c r="E277" s="268"/>
      <c r="F277" s="268"/>
      <c r="G277" s="268"/>
      <c r="H277" s="211"/>
      <c r="I277" s="212"/>
      <c r="J277" s="212"/>
      <c r="K277" s="212"/>
      <c r="L277" s="213"/>
    </row>
    <row r="278" spans="1:15">
      <c r="A278" s="181"/>
      <c r="B278" s="268"/>
      <c r="C278" s="268"/>
      <c r="D278" s="268"/>
      <c r="E278" s="268"/>
      <c r="F278" s="268"/>
      <c r="G278" s="268"/>
      <c r="H278" s="211"/>
      <c r="I278" s="212"/>
      <c r="J278" s="212"/>
      <c r="K278" s="212"/>
      <c r="L278" s="213"/>
    </row>
    <row r="279" spans="1:15">
      <c r="A279" s="263" t="s">
        <v>172</v>
      </c>
      <c r="B279" s="269"/>
      <c r="C279" s="269"/>
      <c r="D279" s="269"/>
      <c r="E279" s="269"/>
      <c r="F279" s="269"/>
      <c r="G279" s="270"/>
      <c r="H279" s="211"/>
      <c r="I279" s="212"/>
      <c r="J279" s="212"/>
      <c r="K279" s="212"/>
      <c r="L279" s="213"/>
    </row>
    <row r="280" spans="1:15">
      <c r="A280" s="181" t="s">
        <v>173</v>
      </c>
      <c r="B280" s="268">
        <v>276.81829985708532</v>
      </c>
      <c r="C280" s="268">
        <v>281.44721010200101</v>
      </c>
      <c r="D280" s="268">
        <v>306.60600535469604</v>
      </c>
      <c r="E280" s="268">
        <v>315.81597618092042</v>
      </c>
      <c r="F280" s="268">
        <v>327.66328392764575</v>
      </c>
      <c r="G280" s="268">
        <v>395.61353246394816</v>
      </c>
      <c r="H280" s="211">
        <v>1.1061824031974865E-3</v>
      </c>
      <c r="I280" s="212">
        <v>1.7271182297544874E-2</v>
      </c>
      <c r="J280" s="212">
        <v>5.9367806257755174E-3</v>
      </c>
      <c r="K280" s="212">
        <v>7.3925545281789962E-3</v>
      </c>
      <c r="L280" s="213">
        <v>9.4670970691075329E-3</v>
      </c>
    </row>
    <row r="281" spans="1:15">
      <c r="A281" s="181" t="s">
        <v>170</v>
      </c>
      <c r="B281" s="268">
        <v>57.725999999999999</v>
      </c>
      <c r="C281" s="268">
        <v>34.251490960930241</v>
      </c>
      <c r="D281" s="268">
        <v>37.705319680602123</v>
      </c>
      <c r="E281" s="268">
        <v>38.503810606116687</v>
      </c>
      <c r="F281" s="268">
        <v>39.574377037568901</v>
      </c>
      <c r="G281" s="268">
        <v>43.551850725682037</v>
      </c>
      <c r="H281" s="211">
        <v>-3.4200000000000008E-2</v>
      </c>
      <c r="I281" s="212">
        <v>1.9400000000000084E-2</v>
      </c>
      <c r="J281" s="212">
        <v>4.1999999999999815E-3</v>
      </c>
      <c r="K281" s="212">
        <v>5.5000000000000604E-3</v>
      </c>
      <c r="L281" s="213">
        <v>4.7999999999999154E-3</v>
      </c>
    </row>
    <row r="282" spans="1:15">
      <c r="A282" s="181" t="s">
        <v>174</v>
      </c>
      <c r="B282" s="268">
        <v>7.2610000000000001</v>
      </c>
      <c r="C282" s="268">
        <v>7.4595365641569131</v>
      </c>
      <c r="D282" s="268">
        <v>7.9101591675526466</v>
      </c>
      <c r="E282" s="268">
        <v>7.7726969910686963</v>
      </c>
      <c r="F282" s="268">
        <v>8.0926323605670127</v>
      </c>
      <c r="G282" s="209">
        <v>8.7652451574738421</v>
      </c>
      <c r="H282" s="211">
        <v>1.8000000000000238E-3</v>
      </c>
      <c r="I282" s="212">
        <v>1.1800000000000033E-2</v>
      </c>
      <c r="J282" s="212">
        <v>-3.4999999999999476E-3</v>
      </c>
      <c r="K282" s="212">
        <v>8.0999999999999961E-3</v>
      </c>
      <c r="L282" s="213">
        <v>4.0000000000000036E-3</v>
      </c>
      <c r="O282" s="271"/>
    </row>
    <row r="283" spans="1:15">
      <c r="A283" s="181"/>
      <c r="B283" s="268"/>
      <c r="C283" s="268"/>
      <c r="D283" s="268"/>
      <c r="E283" s="268"/>
      <c r="F283" s="268"/>
      <c r="G283" s="268"/>
      <c r="H283" s="211"/>
      <c r="I283" s="212"/>
      <c r="J283" s="212"/>
      <c r="K283" s="212"/>
      <c r="L283" s="213"/>
    </row>
    <row r="284" spans="1:15">
      <c r="A284" s="181" t="s">
        <v>175</v>
      </c>
      <c r="B284" s="268">
        <v>397.56713730341966</v>
      </c>
      <c r="C284" s="268">
        <v>443.38361868767186</v>
      </c>
      <c r="D284" s="268">
        <v>448.6238806503635</v>
      </c>
      <c r="E284" s="268">
        <v>442.9998259585135</v>
      </c>
      <c r="F284" s="268">
        <v>432.99790404653504</v>
      </c>
      <c r="G284" s="268">
        <v>431.24073766607404</v>
      </c>
      <c r="H284" s="211">
        <v>7.2979366165732973E-3</v>
      </c>
      <c r="I284" s="212">
        <v>2.3526637143203022E-3</v>
      </c>
      <c r="J284" s="212">
        <v>-2.519915114473914E-3</v>
      </c>
      <c r="K284" s="212">
        <v>-4.5568837004187346E-3</v>
      </c>
      <c r="L284" s="213">
        <v>-2.0329919254025164E-4</v>
      </c>
    </row>
    <row r="285" spans="1:15" ht="15.75" thickBot="1">
      <c r="A285" s="241"/>
      <c r="B285" s="272"/>
      <c r="C285" s="272"/>
      <c r="D285" s="272"/>
      <c r="E285" s="272"/>
      <c r="F285" s="272"/>
      <c r="G285" s="272"/>
      <c r="H285" s="217"/>
      <c r="I285" s="218"/>
      <c r="J285" s="218"/>
      <c r="K285" s="218"/>
      <c r="L285" s="219"/>
    </row>
    <row r="286" spans="1:15">
      <c r="A286" s="195"/>
      <c r="B286" s="273"/>
      <c r="C286" s="273"/>
      <c r="D286" s="273"/>
      <c r="E286" s="273"/>
      <c r="F286" s="273"/>
      <c r="G286" s="273"/>
    </row>
    <row r="287" spans="1:15">
      <c r="A287" s="195"/>
      <c r="B287" s="273"/>
      <c r="C287" s="273"/>
      <c r="D287" s="274"/>
      <c r="E287" s="274"/>
      <c r="F287" s="274"/>
      <c r="G287" s="274"/>
    </row>
    <row r="288" spans="1:15" ht="16.5" thickBot="1">
      <c r="A288" s="91" t="s">
        <v>176</v>
      </c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</row>
    <row r="289" spans="1:13" ht="15.75" thickBot="1">
      <c r="A289" s="177" t="s">
        <v>51</v>
      </c>
      <c r="B289" s="178">
        <v>2000</v>
      </c>
      <c r="C289" s="178">
        <v>2015</v>
      </c>
      <c r="D289" s="178">
        <v>2020</v>
      </c>
      <c r="E289" s="178">
        <v>2025</v>
      </c>
      <c r="F289" s="178">
        <v>2030</v>
      </c>
      <c r="G289" s="178">
        <v>2050</v>
      </c>
      <c r="H289" s="197" t="s">
        <v>98</v>
      </c>
      <c r="I289" s="198" t="s">
        <v>99</v>
      </c>
      <c r="J289" s="198" t="s">
        <v>100</v>
      </c>
      <c r="K289" s="198" t="s">
        <v>101</v>
      </c>
      <c r="L289" s="199" t="s">
        <v>102</v>
      </c>
    </row>
    <row r="290" spans="1:13">
      <c r="A290" s="181" t="s">
        <v>177</v>
      </c>
      <c r="B290" s="209">
        <v>13.997119781533799</v>
      </c>
      <c r="C290" s="209">
        <v>6.633712033891916</v>
      </c>
      <c r="D290" s="209">
        <v>7.5967524367214434</v>
      </c>
      <c r="E290" s="209">
        <v>7.9367541993999904</v>
      </c>
      <c r="F290" s="209">
        <v>7.3616921669801201</v>
      </c>
      <c r="G290" s="209">
        <v>0.70284517859871498</v>
      </c>
      <c r="H290" s="203">
        <v>-4.8560460379067139E-2</v>
      </c>
      <c r="I290" s="204">
        <v>2.7482116744335539E-2</v>
      </c>
      <c r="J290" s="204">
        <v>8.7951632835900906E-3</v>
      </c>
      <c r="K290" s="204">
        <v>-1.4930336626109986E-2</v>
      </c>
      <c r="L290" s="205">
        <v>-0.1108109603663463</v>
      </c>
      <c r="M290" s="206"/>
    </row>
    <row r="291" spans="1:13">
      <c r="A291" s="181" t="s">
        <v>178</v>
      </c>
      <c r="B291" s="209">
        <v>26.535790998485542</v>
      </c>
      <c r="C291" s="209">
        <v>33.023020664284907</v>
      </c>
      <c r="D291" s="209">
        <v>30.791747936576474</v>
      </c>
      <c r="E291" s="209">
        <v>25.653803520011174</v>
      </c>
      <c r="F291" s="209">
        <v>20.956568236101596</v>
      </c>
      <c r="G291" s="209">
        <v>2.7528416383164336</v>
      </c>
      <c r="H291" s="211">
        <v>1.4687516164497039E-2</v>
      </c>
      <c r="I291" s="212">
        <v>-1.3894208811641939E-2</v>
      </c>
      <c r="J291" s="212">
        <v>-3.5852489404619825E-2</v>
      </c>
      <c r="K291" s="212">
        <v>-3.9640846091020476E-2</v>
      </c>
      <c r="L291" s="213">
        <v>-9.6510617718959413E-2</v>
      </c>
      <c r="M291" s="206"/>
    </row>
    <row r="292" spans="1:13">
      <c r="A292" s="181" t="s">
        <v>179</v>
      </c>
      <c r="B292" s="209">
        <v>1.783802992</v>
      </c>
      <c r="C292" s="209">
        <v>1.4800001152067952</v>
      </c>
      <c r="D292" s="209">
        <v>1.4795186667792544</v>
      </c>
      <c r="E292" s="209">
        <v>1.530024051708708</v>
      </c>
      <c r="F292" s="209">
        <v>1.5684339680142472</v>
      </c>
      <c r="G292" s="209">
        <v>1.5127612269015085</v>
      </c>
      <c r="H292" s="211">
        <v>-1.2369884935951925E-2</v>
      </c>
      <c r="I292" s="212">
        <v>-6.5069060666167466E-5</v>
      </c>
      <c r="J292" s="212">
        <v>6.7359140300744524E-3</v>
      </c>
      <c r="K292" s="212">
        <v>4.9711541088124367E-3</v>
      </c>
      <c r="L292" s="213">
        <v>-1.8054203114803435E-3</v>
      </c>
      <c r="M292" s="206"/>
    </row>
    <row r="293" spans="1:13">
      <c r="A293" s="181" t="s">
        <v>180</v>
      </c>
      <c r="B293" s="209">
        <v>0.20852249504211356</v>
      </c>
      <c r="C293" s="209">
        <v>0.1200903498671754</v>
      </c>
      <c r="D293" s="209">
        <v>0.12568131335823352</v>
      </c>
      <c r="E293" s="209">
        <v>0.1313426898913192</v>
      </c>
      <c r="F293" s="209">
        <v>-1.6390543817852597E-3</v>
      </c>
      <c r="G293" s="209">
        <v>1.1109676647870722E-3</v>
      </c>
      <c r="H293" s="211">
        <v>-3.6118422355186475E-2</v>
      </c>
      <c r="I293" s="212">
        <v>9.1425539228615627E-3</v>
      </c>
      <c r="J293" s="212">
        <v>8.8510241075989704E-3</v>
      </c>
      <c r="K293" s="212">
        <v>-1.4161381109390099</v>
      </c>
      <c r="L293" s="213" t="e">
        <v>#NUM!</v>
      </c>
      <c r="M293" s="206"/>
    </row>
    <row r="294" spans="1:13">
      <c r="A294" s="181" t="s">
        <v>181</v>
      </c>
      <c r="B294" s="209">
        <v>0</v>
      </c>
      <c r="C294" s="209">
        <v>8.4067737661287986E-2</v>
      </c>
      <c r="D294" s="209">
        <v>0.17718839974083389</v>
      </c>
      <c r="E294" s="209">
        <v>0.45902890397400081</v>
      </c>
      <c r="F294" s="209">
        <v>0.93047307809883106</v>
      </c>
      <c r="G294" s="209">
        <v>3.6028639370370201</v>
      </c>
      <c r="H294" s="211"/>
      <c r="I294" s="212">
        <v>0.16081011856725658</v>
      </c>
      <c r="J294" s="212">
        <v>0.20970910495476347</v>
      </c>
      <c r="K294" s="212">
        <v>0.15178854719978596</v>
      </c>
      <c r="L294" s="213">
        <v>7.0033076020741269E-2</v>
      </c>
      <c r="M294" s="206"/>
    </row>
    <row r="295" spans="1:13">
      <c r="A295" s="181" t="s">
        <v>104</v>
      </c>
      <c r="B295" s="209">
        <v>0.80670000000000019</v>
      </c>
      <c r="C295" s="209">
        <v>0.89186890806551777</v>
      </c>
      <c r="D295" s="209">
        <v>1.2132873417692334</v>
      </c>
      <c r="E295" s="209">
        <v>2.0656497694386395</v>
      </c>
      <c r="F295" s="209">
        <v>3.1050811964351928</v>
      </c>
      <c r="G295" s="209">
        <v>8.1245524383179717</v>
      </c>
      <c r="H295" s="211">
        <v>6.7135895005314694E-3</v>
      </c>
      <c r="I295" s="212">
        <v>6.3487840029791798E-2</v>
      </c>
      <c r="J295" s="212">
        <v>0.11229146425059078</v>
      </c>
      <c r="K295" s="212">
        <v>8.4933837645329913E-2</v>
      </c>
      <c r="L295" s="213">
        <v>4.92677488585469E-2</v>
      </c>
      <c r="M295" s="206"/>
    </row>
    <row r="296" spans="1:13">
      <c r="A296" s="181" t="s">
        <v>109</v>
      </c>
      <c r="B296" s="209">
        <v>0</v>
      </c>
      <c r="C296" s="209">
        <v>0</v>
      </c>
      <c r="D296" s="209">
        <v>0</v>
      </c>
      <c r="E296" s="209">
        <v>0</v>
      </c>
      <c r="F296" s="209">
        <v>0</v>
      </c>
      <c r="G296" s="209">
        <v>8.5984522785898534E-2</v>
      </c>
      <c r="H296" s="211"/>
      <c r="I296" s="212"/>
      <c r="J296" s="212"/>
      <c r="K296" s="212"/>
      <c r="L296" s="213"/>
      <c r="M296" s="206"/>
    </row>
    <row r="297" spans="1:13">
      <c r="A297" s="181"/>
      <c r="B297" s="182"/>
      <c r="C297" s="182"/>
      <c r="D297" s="182"/>
      <c r="E297" s="182"/>
      <c r="F297" s="182"/>
      <c r="G297" s="182"/>
      <c r="H297" s="211"/>
      <c r="I297" s="212"/>
      <c r="J297" s="212"/>
      <c r="K297" s="212"/>
      <c r="L297" s="213"/>
    </row>
    <row r="298" spans="1:13" ht="15.75" thickBot="1">
      <c r="A298" s="190" t="s">
        <v>10</v>
      </c>
      <c r="B298" s="226">
        <v>43.331936267061451</v>
      </c>
      <c r="C298" s="226">
        <v>42.232759808977598</v>
      </c>
      <c r="D298" s="226">
        <v>41.384176094945474</v>
      </c>
      <c r="E298" s="226">
        <v>37.776603134423837</v>
      </c>
      <c r="F298" s="226">
        <v>33.920609591248201</v>
      </c>
      <c r="G298" s="226">
        <v>16.782959909622335</v>
      </c>
      <c r="H298" s="217">
        <v>-1.7114473081362158E-3</v>
      </c>
      <c r="I298" s="218">
        <v>-4.0512974285620285E-3</v>
      </c>
      <c r="J298" s="218">
        <v>-1.8076355074965966E-2</v>
      </c>
      <c r="K298" s="218">
        <v>-2.1303243667912919E-2</v>
      </c>
      <c r="L298" s="219">
        <v>-3.4571210691747067E-2</v>
      </c>
      <c r="M298" s="186"/>
    </row>
    <row r="299" spans="1:13">
      <c r="A299" s="195"/>
      <c r="B299" s="171"/>
      <c r="C299" s="171"/>
      <c r="D299" s="171"/>
      <c r="E299" s="254"/>
      <c r="F299" s="254"/>
      <c r="M299" s="222"/>
    </row>
    <row r="300" spans="1:13">
      <c r="A300" s="195"/>
      <c r="B300" s="171"/>
      <c r="C300" s="171"/>
      <c r="D300" s="171"/>
      <c r="E300" s="254"/>
      <c r="F300" s="254"/>
    </row>
    <row r="301" spans="1:13" ht="16.5" thickBot="1">
      <c r="A301" s="91" t="s">
        <v>182</v>
      </c>
      <c r="B301" s="80"/>
      <c r="C301" s="80"/>
      <c r="D301" s="80"/>
      <c r="E301" s="275"/>
      <c r="F301" s="275"/>
      <c r="G301" s="275"/>
      <c r="H301" s="80"/>
      <c r="I301" s="80"/>
      <c r="J301" s="80"/>
      <c r="K301" s="80"/>
      <c r="L301" s="80"/>
    </row>
    <row r="302" spans="1:13" ht="15.75" thickBot="1">
      <c r="A302" s="177" t="s">
        <v>51</v>
      </c>
      <c r="B302" s="178">
        <v>2000</v>
      </c>
      <c r="C302" s="178">
        <v>2015</v>
      </c>
      <c r="D302" s="178">
        <v>2020</v>
      </c>
      <c r="E302" s="178">
        <v>2025</v>
      </c>
      <c r="F302" s="178">
        <v>2030</v>
      </c>
      <c r="G302" s="178">
        <v>2050</v>
      </c>
      <c r="H302" s="197" t="s">
        <v>98</v>
      </c>
      <c r="I302" s="198" t="s">
        <v>99</v>
      </c>
      <c r="J302" s="198" t="s">
        <v>100</v>
      </c>
      <c r="K302" s="198" t="s">
        <v>101</v>
      </c>
      <c r="L302" s="199" t="s">
        <v>102</v>
      </c>
    </row>
    <row r="303" spans="1:13">
      <c r="A303" s="181" t="s">
        <v>183</v>
      </c>
      <c r="B303" s="182">
        <v>39.905836568061453</v>
      </c>
      <c r="C303" s="182">
        <v>39.276537560229386</v>
      </c>
      <c r="D303" s="182">
        <v>38.380587442549967</v>
      </c>
      <c r="E303" s="182">
        <v>34.722891807419558</v>
      </c>
      <c r="F303" s="182">
        <v>30.817366953640541</v>
      </c>
      <c r="G303" s="182">
        <v>13.822431129824748</v>
      </c>
      <c r="H303" s="203">
        <v>-1.0591228097824867E-3</v>
      </c>
      <c r="I303" s="204">
        <v>-4.6044738636766835E-3</v>
      </c>
      <c r="J303" s="204">
        <v>-1.9831245959978649E-2</v>
      </c>
      <c r="K303" s="204">
        <v>-2.358165916746735E-2</v>
      </c>
      <c r="L303" s="205">
        <v>-3.929633997209192E-2</v>
      </c>
    </row>
    <row r="304" spans="1:13">
      <c r="A304" s="181" t="s">
        <v>184</v>
      </c>
      <c r="B304" s="209">
        <v>1.1697000000000002</v>
      </c>
      <c r="C304" s="209">
        <v>1.0153676350927754</v>
      </c>
      <c r="D304" s="209">
        <v>1.0772329466562085</v>
      </c>
      <c r="E304" s="209">
        <v>1.1257957226916904</v>
      </c>
      <c r="F304" s="209">
        <v>1.1633620850321045</v>
      </c>
      <c r="G304" s="209">
        <v>1.231147369555037</v>
      </c>
      <c r="H304" s="211">
        <v>-9.3887516254735903E-3</v>
      </c>
      <c r="I304" s="212">
        <v>1.1899222699643497E-2</v>
      </c>
      <c r="J304" s="212">
        <v>8.8578864839432558E-3</v>
      </c>
      <c r="K304" s="212">
        <v>6.5864091148477577E-3</v>
      </c>
      <c r="L304" s="213">
        <v>2.8356324809348799E-3</v>
      </c>
    </row>
    <row r="305" spans="1:14">
      <c r="A305" s="181" t="s">
        <v>185</v>
      </c>
      <c r="B305" s="209">
        <v>0.47259670699999995</v>
      </c>
      <c r="C305" s="209">
        <v>0.46085449844863591</v>
      </c>
      <c r="D305" s="209">
        <v>0.44683703896004329</v>
      </c>
      <c r="E305" s="209">
        <v>0.39789155260387177</v>
      </c>
      <c r="F305" s="209">
        <v>0.37144658456130919</v>
      </c>
      <c r="G305" s="209">
        <v>0.21662018334104061</v>
      </c>
      <c r="H305" s="211">
        <v>-1.6759290797919713E-3</v>
      </c>
      <c r="I305" s="212">
        <v>-6.1586392630241793E-3</v>
      </c>
      <c r="J305" s="212">
        <v>-2.2935777745134667E-2</v>
      </c>
      <c r="K305" s="212">
        <v>-1.3660717152266577E-2</v>
      </c>
      <c r="L305" s="213">
        <v>-2.660272192627311E-2</v>
      </c>
    </row>
    <row r="306" spans="1:14">
      <c r="A306" s="181" t="s">
        <v>186</v>
      </c>
      <c r="B306" s="209">
        <v>1.783802992</v>
      </c>
      <c r="C306" s="209">
        <v>1.4800001152067952</v>
      </c>
      <c r="D306" s="209">
        <v>1.4795186667792544</v>
      </c>
      <c r="E306" s="209">
        <v>1.530024051708708</v>
      </c>
      <c r="F306" s="209">
        <v>1.5684339680142472</v>
      </c>
      <c r="G306" s="209">
        <v>1.5127612269015085</v>
      </c>
      <c r="H306" s="211">
        <v>-1.2369884935951925E-2</v>
      </c>
      <c r="I306" s="212">
        <v>-6.5069060666167466E-5</v>
      </c>
      <c r="J306" s="212">
        <v>6.7359140300744524E-3</v>
      </c>
      <c r="K306" s="212">
        <v>4.9711541088124367E-3</v>
      </c>
      <c r="L306" s="213">
        <v>-1.8054203114803435E-3</v>
      </c>
    </row>
    <row r="307" spans="1:14">
      <c r="A307" s="181"/>
      <c r="B307" s="182"/>
      <c r="C307" s="182"/>
      <c r="D307" s="182"/>
      <c r="E307" s="182"/>
      <c r="F307" s="182"/>
      <c r="G307" s="182"/>
      <c r="H307" s="211"/>
      <c r="I307" s="212"/>
      <c r="J307" s="212"/>
      <c r="K307" s="212"/>
      <c r="L307" s="213"/>
    </row>
    <row r="308" spans="1:14" ht="15.75" thickBot="1">
      <c r="A308" s="241" t="s">
        <v>10</v>
      </c>
      <c r="B308" s="226">
        <v>43.331936267061451</v>
      </c>
      <c r="C308" s="226">
        <v>42.232759808977583</v>
      </c>
      <c r="D308" s="226">
        <v>41.384176094945474</v>
      </c>
      <c r="E308" s="226">
        <v>37.77660313442383</v>
      </c>
      <c r="F308" s="226">
        <v>33.920609591248201</v>
      </c>
      <c r="G308" s="226">
        <v>16.782959909622335</v>
      </c>
      <c r="H308" s="217">
        <v>-1.7114473081362158E-3</v>
      </c>
      <c r="I308" s="218">
        <v>-4.0512974285620285E-3</v>
      </c>
      <c r="J308" s="218">
        <v>-1.8076355074965966E-2</v>
      </c>
      <c r="K308" s="218">
        <v>-2.1303243667912808E-2</v>
      </c>
      <c r="L308" s="219">
        <v>-3.4571210691747067E-2</v>
      </c>
    </row>
    <row r="309" spans="1:14">
      <c r="A309" s="195"/>
      <c r="B309" s="276"/>
      <c r="C309" s="171"/>
      <c r="D309" s="171"/>
      <c r="E309" s="171"/>
    </row>
    <row r="310" spans="1:14">
      <c r="A310" s="195"/>
      <c r="B310" s="276"/>
      <c r="C310" s="171"/>
      <c r="D310" s="171"/>
      <c r="E310" s="171"/>
    </row>
    <row r="311" spans="1:14" ht="16.5" thickBot="1">
      <c r="A311" s="91" t="s">
        <v>187</v>
      </c>
      <c r="B311" s="277"/>
      <c r="C311" s="80"/>
      <c r="D311" s="80"/>
      <c r="E311" s="80"/>
      <c r="F311" s="80"/>
      <c r="G311" s="80"/>
      <c r="H311" s="80"/>
      <c r="I311" s="80"/>
      <c r="J311" s="80"/>
      <c r="K311" s="80"/>
      <c r="L311" s="80"/>
    </row>
    <row r="312" spans="1:14" ht="15.75" thickBot="1">
      <c r="A312" s="177" t="s">
        <v>51</v>
      </c>
      <c r="B312" s="178">
        <v>2000</v>
      </c>
      <c r="C312" s="178">
        <v>2015</v>
      </c>
      <c r="D312" s="178">
        <v>2020</v>
      </c>
      <c r="E312" s="178">
        <v>2025</v>
      </c>
      <c r="F312" s="178">
        <v>2030</v>
      </c>
      <c r="G312" s="178">
        <v>2050</v>
      </c>
      <c r="H312" s="197" t="s">
        <v>98</v>
      </c>
      <c r="I312" s="198" t="s">
        <v>99</v>
      </c>
      <c r="J312" s="198" t="s">
        <v>100</v>
      </c>
      <c r="K312" s="198" t="s">
        <v>101</v>
      </c>
      <c r="L312" s="199" t="s">
        <v>102</v>
      </c>
    </row>
    <row r="313" spans="1:14">
      <c r="A313" s="263" t="s">
        <v>188</v>
      </c>
      <c r="B313" s="182">
        <v>24.027286900070735</v>
      </c>
      <c r="C313" s="182">
        <v>23.4325016835943</v>
      </c>
      <c r="D313" s="182">
        <v>22.669323216049587</v>
      </c>
      <c r="E313" s="182">
        <v>20.099431800399458</v>
      </c>
      <c r="F313" s="182">
        <v>17.114729421604906</v>
      </c>
      <c r="G313" s="182">
        <v>5.4108673334362987</v>
      </c>
      <c r="H313" s="203">
        <v>-1.6696791447358139E-3</v>
      </c>
      <c r="I313" s="204">
        <v>-6.6004028423241046E-3</v>
      </c>
      <c r="J313" s="204">
        <v>-2.3776978330879994E-2</v>
      </c>
      <c r="K313" s="204">
        <v>-3.1639086548690742E-2</v>
      </c>
      <c r="L313" s="205">
        <v>-5.5950335102449733E-2</v>
      </c>
      <c r="N313" s="248"/>
    </row>
    <row r="314" spans="1:14">
      <c r="A314" s="181" t="s">
        <v>177</v>
      </c>
      <c r="B314" s="209">
        <v>13.39859269494649</v>
      </c>
      <c r="C314" s="209">
        <v>6.1177117087257047</v>
      </c>
      <c r="D314" s="209">
        <v>7.1420440176120765</v>
      </c>
      <c r="E314" s="209">
        <v>7.5510246343567768</v>
      </c>
      <c r="F314" s="209">
        <v>7.0493412936793911</v>
      </c>
      <c r="G314" s="209">
        <v>0.69666280639901523</v>
      </c>
      <c r="H314" s="211">
        <v>-5.0921821341770257E-2</v>
      </c>
      <c r="I314" s="212">
        <v>3.1446491688119638E-2</v>
      </c>
      <c r="J314" s="212">
        <v>1.1199096554230348E-2</v>
      </c>
      <c r="K314" s="212">
        <v>-1.3655720677873573E-2</v>
      </c>
      <c r="L314" s="213">
        <v>-0.10927487174323569</v>
      </c>
    </row>
    <row r="315" spans="1:14">
      <c r="A315" s="181" t="s">
        <v>178</v>
      </c>
      <c r="B315" s="209">
        <v>10.470294291485542</v>
      </c>
      <c r="C315" s="209">
        <v>17.168325513140932</v>
      </c>
      <c r="D315" s="209">
        <v>15.307326654560326</v>
      </c>
      <c r="E315" s="209">
        <v>11.752123581760772</v>
      </c>
      <c r="F315" s="209">
        <v>8.7753135908489099</v>
      </c>
      <c r="G315" s="209">
        <v>0.54710495232365219</v>
      </c>
      <c r="H315" s="211">
        <v>3.3517742695645003E-2</v>
      </c>
      <c r="I315" s="212">
        <v>-2.2685635126629244E-2</v>
      </c>
      <c r="J315" s="212">
        <v>-5.148675456623053E-2</v>
      </c>
      <c r="K315" s="212">
        <v>-5.6744689180459829E-2</v>
      </c>
      <c r="L315" s="213">
        <v>-0.12955687383007697</v>
      </c>
    </row>
    <row r="316" spans="1:14">
      <c r="A316" s="181" t="s">
        <v>180</v>
      </c>
      <c r="B316" s="209">
        <v>0.15839991363870282</v>
      </c>
      <c r="C316" s="209">
        <v>0.12975433441982281</v>
      </c>
      <c r="D316" s="209">
        <v>0.1315280240125852</v>
      </c>
      <c r="E316" s="209">
        <v>0.13487994983720197</v>
      </c>
      <c r="F316" s="209">
        <v>5.0098788547381715E-4</v>
      </c>
      <c r="G316" s="209">
        <v>-1.3025685022319245E-4</v>
      </c>
      <c r="H316" s="211">
        <v>-1.3210630531568235E-2</v>
      </c>
      <c r="I316" s="212">
        <v>2.7190924149946838E-3</v>
      </c>
      <c r="J316" s="212">
        <v>5.0457236189127563E-3</v>
      </c>
      <c r="K316" s="212">
        <v>-0.67343024104122451</v>
      </c>
      <c r="L316" s="213" t="e">
        <v>#NUM!</v>
      </c>
    </row>
    <row r="317" spans="1:14">
      <c r="A317" s="181" t="s">
        <v>181</v>
      </c>
      <c r="B317" s="209">
        <v>0</v>
      </c>
      <c r="C317" s="209">
        <v>0</v>
      </c>
      <c r="D317" s="209">
        <v>0</v>
      </c>
      <c r="E317" s="209">
        <v>0</v>
      </c>
      <c r="F317" s="209">
        <v>0</v>
      </c>
      <c r="G317" s="209">
        <v>0</v>
      </c>
      <c r="H317" s="211"/>
      <c r="I317" s="212"/>
      <c r="J317" s="212"/>
      <c r="K317" s="212"/>
      <c r="L317" s="213"/>
    </row>
    <row r="318" spans="1:14">
      <c r="A318" s="181" t="s">
        <v>109</v>
      </c>
      <c r="B318" s="209">
        <v>0</v>
      </c>
      <c r="C318" s="209">
        <v>0</v>
      </c>
      <c r="D318" s="209">
        <v>0</v>
      </c>
      <c r="E318" s="209">
        <v>0</v>
      </c>
      <c r="F318" s="209">
        <v>0</v>
      </c>
      <c r="G318" s="209">
        <v>0</v>
      </c>
      <c r="H318" s="211"/>
      <c r="I318" s="212"/>
      <c r="J318" s="212"/>
      <c r="K318" s="212"/>
      <c r="L318" s="213"/>
    </row>
    <row r="319" spans="1:14">
      <c r="A319" s="181" t="s">
        <v>104</v>
      </c>
      <c r="B319" s="209">
        <v>0</v>
      </c>
      <c r="C319" s="209">
        <v>1.671012730784175E-2</v>
      </c>
      <c r="D319" s="209">
        <v>8.8424519864598664E-2</v>
      </c>
      <c r="E319" s="209">
        <v>0.66140363444470751</v>
      </c>
      <c r="F319" s="209">
        <v>1.2895735491911335</v>
      </c>
      <c r="G319" s="209">
        <v>4.1672298315638541</v>
      </c>
      <c r="H319" s="211"/>
      <c r="I319" s="212"/>
      <c r="J319" s="212"/>
      <c r="K319" s="212"/>
      <c r="L319" s="213"/>
    </row>
    <row r="320" spans="1:14">
      <c r="A320" s="181"/>
      <c r="B320" s="182"/>
      <c r="C320" s="182"/>
      <c r="D320" s="182"/>
      <c r="E320" s="182"/>
      <c r="F320" s="182"/>
      <c r="G320" s="244"/>
      <c r="H320" s="211"/>
      <c r="I320" s="212"/>
      <c r="J320" s="212"/>
      <c r="K320" s="212"/>
      <c r="L320" s="213"/>
    </row>
    <row r="321" spans="1:12">
      <c r="A321" s="263" t="s">
        <v>189</v>
      </c>
      <c r="B321" s="182">
        <v>14.86224967499072</v>
      </c>
      <c r="C321" s="182">
        <v>14.368939626568473</v>
      </c>
      <c r="D321" s="182">
        <v>14.222377683676331</v>
      </c>
      <c r="E321" s="182">
        <v>13.205309382739225</v>
      </c>
      <c r="F321" s="182">
        <v>12.385410509510248</v>
      </c>
      <c r="G321" s="182">
        <v>7.4779451697917185</v>
      </c>
      <c r="H321" s="211">
        <v>-2.2478373250710559E-3</v>
      </c>
      <c r="I321" s="212">
        <v>-2.0483570847040777E-3</v>
      </c>
      <c r="J321" s="212">
        <v>-1.4729965365314568E-2</v>
      </c>
      <c r="K321" s="212">
        <v>-1.273812775691141E-2</v>
      </c>
      <c r="L321" s="213">
        <v>-2.4912490022039324E-2</v>
      </c>
    </row>
    <row r="322" spans="1:12">
      <c r="A322" s="181" t="s">
        <v>177</v>
      </c>
      <c r="B322" s="209">
        <v>0.25552709358730952</v>
      </c>
      <c r="C322" s="209">
        <v>-4.9267412333288491E-2</v>
      </c>
      <c r="D322" s="209">
        <v>-2.9806784461639351E-2</v>
      </c>
      <c r="E322" s="209">
        <v>-1.8033104599291742E-2</v>
      </c>
      <c r="F322" s="209">
        <v>-1.0659262413274266E-2</v>
      </c>
      <c r="G322" s="209">
        <v>6.1823721996996997E-3</v>
      </c>
      <c r="H322" s="211"/>
      <c r="I322" s="212"/>
      <c r="J322" s="212"/>
      <c r="K322" s="212"/>
      <c r="L322" s="213"/>
    </row>
    <row r="323" spans="1:12">
      <c r="A323" s="181" t="s">
        <v>178</v>
      </c>
      <c r="B323" s="209">
        <v>14.5566</v>
      </c>
      <c r="C323" s="209">
        <v>14.362068289648917</v>
      </c>
      <c r="D323" s="209">
        <v>14.059503679053124</v>
      </c>
      <c r="E323" s="209">
        <v>12.588420029470544</v>
      </c>
      <c r="F323" s="209">
        <v>10.988847813814505</v>
      </c>
      <c r="G323" s="209">
        <v>1.9155549180991991</v>
      </c>
      <c r="H323" s="211">
        <v>-8.9652551095531496E-4</v>
      </c>
      <c r="I323" s="212">
        <v>-4.2493456744144842E-3</v>
      </c>
      <c r="J323" s="212">
        <v>-2.1861739114521272E-2</v>
      </c>
      <c r="K323" s="212">
        <v>-2.6813251452596498E-2</v>
      </c>
      <c r="L323" s="213">
        <v>-8.3637892367373845E-2</v>
      </c>
    </row>
    <row r="324" spans="1:12">
      <c r="A324" s="181" t="s">
        <v>180</v>
      </c>
      <c r="B324" s="209">
        <v>5.0122581403410749E-2</v>
      </c>
      <c r="C324" s="209">
        <v>-9.6639845526474196E-3</v>
      </c>
      <c r="D324" s="209">
        <v>-5.8467106543516889E-3</v>
      </c>
      <c r="E324" s="209">
        <v>-3.5372599458827715E-3</v>
      </c>
      <c r="F324" s="209">
        <v>-2.1400422672590768E-3</v>
      </c>
      <c r="G324" s="209">
        <v>1.2412245150102647E-3</v>
      </c>
      <c r="H324" s="211"/>
      <c r="I324" s="212"/>
      <c r="J324" s="212"/>
      <c r="K324" s="212"/>
      <c r="L324" s="213"/>
    </row>
    <row r="325" spans="1:12">
      <c r="A325" s="181" t="s">
        <v>181</v>
      </c>
      <c r="B325" s="209">
        <v>0</v>
      </c>
      <c r="C325" s="209">
        <v>6.5802733805491412E-2</v>
      </c>
      <c r="D325" s="209">
        <v>0.14075633870386173</v>
      </c>
      <c r="E325" s="209">
        <v>0.40559760229326686</v>
      </c>
      <c r="F325" s="209">
        <v>0.86469514683149262</v>
      </c>
      <c r="G325" s="209">
        <v>3.1713207480369392</v>
      </c>
      <c r="H325" s="211"/>
      <c r="I325" s="212"/>
      <c r="J325" s="212"/>
      <c r="K325" s="212"/>
      <c r="L325" s="213"/>
    </row>
    <row r="326" spans="1:12">
      <c r="A326" s="181" t="s">
        <v>109</v>
      </c>
      <c r="B326" s="209">
        <v>0</v>
      </c>
      <c r="C326" s="209">
        <v>0</v>
      </c>
      <c r="D326" s="209">
        <v>0</v>
      </c>
      <c r="E326" s="209">
        <v>0</v>
      </c>
      <c r="F326" s="209">
        <v>0</v>
      </c>
      <c r="G326" s="209">
        <v>4.2992261392949267E-2</v>
      </c>
      <c r="H326" s="211"/>
      <c r="I326" s="212"/>
      <c r="J326" s="212"/>
      <c r="K326" s="212"/>
      <c r="L326" s="213"/>
    </row>
    <row r="327" spans="1:12">
      <c r="A327" s="181" t="s">
        <v>104</v>
      </c>
      <c r="B327" s="209">
        <v>0</v>
      </c>
      <c r="C327" s="209">
        <v>0</v>
      </c>
      <c r="D327" s="209">
        <v>5.7771161035336138E-2</v>
      </c>
      <c r="E327" s="209">
        <v>0.23286211552059005</v>
      </c>
      <c r="F327" s="209">
        <v>0.54466685354478217</v>
      </c>
      <c r="G327" s="209">
        <v>2.340653645547921</v>
      </c>
      <c r="H327" s="211"/>
      <c r="I327" s="212"/>
      <c r="J327" s="212"/>
      <c r="K327" s="212"/>
      <c r="L327" s="213"/>
    </row>
    <row r="328" spans="1:12">
      <c r="A328" s="181"/>
      <c r="B328" s="182"/>
      <c r="C328" s="182"/>
      <c r="D328" s="182"/>
      <c r="E328" s="182"/>
      <c r="F328" s="182"/>
      <c r="G328" s="244"/>
      <c r="H328" s="211"/>
      <c r="I328" s="212"/>
      <c r="J328" s="212"/>
      <c r="K328" s="212"/>
      <c r="L328" s="213"/>
    </row>
    <row r="329" spans="1:12">
      <c r="A329" s="263" t="s">
        <v>190</v>
      </c>
      <c r="B329" s="182">
        <v>0.67330000000000001</v>
      </c>
      <c r="C329" s="182">
        <v>0.90982851256711905</v>
      </c>
      <c r="D329" s="182">
        <v>0.96311178453607604</v>
      </c>
      <c r="E329" s="182">
        <v>0.93186884520443769</v>
      </c>
      <c r="F329" s="182">
        <v>0.87043822266048954</v>
      </c>
      <c r="G329" s="182">
        <v>0.64480174357798292</v>
      </c>
      <c r="H329" s="211">
        <v>2.0273786312048125E-2</v>
      </c>
      <c r="I329" s="212">
        <v>1.1447699192846272E-2</v>
      </c>
      <c r="J329" s="212">
        <v>-6.573778312624845E-3</v>
      </c>
      <c r="K329" s="212">
        <v>-1.3546467813731922E-2</v>
      </c>
      <c r="L329" s="213">
        <v>-1.4890714964200025E-2</v>
      </c>
    </row>
    <row r="330" spans="1:12">
      <c r="A330" s="181" t="s">
        <v>177</v>
      </c>
      <c r="B330" s="209">
        <v>0</v>
      </c>
      <c r="C330" s="209">
        <v>0</v>
      </c>
      <c r="D330" s="209">
        <v>0</v>
      </c>
      <c r="E330" s="209">
        <v>0</v>
      </c>
      <c r="F330" s="209">
        <v>0</v>
      </c>
      <c r="G330" s="209">
        <v>0</v>
      </c>
      <c r="H330" s="211"/>
      <c r="I330" s="212"/>
      <c r="J330" s="212"/>
      <c r="K330" s="212"/>
      <c r="L330" s="213"/>
    </row>
    <row r="331" spans="1:12">
      <c r="A331" s="181" t="s">
        <v>178</v>
      </c>
      <c r="B331" s="253">
        <v>0.67330000000000001</v>
      </c>
      <c r="C331" s="253">
        <v>0.89156350871132251</v>
      </c>
      <c r="D331" s="209">
        <v>0.92413851077096154</v>
      </c>
      <c r="E331" s="209">
        <v>0.86835197973851841</v>
      </c>
      <c r="F331" s="209">
        <v>0.78216143938249383</v>
      </c>
      <c r="G331" s="209">
        <v>0.2179750401132351</v>
      </c>
      <c r="H331" s="211">
        <v>1.8895344811516779E-2</v>
      </c>
      <c r="I331" s="212">
        <v>7.2028750151427179E-3</v>
      </c>
      <c r="J331" s="212">
        <v>-1.2375747645057444E-2</v>
      </c>
      <c r="K331" s="212">
        <v>-2.0690154917806236E-2</v>
      </c>
      <c r="L331" s="213">
        <v>-6.1886213821090941E-2</v>
      </c>
    </row>
    <row r="332" spans="1:12">
      <c r="A332" s="181" t="s">
        <v>180</v>
      </c>
      <c r="B332" s="209">
        <v>0</v>
      </c>
      <c r="C332" s="209">
        <v>0</v>
      </c>
      <c r="D332" s="209">
        <v>0</v>
      </c>
      <c r="E332" s="209">
        <v>0</v>
      </c>
      <c r="F332" s="209">
        <v>0</v>
      </c>
      <c r="G332" s="209">
        <v>0</v>
      </c>
      <c r="H332" s="211"/>
      <c r="I332" s="212"/>
      <c r="J332" s="212"/>
      <c r="K332" s="212"/>
      <c r="L332" s="213"/>
    </row>
    <row r="333" spans="1:12">
      <c r="A333" s="181" t="s">
        <v>181</v>
      </c>
      <c r="B333" s="209">
        <v>0</v>
      </c>
      <c r="C333" s="253">
        <v>1.8265003855796574E-2</v>
      </c>
      <c r="D333" s="253">
        <v>3.6432061036972156E-2</v>
      </c>
      <c r="E333" s="209">
        <v>5.3431301680733942E-2</v>
      </c>
      <c r="F333" s="209">
        <v>6.5777931267338413E-2</v>
      </c>
      <c r="G333" s="209">
        <v>0.28712973343938736</v>
      </c>
      <c r="H333" s="211"/>
      <c r="I333" s="212">
        <v>0.1480817000629886</v>
      </c>
      <c r="J333" s="212">
        <v>7.959882378385208E-2</v>
      </c>
      <c r="K333" s="212">
        <v>4.2453978710176532E-2</v>
      </c>
      <c r="L333" s="213">
        <v>7.6464960445029595E-2</v>
      </c>
    </row>
    <row r="334" spans="1:12">
      <c r="A334" s="181" t="s">
        <v>109</v>
      </c>
      <c r="B334" s="209">
        <v>0</v>
      </c>
      <c r="C334" s="209">
        <v>0</v>
      </c>
      <c r="D334" s="209">
        <v>0</v>
      </c>
      <c r="E334" s="209">
        <v>0</v>
      </c>
      <c r="F334" s="209">
        <v>0</v>
      </c>
      <c r="G334" s="209">
        <v>0</v>
      </c>
      <c r="H334" s="211"/>
      <c r="I334" s="212"/>
      <c r="J334" s="212"/>
      <c r="K334" s="212"/>
      <c r="L334" s="213"/>
    </row>
    <row r="335" spans="1:12">
      <c r="A335" s="181" t="s">
        <v>104</v>
      </c>
      <c r="B335" s="209">
        <v>0</v>
      </c>
      <c r="C335" s="209">
        <v>0</v>
      </c>
      <c r="D335" s="209">
        <v>2.541212728142353E-3</v>
      </c>
      <c r="E335" s="209">
        <v>1.0085563785185377E-2</v>
      </c>
      <c r="F335" s="209">
        <v>2.2498852010657308E-2</v>
      </c>
      <c r="G335" s="209">
        <v>0.13969697002536055</v>
      </c>
      <c r="H335" s="211"/>
      <c r="I335" s="212"/>
      <c r="J335" s="212"/>
      <c r="K335" s="212"/>
      <c r="L335" s="213"/>
    </row>
    <row r="336" spans="1:12">
      <c r="A336" s="181"/>
      <c r="B336" s="182"/>
      <c r="C336" s="182"/>
      <c r="D336" s="182"/>
      <c r="E336" s="182"/>
      <c r="F336" s="182"/>
      <c r="G336" s="244"/>
      <c r="H336" s="211"/>
      <c r="I336" s="212"/>
      <c r="J336" s="212"/>
      <c r="K336" s="212"/>
      <c r="L336" s="213"/>
    </row>
    <row r="337" spans="1:12">
      <c r="A337" s="263" t="s">
        <v>191</v>
      </c>
      <c r="B337" s="253">
        <v>0.342999993</v>
      </c>
      <c r="C337" s="253">
        <v>0.56526773749949999</v>
      </c>
      <c r="D337" s="253">
        <v>0.52577475828797016</v>
      </c>
      <c r="E337" s="253">
        <v>0.48628177907643327</v>
      </c>
      <c r="F337" s="253">
        <v>0.44678879986489639</v>
      </c>
      <c r="G337" s="253">
        <v>0.28881688301874892</v>
      </c>
      <c r="H337" s="211">
        <v>3.3865411086703379E-2</v>
      </c>
      <c r="I337" s="212">
        <v>-1.4380909674792552E-2</v>
      </c>
      <c r="J337" s="212">
        <v>-1.5495619379813697E-2</v>
      </c>
      <c r="K337" s="212">
        <v>-1.6797767177459955E-2</v>
      </c>
      <c r="L337" s="213">
        <v>-2.1578437916988991E-2</v>
      </c>
    </row>
    <row r="338" spans="1:12">
      <c r="A338" s="181" t="s">
        <v>192</v>
      </c>
      <c r="B338" s="253">
        <v>0.342999993</v>
      </c>
      <c r="C338" s="253">
        <v>0.56526773749949999</v>
      </c>
      <c r="D338" s="253">
        <v>0.48451520357100597</v>
      </c>
      <c r="E338" s="253">
        <v>0.40376266964250501</v>
      </c>
      <c r="F338" s="253">
        <v>0.323010135714004</v>
      </c>
      <c r="G338" s="253">
        <v>0</v>
      </c>
      <c r="H338" s="211"/>
      <c r="I338" s="212"/>
      <c r="J338" s="212"/>
      <c r="K338" s="212"/>
      <c r="L338" s="213"/>
    </row>
    <row r="339" spans="1:12">
      <c r="A339" s="181" t="s">
        <v>104</v>
      </c>
      <c r="B339" s="253">
        <v>0</v>
      </c>
      <c r="C339" s="253">
        <v>0</v>
      </c>
      <c r="D339" s="253">
        <v>4.1259554716964186E-2</v>
      </c>
      <c r="E339" s="253">
        <v>8.2519109433928262E-2</v>
      </c>
      <c r="F339" s="253">
        <v>0.12377866415089239</v>
      </c>
      <c r="G339" s="253">
        <v>0.28881688301874892</v>
      </c>
      <c r="H339" s="211"/>
      <c r="I339" s="212"/>
      <c r="J339" s="212"/>
      <c r="K339" s="212"/>
      <c r="L339" s="213"/>
    </row>
    <row r="340" spans="1:12">
      <c r="A340" s="181"/>
      <c r="B340" s="182"/>
      <c r="C340" s="182"/>
      <c r="D340" s="182"/>
      <c r="E340" s="182"/>
      <c r="F340" s="182"/>
      <c r="G340" s="244"/>
      <c r="H340" s="211"/>
      <c r="I340" s="212"/>
      <c r="J340" s="212"/>
      <c r="K340" s="212"/>
      <c r="L340" s="213"/>
    </row>
    <row r="341" spans="1:12" ht="15.75" thickBot="1">
      <c r="A341" s="241" t="s">
        <v>193</v>
      </c>
      <c r="B341" s="226">
        <v>39.905836568061453</v>
      </c>
      <c r="C341" s="226">
        <v>39.276537560229386</v>
      </c>
      <c r="D341" s="226">
        <v>38.380587442549967</v>
      </c>
      <c r="E341" s="226">
        <v>34.722891807419558</v>
      </c>
      <c r="F341" s="226">
        <v>30.817366953640541</v>
      </c>
      <c r="G341" s="226">
        <v>13.822431129824748</v>
      </c>
      <c r="H341" s="217">
        <v>-1.0591228097824867E-3</v>
      </c>
      <c r="I341" s="218">
        <v>-4.6044738636766835E-3</v>
      </c>
      <c r="J341" s="218">
        <v>-1.9831245959978649E-2</v>
      </c>
      <c r="K341" s="218">
        <v>-2.358165916746735E-2</v>
      </c>
      <c r="L341" s="219">
        <v>-3.929633997209192E-2</v>
      </c>
    </row>
    <row r="342" spans="1:12">
      <c r="A342" s="195"/>
      <c r="B342" s="276"/>
      <c r="C342" s="171"/>
      <c r="D342" s="171"/>
      <c r="E342" s="171"/>
    </row>
    <row r="343" spans="1:12">
      <c r="A343" s="278"/>
      <c r="B343" s="276"/>
      <c r="C343" s="171"/>
      <c r="D343" s="171"/>
      <c r="E343" s="171"/>
    </row>
    <row r="344" spans="1:12" ht="16.5" thickBot="1">
      <c r="A344" s="91" t="s">
        <v>194</v>
      </c>
      <c r="B344" s="277"/>
      <c r="C344" s="80"/>
      <c r="D344" s="80"/>
      <c r="E344" s="80"/>
      <c r="F344" s="80"/>
      <c r="G344" s="80"/>
      <c r="H344" s="80"/>
      <c r="I344" s="80"/>
      <c r="J344" s="80"/>
      <c r="K344" s="80"/>
      <c r="L344" s="80"/>
    </row>
    <row r="345" spans="1:12" ht="15.75" thickBot="1">
      <c r="A345" s="177"/>
      <c r="B345" s="178">
        <v>2000</v>
      </c>
      <c r="C345" s="178">
        <v>2015</v>
      </c>
      <c r="D345" s="178">
        <v>2020</v>
      </c>
      <c r="E345" s="178">
        <v>2025</v>
      </c>
      <c r="F345" s="178">
        <v>2030</v>
      </c>
      <c r="G345" s="178">
        <v>2050</v>
      </c>
      <c r="H345" s="197" t="s">
        <v>98</v>
      </c>
      <c r="I345" s="198" t="s">
        <v>99</v>
      </c>
      <c r="J345" s="198" t="s">
        <v>100</v>
      </c>
      <c r="K345" s="198" t="s">
        <v>101</v>
      </c>
      <c r="L345" s="199" t="s">
        <v>102</v>
      </c>
    </row>
    <row r="346" spans="1:12">
      <c r="A346" s="279" t="s">
        <v>195</v>
      </c>
      <c r="B346" s="280">
        <v>29.760983773998959</v>
      </c>
      <c r="C346" s="201">
        <v>34.182354107569942</v>
      </c>
      <c r="D346" s="201">
        <v>34.690412563685413</v>
      </c>
      <c r="E346" s="201">
        <v>35.603432606124514</v>
      </c>
      <c r="F346" s="201">
        <v>36.435851335195295</v>
      </c>
      <c r="G346" s="281">
        <v>41.278678652849216</v>
      </c>
      <c r="H346" s="203">
        <v>9.2768512208549758E-3</v>
      </c>
      <c r="I346" s="204">
        <v>2.9551187070533391E-3</v>
      </c>
      <c r="J346" s="204">
        <v>5.2092614552610161E-3</v>
      </c>
      <c r="K346" s="204">
        <v>4.6329313905344449E-3</v>
      </c>
      <c r="L346" s="205">
        <v>6.2591518631291976E-3</v>
      </c>
    </row>
    <row r="347" spans="1:12" ht="15.75" thickBot="1">
      <c r="A347" s="190" t="s">
        <v>196</v>
      </c>
      <c r="B347" s="282">
        <v>2.4457815549611052E-2</v>
      </c>
      <c r="C347" s="237">
        <v>2.0169870412622696E-2</v>
      </c>
      <c r="D347" s="237">
        <v>1.8256579952815374E-2</v>
      </c>
      <c r="E347" s="237">
        <v>1.5622868880674981E-2</v>
      </c>
      <c r="F347" s="237">
        <v>1.3086146029216225E-2</v>
      </c>
      <c r="G347" s="283">
        <v>4.6216559616605512E-3</v>
      </c>
      <c r="H347" s="217">
        <v>-1.2768442303100258E-2</v>
      </c>
      <c r="I347" s="218">
        <v>-1.9735527037358369E-2</v>
      </c>
      <c r="J347" s="218">
        <v>-3.0677546546349133E-2</v>
      </c>
      <c r="K347" s="218">
        <v>-3.4815820067358616E-2</v>
      </c>
      <c r="L347" s="219">
        <v>-5.0709154984180382E-2</v>
      </c>
    </row>
    <row r="348" spans="1:12">
      <c r="A348" s="238"/>
      <c r="B348" s="276"/>
      <c r="C348" s="171"/>
      <c r="D348" s="171"/>
      <c r="E348" s="171"/>
    </row>
    <row r="349" spans="1:12" ht="15.75">
      <c r="A349" s="284"/>
    </row>
    <row r="350" spans="1:12" ht="21">
      <c r="A350" s="78" t="s">
        <v>197</v>
      </c>
      <c r="B350" s="73"/>
      <c r="C350" s="73"/>
      <c r="D350" s="73"/>
      <c r="E350" s="73"/>
      <c r="F350" s="73"/>
      <c r="G350" s="239"/>
      <c r="H350" s="239"/>
      <c r="I350" s="239"/>
      <c r="J350" s="239"/>
      <c r="K350" s="239"/>
      <c r="L350" s="239"/>
    </row>
    <row r="351" spans="1:12">
      <c r="F351" s="170"/>
    </row>
    <row r="352" spans="1:12" ht="16.5" thickBot="1">
      <c r="A352" s="91" t="s">
        <v>198</v>
      </c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</row>
    <row r="353" spans="1:12" ht="15.75" thickBot="1">
      <c r="A353" s="235" t="s">
        <v>51</v>
      </c>
      <c r="B353" s="178">
        <v>2000</v>
      </c>
      <c r="C353" s="178">
        <v>2015</v>
      </c>
      <c r="D353" s="178">
        <v>2020</v>
      </c>
      <c r="E353" s="178">
        <v>2025</v>
      </c>
      <c r="F353" s="178">
        <v>2030</v>
      </c>
      <c r="G353" s="178">
        <v>2050</v>
      </c>
      <c r="H353" s="197" t="s">
        <v>98</v>
      </c>
      <c r="I353" s="198" t="s">
        <v>99</v>
      </c>
      <c r="J353" s="198" t="s">
        <v>100</v>
      </c>
      <c r="K353" s="198" t="s">
        <v>101</v>
      </c>
      <c r="L353" s="199" t="s">
        <v>102</v>
      </c>
    </row>
    <row r="354" spans="1:12">
      <c r="A354" s="181" t="s">
        <v>103</v>
      </c>
      <c r="B354" s="209">
        <v>3.48</v>
      </c>
      <c r="C354" s="209">
        <v>3.371</v>
      </c>
      <c r="D354" s="209">
        <v>3.02362860179693</v>
      </c>
      <c r="E354" s="209">
        <v>2.65</v>
      </c>
      <c r="F354" s="209">
        <v>2.28816075231342</v>
      </c>
      <c r="G354" s="209">
        <v>0.21812059733714201</v>
      </c>
      <c r="H354" s="203">
        <v>-2.1192749945424527E-3</v>
      </c>
      <c r="I354" s="204">
        <v>-2.1515527030530501E-2</v>
      </c>
      <c r="J354" s="204">
        <v>-2.6034696614973707E-2</v>
      </c>
      <c r="K354" s="204">
        <v>-2.8935379084694013E-2</v>
      </c>
      <c r="L354" s="205">
        <v>-0.1108797382107628</v>
      </c>
    </row>
    <row r="355" spans="1:12">
      <c r="A355" s="181" t="s">
        <v>54</v>
      </c>
      <c r="B355" s="209">
        <v>0.29509000000000002</v>
      </c>
      <c r="C355" s="209">
        <v>0.20038837309893262</v>
      </c>
      <c r="D355" s="209">
        <v>0.345557554491078</v>
      </c>
      <c r="E355" s="209">
        <v>0.41</v>
      </c>
      <c r="F355" s="209">
        <v>0.47763215046268398</v>
      </c>
      <c r="G355" s="209">
        <v>0.69442453716561003</v>
      </c>
      <c r="H355" s="211">
        <v>-2.5471521119387774E-2</v>
      </c>
      <c r="I355" s="212">
        <v>0.1151404629217756</v>
      </c>
      <c r="J355" s="212">
        <v>3.4791119493878142E-2</v>
      </c>
      <c r="K355" s="212">
        <v>3.1007772048435189E-2</v>
      </c>
      <c r="L355" s="213">
        <v>1.8888300141020276E-2</v>
      </c>
    </row>
    <row r="356" spans="1:12">
      <c r="A356" s="181" t="s">
        <v>42</v>
      </c>
      <c r="B356" s="209">
        <v>0</v>
      </c>
      <c r="C356" s="209">
        <v>2.2137192704974398E-3</v>
      </c>
      <c r="D356" s="209">
        <v>0</v>
      </c>
      <c r="E356" s="209">
        <v>0</v>
      </c>
      <c r="F356" s="209">
        <v>0</v>
      </c>
      <c r="G356" s="209">
        <v>0</v>
      </c>
      <c r="H356" s="211"/>
      <c r="I356" s="212"/>
      <c r="J356" s="212"/>
      <c r="K356" s="212"/>
      <c r="L356" s="213"/>
    </row>
    <row r="357" spans="1:12">
      <c r="A357" s="181" t="s">
        <v>104</v>
      </c>
      <c r="B357" s="209">
        <v>0.51178999999999997</v>
      </c>
      <c r="C357" s="209">
        <v>0.74651762682717115</v>
      </c>
      <c r="D357" s="209">
        <v>0.77750449760492502</v>
      </c>
      <c r="E357" s="209">
        <v>0.73170616791472998</v>
      </c>
      <c r="F357" s="209">
        <v>0.77565894251492096</v>
      </c>
      <c r="G357" s="209">
        <v>0.708817452060579</v>
      </c>
      <c r="H357" s="211">
        <v>2.5486351829053122E-2</v>
      </c>
      <c r="I357" s="212">
        <v>8.1672110616808347E-3</v>
      </c>
      <c r="J357" s="212">
        <v>-1.2068663444770866E-2</v>
      </c>
      <c r="K357" s="212">
        <v>1.1735100919725738E-2</v>
      </c>
      <c r="L357" s="213">
        <v>-4.4956091372805318E-3</v>
      </c>
    </row>
    <row r="358" spans="1:12">
      <c r="A358" s="181" t="s">
        <v>105</v>
      </c>
      <c r="B358" s="209">
        <v>0</v>
      </c>
      <c r="C358" s="209">
        <v>0</v>
      </c>
      <c r="D358" s="209">
        <v>0</v>
      </c>
      <c r="E358" s="209">
        <v>0</v>
      </c>
      <c r="F358" s="209">
        <v>0</v>
      </c>
      <c r="G358" s="209">
        <v>0</v>
      </c>
      <c r="H358" s="211"/>
      <c r="I358" s="212"/>
      <c r="J358" s="212"/>
      <c r="K358" s="212"/>
      <c r="L358" s="213"/>
    </row>
    <row r="359" spans="1:12">
      <c r="A359" s="181" t="s">
        <v>134</v>
      </c>
      <c r="B359" s="209">
        <v>7.0879999999999999E-2</v>
      </c>
      <c r="C359" s="209">
        <v>0.15947740517817902</v>
      </c>
      <c r="D359" s="209">
        <v>0.172778777245539</v>
      </c>
      <c r="E359" s="209">
        <v>0.19</v>
      </c>
      <c r="F359" s="209">
        <v>0.23881607523134199</v>
      </c>
      <c r="G359" s="209">
        <v>0.21917958954438899</v>
      </c>
      <c r="H359" s="211">
        <v>5.554891447930288E-2</v>
      </c>
      <c r="I359" s="212">
        <v>1.6150995791948342E-2</v>
      </c>
      <c r="J359" s="212">
        <v>1.9184102850383855E-2</v>
      </c>
      <c r="K359" s="212">
        <v>4.679584744416565E-2</v>
      </c>
      <c r="L359" s="213">
        <v>-4.2809235424272618E-3</v>
      </c>
    </row>
    <row r="360" spans="1:12">
      <c r="A360" s="181" t="s">
        <v>136</v>
      </c>
      <c r="B360" s="209">
        <v>0</v>
      </c>
      <c r="C360" s="209">
        <v>0</v>
      </c>
      <c r="D360" s="209">
        <v>0</v>
      </c>
      <c r="E360" s="209">
        <v>0.05</v>
      </c>
      <c r="F360" s="209">
        <v>0.1</v>
      </c>
      <c r="G360" s="209">
        <v>0.44138721696761302</v>
      </c>
      <c r="H360" s="211"/>
      <c r="I360" s="212"/>
      <c r="J360" s="212"/>
      <c r="K360" s="212"/>
      <c r="L360" s="213"/>
    </row>
    <row r="361" spans="1:12">
      <c r="A361" s="181"/>
      <c r="B361" s="182"/>
      <c r="C361" s="182"/>
      <c r="D361" s="182"/>
      <c r="E361" s="182"/>
      <c r="F361" s="182"/>
      <c r="G361" s="182"/>
      <c r="H361" s="211"/>
      <c r="I361" s="212"/>
      <c r="J361" s="212"/>
      <c r="K361" s="212"/>
      <c r="L361" s="213"/>
    </row>
    <row r="362" spans="1:12" ht="15.75" thickBot="1">
      <c r="A362" s="190" t="s">
        <v>10</v>
      </c>
      <c r="B362" s="226">
        <v>4.3577599999999999</v>
      </c>
      <c r="C362" s="226">
        <v>4.4795971243747799</v>
      </c>
      <c r="D362" s="226">
        <v>4.3194694311384723</v>
      </c>
      <c r="E362" s="226">
        <v>4.0317061679147299</v>
      </c>
      <c r="F362" s="226">
        <v>3.8802679205223671</v>
      </c>
      <c r="G362" s="226">
        <v>2.281929393075333</v>
      </c>
      <c r="H362" s="217">
        <v>1.8400208256650341E-3</v>
      </c>
      <c r="I362" s="218">
        <v>-7.2536715970948906E-3</v>
      </c>
      <c r="J362" s="218">
        <v>-1.3693957837460968E-2</v>
      </c>
      <c r="K362" s="218">
        <v>-7.6278491989812958E-3</v>
      </c>
      <c r="L362" s="219">
        <v>-2.6194945385892621E-2</v>
      </c>
    </row>
    <row r="363" spans="1:12" ht="15.75">
      <c r="A363" s="284"/>
    </row>
    <row r="364" spans="1:12" ht="15.75">
      <c r="A364" s="284"/>
    </row>
    <row r="365" spans="1:12" ht="21">
      <c r="A365" s="78" t="s">
        <v>199</v>
      </c>
      <c r="B365" s="73"/>
      <c r="C365" s="73"/>
      <c r="D365" s="73"/>
      <c r="E365" s="73"/>
      <c r="F365" s="73"/>
      <c r="G365" s="239"/>
      <c r="H365" s="239"/>
      <c r="I365" s="239"/>
      <c r="J365" s="239"/>
      <c r="K365" s="239"/>
      <c r="L365" s="239"/>
    </row>
    <row r="366" spans="1:12">
      <c r="F366" s="170"/>
    </row>
    <row r="367" spans="1:12" ht="16.5" thickBot="1">
      <c r="A367" s="91" t="s">
        <v>200</v>
      </c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</row>
    <row r="368" spans="1:12" ht="15.75" thickBot="1">
      <c r="A368" s="235" t="s">
        <v>51</v>
      </c>
      <c r="B368" s="178">
        <v>2000</v>
      </c>
      <c r="C368" s="178">
        <v>2015</v>
      </c>
      <c r="D368" s="178">
        <v>2020</v>
      </c>
      <c r="E368" s="178">
        <v>2025</v>
      </c>
      <c r="F368" s="178">
        <v>2030</v>
      </c>
      <c r="G368" s="178">
        <v>2050</v>
      </c>
      <c r="H368" s="197" t="s">
        <v>98</v>
      </c>
      <c r="I368" s="198" t="s">
        <v>99</v>
      </c>
      <c r="J368" s="198" t="s">
        <v>100</v>
      </c>
      <c r="K368" s="198" t="s">
        <v>101</v>
      </c>
      <c r="L368" s="199" t="s">
        <v>102</v>
      </c>
    </row>
    <row r="369" spans="1:13">
      <c r="A369" s="181" t="s">
        <v>103</v>
      </c>
      <c r="B369" s="209">
        <v>22.800202114011181</v>
      </c>
      <c r="C369" s="209">
        <v>15.67673431115648</v>
      </c>
      <c r="D369" s="209">
        <v>12.923454105444872</v>
      </c>
      <c r="E369" s="209">
        <v>9.5895397047905817</v>
      </c>
      <c r="F369" s="209">
        <v>5.7819887111288741</v>
      </c>
      <c r="G369" s="209">
        <v>0.56322748731722927</v>
      </c>
      <c r="H369" s="203">
        <v>-2.4663538264336649E-2</v>
      </c>
      <c r="I369" s="204">
        <v>-3.7890281959203409E-2</v>
      </c>
      <c r="J369" s="204">
        <v>-5.7928574077792616E-2</v>
      </c>
      <c r="K369" s="204">
        <v>-9.6234215255071476E-2</v>
      </c>
      <c r="L369" s="205">
        <v>-0.10991736125585239</v>
      </c>
    </row>
    <row r="370" spans="1:13">
      <c r="A370" s="181" t="s">
        <v>201</v>
      </c>
      <c r="B370" s="209">
        <v>42.525236267061452</v>
      </c>
      <c r="C370" s="209">
        <v>41.256823163250793</v>
      </c>
      <c r="D370" s="209">
        <v>39.993700353435408</v>
      </c>
      <c r="E370" s="209">
        <v>35.251924461011193</v>
      </c>
      <c r="F370" s="209">
        <v>29.885055316714176</v>
      </c>
      <c r="G370" s="209">
        <v>4.9695590114814445</v>
      </c>
      <c r="H370" s="211"/>
      <c r="I370" s="212"/>
      <c r="J370" s="212"/>
      <c r="K370" s="212"/>
      <c r="L370" s="213"/>
    </row>
    <row r="371" spans="1:13">
      <c r="A371" s="181" t="s">
        <v>202</v>
      </c>
      <c r="B371" s="182">
        <v>32.847868625078455</v>
      </c>
      <c r="C371" s="182">
        <v>31.138511820886478</v>
      </c>
      <c r="D371" s="182">
        <v>30.174638004964748</v>
      </c>
      <c r="E371" s="182">
        <v>27.065278972896436</v>
      </c>
      <c r="F371" s="182">
        <v>23.258694581457057</v>
      </c>
      <c r="G371" s="182">
        <v>7.1296876763004962</v>
      </c>
      <c r="H371" s="211">
        <v>-3.5564265792484839E-3</v>
      </c>
      <c r="I371" s="212">
        <v>-6.2689883644609923E-3</v>
      </c>
      <c r="J371" s="212">
        <v>-2.1515190497548575E-2</v>
      </c>
      <c r="K371" s="212">
        <v>-2.9859655615526393E-2</v>
      </c>
      <c r="L371" s="213">
        <v>-5.740689525726772E-2</v>
      </c>
    </row>
    <row r="372" spans="1:13">
      <c r="A372" s="181" t="s">
        <v>203</v>
      </c>
      <c r="B372" s="182">
        <v>0</v>
      </c>
      <c r="C372" s="182">
        <v>8.4067737661287986E-2</v>
      </c>
      <c r="D372" s="182">
        <v>0.17718839974083389</v>
      </c>
      <c r="E372" s="182">
        <v>0.45902890397400081</v>
      </c>
      <c r="F372" s="182">
        <v>0.93047307809883106</v>
      </c>
      <c r="G372" s="182">
        <v>3.6028639370370201</v>
      </c>
      <c r="H372" s="211"/>
      <c r="I372" s="212"/>
      <c r="J372" s="212"/>
      <c r="K372" s="212"/>
      <c r="L372" s="213"/>
    </row>
    <row r="373" spans="1:13">
      <c r="A373" s="181" t="s">
        <v>42</v>
      </c>
      <c r="B373" s="182">
        <v>6.7202903804985699</v>
      </c>
      <c r="C373" s="182">
        <v>4.5044560140469603</v>
      </c>
      <c r="D373" s="182">
        <v>3.3198094170969599</v>
      </c>
      <c r="E373" s="182">
        <v>2.5423677932736588</v>
      </c>
      <c r="F373" s="182">
        <v>2.1404310060694471</v>
      </c>
      <c r="G373" s="182">
        <v>0.74476022441954859</v>
      </c>
      <c r="H373" s="211">
        <v>-2.6318420143024879E-2</v>
      </c>
      <c r="I373" s="212">
        <v>-5.920682005832234E-2</v>
      </c>
      <c r="J373" s="212">
        <v>-5.1963528653960478E-2</v>
      </c>
      <c r="K373" s="212">
        <v>-3.3832174138232918E-2</v>
      </c>
      <c r="L373" s="213">
        <v>-5.1416072065252116E-2</v>
      </c>
    </row>
    <row r="374" spans="1:13">
      <c r="A374" s="181" t="s">
        <v>104</v>
      </c>
      <c r="B374" s="182">
        <v>32.608098341652791</v>
      </c>
      <c r="C374" s="182">
        <v>37.404573888182469</v>
      </c>
      <c r="D374" s="182">
        <v>37.447955077623732</v>
      </c>
      <c r="E374" s="182">
        <v>37.021432694702263</v>
      </c>
      <c r="F374" s="182">
        <v>36.727079284167004</v>
      </c>
      <c r="G374" s="182">
        <v>45.016078268538166</v>
      </c>
      <c r="H374" s="211">
        <v>9.1907997532998387E-3</v>
      </c>
      <c r="I374" s="212">
        <v>2.3184906988826803E-4</v>
      </c>
      <c r="J374" s="212">
        <v>-2.2883971074457721E-3</v>
      </c>
      <c r="K374" s="212">
        <v>-1.5952599823521041E-3</v>
      </c>
      <c r="L374" s="213">
        <v>1.0227213217079756E-2</v>
      </c>
    </row>
    <row r="375" spans="1:13">
      <c r="A375" s="181" t="s">
        <v>105</v>
      </c>
      <c r="B375" s="182">
        <v>3.6136280543802326</v>
      </c>
      <c r="C375" s="182">
        <v>3.6699588780089227</v>
      </c>
      <c r="D375" s="182">
        <v>3.8148615628395968</v>
      </c>
      <c r="E375" s="182">
        <v>4.2081695732746223</v>
      </c>
      <c r="F375" s="182">
        <v>4.4932148754867605</v>
      </c>
      <c r="G375" s="182">
        <v>4.2797913311968934</v>
      </c>
      <c r="H375" s="211">
        <v>1.0317444304028811E-3</v>
      </c>
      <c r="I375" s="212">
        <v>7.7748522900427108E-3</v>
      </c>
      <c r="J375" s="212">
        <v>1.9818509083845637E-2</v>
      </c>
      <c r="K375" s="212">
        <v>1.3194424429338492E-2</v>
      </c>
      <c r="L375" s="213">
        <v>-2.430252115850462E-3</v>
      </c>
      <c r="M375" s="285"/>
    </row>
    <row r="376" spans="1:13">
      <c r="A376" s="181" t="s">
        <v>106</v>
      </c>
      <c r="B376" s="209">
        <v>8.2636079446488786</v>
      </c>
      <c r="C376" s="209">
        <v>6.5588130397120468</v>
      </c>
      <c r="D376" s="209">
        <v>7.4792340395840489</v>
      </c>
      <c r="E376" s="209">
        <v>8.1936096524261401</v>
      </c>
      <c r="F376" s="209">
        <v>9.2879951420401436</v>
      </c>
      <c r="G376" s="209">
        <v>6.2547065010281511</v>
      </c>
      <c r="H376" s="211">
        <v>-1.5285416543815544E-2</v>
      </c>
      <c r="I376" s="212">
        <v>2.6612089801718586E-2</v>
      </c>
      <c r="J376" s="212">
        <v>1.8412284594735873E-2</v>
      </c>
      <c r="K376" s="212">
        <v>2.5390623734395268E-2</v>
      </c>
      <c r="L376" s="213">
        <v>-1.9575291367223024E-2</v>
      </c>
      <c r="M376" s="285"/>
    </row>
    <row r="377" spans="1:13">
      <c r="A377" s="181" t="s">
        <v>135</v>
      </c>
      <c r="B377" s="209">
        <v>2.0606803808999999E-2</v>
      </c>
      <c r="C377" s="209">
        <v>0.18356931712348559</v>
      </c>
      <c r="D377" s="209">
        <v>0.40661888915980982</v>
      </c>
      <c r="E377" s="209">
        <v>0.58609109640498669</v>
      </c>
      <c r="F377" s="209">
        <v>0.6897361816565879</v>
      </c>
      <c r="G377" s="209">
        <v>0.7545784485628344</v>
      </c>
      <c r="H377" s="211"/>
      <c r="I377" s="212"/>
      <c r="J377" s="212"/>
      <c r="K377" s="212"/>
      <c r="L377" s="213"/>
      <c r="M377" s="285"/>
    </row>
    <row r="378" spans="1:13">
      <c r="A378" s="181" t="s">
        <v>136</v>
      </c>
      <c r="B378" s="209">
        <v>0</v>
      </c>
      <c r="C378" s="209">
        <v>1.091885852014109</v>
      </c>
      <c r="D378" s="209">
        <v>1.5762339690403815</v>
      </c>
      <c r="E378" s="209">
        <v>2.3973967126256399</v>
      </c>
      <c r="F378" s="209">
        <v>3.2469417094936275</v>
      </c>
      <c r="G378" s="209">
        <v>5.6245793298238835</v>
      </c>
      <c r="H378" s="211"/>
      <c r="I378" s="212"/>
      <c r="J378" s="212"/>
      <c r="K378" s="212"/>
      <c r="L378" s="213"/>
      <c r="M378" s="285"/>
    </row>
    <row r="379" spans="1:13">
      <c r="A379" s="181" t="s">
        <v>109</v>
      </c>
      <c r="B379" s="209">
        <v>0</v>
      </c>
      <c r="C379" s="209">
        <v>0</v>
      </c>
      <c r="D379" s="209">
        <v>0</v>
      </c>
      <c r="E379" s="209">
        <v>0</v>
      </c>
      <c r="F379" s="209">
        <v>0</v>
      </c>
      <c r="G379" s="209">
        <v>8.5984522785898534E-2</v>
      </c>
      <c r="H379" s="211"/>
      <c r="I379" s="212"/>
      <c r="J379" s="212"/>
      <c r="K379" s="212"/>
      <c r="L379" s="213"/>
      <c r="M379" s="285"/>
    </row>
    <row r="380" spans="1:13">
      <c r="A380" s="181"/>
      <c r="B380" s="182"/>
      <c r="C380" s="182"/>
      <c r="D380" s="182"/>
      <c r="E380" s="182"/>
      <c r="F380" s="182"/>
      <c r="G380" s="182"/>
      <c r="H380" s="211"/>
      <c r="I380" s="212"/>
      <c r="J380" s="212"/>
      <c r="K380" s="212"/>
      <c r="L380" s="213"/>
      <c r="M380" s="285"/>
    </row>
    <row r="381" spans="1:13" ht="15.75" thickBot="1">
      <c r="A381" s="190" t="s">
        <v>10</v>
      </c>
      <c r="B381" s="226">
        <v>149.39953853114051</v>
      </c>
      <c r="C381" s="226">
        <v>141.56939402204304</v>
      </c>
      <c r="D381" s="226">
        <v>137.31369381893037</v>
      </c>
      <c r="E381" s="226">
        <v>127.3148395653795</v>
      </c>
      <c r="F381" s="226">
        <v>116.44160988631251</v>
      </c>
      <c r="G381" s="226">
        <v>79.025816738491571</v>
      </c>
      <c r="H381" s="217">
        <v>-3.5825120954279255E-3</v>
      </c>
      <c r="I381" s="218">
        <v>-6.0857999820592701E-3</v>
      </c>
      <c r="J381" s="218">
        <v>-1.5007246590185708E-2</v>
      </c>
      <c r="K381" s="218">
        <v>-1.7696175741339082E-2</v>
      </c>
      <c r="L381" s="219">
        <v>-1.919416792153894E-2</v>
      </c>
    </row>
    <row r="382" spans="1:13">
      <c r="A382" s="286"/>
      <c r="F382" s="287"/>
      <c r="G382" s="287"/>
      <c r="H382" s="287"/>
    </row>
    <row r="383" spans="1:13">
      <c r="A383" s="288"/>
      <c r="F383" s="287"/>
      <c r="G383" s="287"/>
      <c r="H383" s="287"/>
    </row>
    <row r="384" spans="1:13" ht="16.5" thickBot="1">
      <c r="A384" s="91" t="s">
        <v>204</v>
      </c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</row>
    <row r="385" spans="1:12" ht="15.75" thickBot="1">
      <c r="A385" s="235" t="s">
        <v>51</v>
      </c>
      <c r="B385" s="178">
        <v>2000</v>
      </c>
      <c r="C385" s="178">
        <v>2015</v>
      </c>
      <c r="D385" s="178">
        <v>2020</v>
      </c>
      <c r="E385" s="178">
        <v>2025</v>
      </c>
      <c r="F385" s="178">
        <v>2030</v>
      </c>
      <c r="G385" s="178">
        <v>2050</v>
      </c>
      <c r="H385" s="197" t="s">
        <v>98</v>
      </c>
      <c r="I385" s="198" t="s">
        <v>99</v>
      </c>
      <c r="J385" s="198" t="s">
        <v>100</v>
      </c>
      <c r="K385" s="198" t="s">
        <v>101</v>
      </c>
      <c r="L385" s="199" t="s">
        <v>102</v>
      </c>
    </row>
    <row r="386" spans="1:12">
      <c r="A386" s="289" t="s">
        <v>78</v>
      </c>
      <c r="B386" s="182">
        <v>38.915922087477441</v>
      </c>
      <c r="C386" s="182">
        <v>31.848010161596203</v>
      </c>
      <c r="D386" s="182">
        <v>31.308711078110491</v>
      </c>
      <c r="E386" s="182">
        <v>29.635626821361569</v>
      </c>
      <c r="F386" s="182">
        <v>27.499902680015332</v>
      </c>
      <c r="G386" s="182">
        <v>22.436954513361478</v>
      </c>
      <c r="H386" s="203">
        <v>-1.3273030719028855E-2</v>
      </c>
      <c r="I386" s="204">
        <v>-3.4098804545312777E-3</v>
      </c>
      <c r="J386" s="204">
        <v>-1.0923722377949918E-2</v>
      </c>
      <c r="K386" s="204">
        <v>-1.484762675992457E-2</v>
      </c>
      <c r="L386" s="205">
        <v>-1.0122078981262161E-2</v>
      </c>
    </row>
    <row r="387" spans="1:12">
      <c r="A387" s="289" t="s">
        <v>80</v>
      </c>
      <c r="B387" s="182">
        <v>42.776692372461667</v>
      </c>
      <c r="C387" s="182">
        <v>41.049162529880185</v>
      </c>
      <c r="D387" s="182">
        <v>39.148351845848893</v>
      </c>
      <c r="E387" s="182">
        <v>36.349130124418281</v>
      </c>
      <c r="F387" s="182">
        <v>33.411962830782613</v>
      </c>
      <c r="G387" s="182">
        <v>23.664254021098639</v>
      </c>
      <c r="H387" s="211">
        <v>-2.7444237679368211E-3</v>
      </c>
      <c r="I387" s="212">
        <v>-9.437605874686672E-3</v>
      </c>
      <c r="J387" s="212">
        <v>-1.4728075072347302E-2</v>
      </c>
      <c r="K387" s="212">
        <v>-1.6710065541940655E-2</v>
      </c>
      <c r="L387" s="213">
        <v>-1.7099532918173233E-2</v>
      </c>
    </row>
    <row r="388" spans="1:12">
      <c r="A388" s="289" t="s">
        <v>81</v>
      </c>
      <c r="B388" s="182">
        <v>20.017227804139996</v>
      </c>
      <c r="C388" s="182">
        <v>21.959864397214265</v>
      </c>
      <c r="D388" s="182">
        <v>21.152985368887055</v>
      </c>
      <c r="E388" s="182">
        <v>19.521773317261111</v>
      </c>
      <c r="F388" s="182">
        <v>17.728866863743995</v>
      </c>
      <c r="G388" s="182">
        <v>13.85971890133378</v>
      </c>
      <c r="H388" s="211">
        <v>6.1939804284143474E-3</v>
      </c>
      <c r="I388" s="212">
        <v>-7.459120426147603E-3</v>
      </c>
      <c r="J388" s="212">
        <v>-1.5922008030237689E-2</v>
      </c>
      <c r="K388" s="212">
        <v>-1.9082816168849881E-2</v>
      </c>
      <c r="L388" s="213">
        <v>-1.2234912067208059E-2</v>
      </c>
    </row>
    <row r="389" spans="1:12">
      <c r="A389" s="289" t="s">
        <v>82</v>
      </c>
      <c r="B389" s="182">
        <v>4.3577599999999999</v>
      </c>
      <c r="C389" s="182">
        <v>4.4795971243747799</v>
      </c>
      <c r="D389" s="182">
        <v>4.3194694311384723</v>
      </c>
      <c r="E389" s="182">
        <v>4.0317061679147299</v>
      </c>
      <c r="F389" s="182">
        <v>3.8802679205223671</v>
      </c>
      <c r="G389" s="182">
        <v>2.281929393075333</v>
      </c>
      <c r="H389" s="211">
        <v>1.8400208256650341E-3</v>
      </c>
      <c r="I389" s="212">
        <v>-7.2536715970948906E-3</v>
      </c>
      <c r="J389" s="212">
        <v>-1.3693957837460968E-2</v>
      </c>
      <c r="K389" s="212">
        <v>-7.6278491989812958E-3</v>
      </c>
      <c r="L389" s="213">
        <v>-2.6194945385892621E-2</v>
      </c>
    </row>
    <row r="390" spans="1:12">
      <c r="A390" s="289" t="s">
        <v>79</v>
      </c>
      <c r="B390" s="182">
        <v>43.331936267061451</v>
      </c>
      <c r="C390" s="182">
        <v>42.232759808977583</v>
      </c>
      <c r="D390" s="182">
        <v>41.384176094945474</v>
      </c>
      <c r="E390" s="182">
        <v>37.77660313442383</v>
      </c>
      <c r="F390" s="182">
        <v>33.920609591248201</v>
      </c>
      <c r="G390" s="182">
        <v>16.782959909622335</v>
      </c>
      <c r="H390" s="211">
        <v>-1.7114473081362158E-3</v>
      </c>
      <c r="I390" s="212">
        <v>-4.0512974285620285E-3</v>
      </c>
      <c r="J390" s="212">
        <v>-1.8076355074965966E-2</v>
      </c>
      <c r="K390" s="212">
        <v>-2.1303243667912808E-2</v>
      </c>
      <c r="L390" s="213">
        <v>-3.4571210691747067E-2</v>
      </c>
    </row>
    <row r="391" spans="1:12">
      <c r="A391" s="289"/>
      <c r="B391" s="182"/>
      <c r="C391" s="182"/>
      <c r="D391" s="182"/>
      <c r="E391" s="182"/>
      <c r="F391" s="182"/>
      <c r="G391" s="182"/>
      <c r="H391" s="211"/>
      <c r="I391" s="212"/>
      <c r="J391" s="212"/>
      <c r="K391" s="212"/>
      <c r="L391" s="213"/>
    </row>
    <row r="392" spans="1:12" ht="15.75" thickBot="1">
      <c r="A392" s="290" t="s">
        <v>10</v>
      </c>
      <c r="B392" s="226">
        <v>149.39953853114054</v>
      </c>
      <c r="C392" s="226">
        <v>141.56939402204301</v>
      </c>
      <c r="D392" s="226">
        <v>137.3136938189304</v>
      </c>
      <c r="E392" s="226">
        <v>127.31483956537951</v>
      </c>
      <c r="F392" s="226">
        <v>116.44160988631251</v>
      </c>
      <c r="G392" s="226">
        <v>79.025816738491557</v>
      </c>
      <c r="H392" s="217">
        <v>-3.5825120954279255E-3</v>
      </c>
      <c r="I392" s="218">
        <v>-6.0857999820591591E-3</v>
      </c>
      <c r="J392" s="218">
        <v>-1.5007246590185708E-2</v>
      </c>
      <c r="K392" s="218">
        <v>-1.7696175741339082E-2</v>
      </c>
      <c r="L392" s="219">
        <v>-1.919416792153894E-2</v>
      </c>
    </row>
    <row r="393" spans="1:12" ht="15.75">
      <c r="A393" s="284"/>
    </row>
    <row r="394" spans="1:12" ht="15.75">
      <c r="A394" s="284"/>
    </row>
    <row r="395" spans="1:12" ht="16.5" thickBot="1">
      <c r="A395" s="91" t="s">
        <v>205</v>
      </c>
      <c r="B395" s="277"/>
      <c r="C395" s="80"/>
      <c r="D395" s="80"/>
      <c r="E395" s="80"/>
      <c r="F395" s="80"/>
      <c r="G395" s="80"/>
      <c r="H395" s="80"/>
      <c r="I395" s="80"/>
      <c r="J395" s="80"/>
      <c r="K395" s="80"/>
      <c r="L395" s="80"/>
    </row>
    <row r="396" spans="1:12" ht="15.75" thickBot="1">
      <c r="A396" s="177"/>
      <c r="B396" s="178">
        <v>2000</v>
      </c>
      <c r="C396" s="178">
        <v>2015</v>
      </c>
      <c r="D396" s="178">
        <v>2020</v>
      </c>
      <c r="E396" s="178">
        <v>2025</v>
      </c>
      <c r="F396" s="178">
        <v>2030</v>
      </c>
      <c r="G396" s="178">
        <v>2050</v>
      </c>
      <c r="H396" s="197" t="s">
        <v>98</v>
      </c>
      <c r="I396" s="198" t="s">
        <v>99</v>
      </c>
      <c r="J396" s="198" t="s">
        <v>100</v>
      </c>
      <c r="K396" s="198" t="s">
        <v>101</v>
      </c>
      <c r="L396" s="199" t="s">
        <v>102</v>
      </c>
    </row>
    <row r="397" spans="1:12">
      <c r="A397" s="181" t="s">
        <v>196</v>
      </c>
      <c r="B397" s="291">
        <v>8.4325480727922203E-2</v>
      </c>
      <c r="C397" s="291">
        <v>6.7611881031064844E-2</v>
      </c>
      <c r="D397" s="291">
        <v>6.0575772345215169E-2</v>
      </c>
      <c r="E397" s="291">
        <v>5.265224715987242E-2</v>
      </c>
      <c r="F397" s="291">
        <v>4.4921713648756446E-2</v>
      </c>
      <c r="G397" s="291">
        <v>2.1761962074707864E-2</v>
      </c>
      <c r="H397" s="211">
        <v>-1.4618783268674718E-2</v>
      </c>
      <c r="I397" s="212">
        <v>-2.1737990184502287E-2</v>
      </c>
      <c r="J397" s="212">
        <v>-2.764782444752989E-2</v>
      </c>
      <c r="K397" s="212">
        <v>-3.1258553859877525E-2</v>
      </c>
      <c r="L397" s="213">
        <v>-3.5589152259137946E-2</v>
      </c>
    </row>
    <row r="398" spans="1:12">
      <c r="A398" s="181" t="s">
        <v>206</v>
      </c>
      <c r="B398" s="268">
        <v>214.04976557185552</v>
      </c>
      <c r="C398" s="268">
        <v>207.75815117538878</v>
      </c>
      <c r="D398" s="268">
        <v>192.12900424277692</v>
      </c>
      <c r="E398" s="268">
        <v>178.06182507702849</v>
      </c>
      <c r="F398" s="268">
        <v>164.78368899653216</v>
      </c>
      <c r="G398" s="268">
        <v>144.17050777866757</v>
      </c>
      <c r="H398" s="211">
        <v>-1.98694799483079E-3</v>
      </c>
      <c r="I398" s="212">
        <v>-1.5519831656577554E-2</v>
      </c>
      <c r="J398" s="212">
        <v>-1.5092198101798626E-2</v>
      </c>
      <c r="K398" s="212">
        <v>-1.537993867855858E-2</v>
      </c>
      <c r="L398" s="213">
        <v>-6.6595739495622919E-3</v>
      </c>
    </row>
    <row r="399" spans="1:12">
      <c r="A399" s="181" t="s">
        <v>150</v>
      </c>
      <c r="B399" s="253">
        <v>2.5383047084702253</v>
      </c>
      <c r="C399" s="253">
        <v>2.2021225525573795</v>
      </c>
      <c r="D399" s="253">
        <v>2.0905896887559474</v>
      </c>
      <c r="E399" s="253">
        <v>1.9028940581530103</v>
      </c>
      <c r="F399" s="253">
        <v>1.7110907815790266</v>
      </c>
      <c r="G399" s="253">
        <v>1.1025037736349335</v>
      </c>
      <c r="H399" s="211">
        <v>-9.4269338035228856E-3</v>
      </c>
      <c r="I399" s="212">
        <v>-1.0341261228513532E-2</v>
      </c>
      <c r="J399" s="212">
        <v>-1.8638172082507065E-2</v>
      </c>
      <c r="K399" s="212">
        <v>-2.102480410428953E-2</v>
      </c>
      <c r="L399" s="213">
        <v>-2.1737622229799247E-2</v>
      </c>
    </row>
    <row r="400" spans="1:12" ht="15.75" thickBot="1">
      <c r="A400" s="190" t="s">
        <v>151</v>
      </c>
      <c r="B400" s="292">
        <v>6443.1714246733154</v>
      </c>
      <c r="C400" s="292">
        <v>6766.6940070894143</v>
      </c>
      <c r="D400" s="292">
        <v>6630.751860527027</v>
      </c>
      <c r="E400" s="292">
        <v>6435.2958743457202</v>
      </c>
      <c r="F400" s="292">
        <v>6276.6940148632757</v>
      </c>
      <c r="G400" s="292">
        <v>7303.9613030838946</v>
      </c>
      <c r="H400" s="217">
        <v>3.2714570186680447E-3</v>
      </c>
      <c r="I400" s="218">
        <v>-4.0506613028475913E-3</v>
      </c>
      <c r="J400" s="218">
        <v>-5.9662074064421589E-3</v>
      </c>
      <c r="K400" s="218">
        <v>-4.9784478039357483E-3</v>
      </c>
      <c r="L400" s="219">
        <v>7.6074625245969862E-3</v>
      </c>
    </row>
    <row r="401" spans="1:1" ht="15.75">
      <c r="A401" s="284"/>
    </row>
    <row r="402" spans="1:1" ht="15.75">
      <c r="A402" s="284"/>
    </row>
    <row r="427" spans="2:14"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N427" s="293"/>
    </row>
    <row r="428" spans="2:14"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N428" s="207"/>
    </row>
    <row r="429" spans="2:14"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N429" s="206"/>
    </row>
    <row r="541" spans="2:12"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</row>
    <row r="542" spans="2:12"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</row>
    <row r="543" spans="2:12"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</row>
    <row r="544" spans="2:12"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</row>
    <row r="545" spans="2:12"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</row>
    <row r="546" spans="2:12"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</row>
    <row r="547" spans="2:12"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</row>
    <row r="548" spans="2:12"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</row>
    <row r="549" spans="2:12"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</row>
    <row r="550" spans="2:12"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</row>
    <row r="551" spans="2:12"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</row>
    <row r="552" spans="2:12"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</row>
    <row r="553" spans="2:12"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</row>
    <row r="554" spans="2:12"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</row>
    <row r="555" spans="2:12"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</row>
    <row r="556" spans="2:12"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</row>
    <row r="557" spans="2:12"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</row>
    <row r="558" spans="2:12"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</row>
    <row r="559" spans="2:12"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</row>
    <row r="560" spans="2:12"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</row>
    <row r="561" spans="1:78"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</row>
    <row r="562" spans="1:78"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</row>
    <row r="563" spans="1:78"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</row>
    <row r="564" spans="1:78">
      <c r="A564" s="171"/>
      <c r="B564" s="171"/>
      <c r="C564" s="171"/>
      <c r="D564" s="171"/>
      <c r="E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1"/>
      <c r="AT564" s="171"/>
      <c r="AU564" s="171"/>
      <c r="AV564" s="171"/>
      <c r="AW564" s="171"/>
      <c r="AX564" s="171"/>
      <c r="AY564" s="171"/>
      <c r="AZ564" s="171"/>
      <c r="BA564" s="171"/>
      <c r="BB564" s="171"/>
      <c r="BC564" s="171"/>
      <c r="BD564" s="171"/>
      <c r="BE564" s="171"/>
      <c r="BF564" s="171"/>
      <c r="BG564" s="171"/>
      <c r="BH564" s="171"/>
      <c r="BI564" s="171"/>
      <c r="BJ564" s="171"/>
      <c r="BK564" s="171"/>
      <c r="BL564" s="171"/>
      <c r="BM564" s="171"/>
      <c r="BN564" s="171"/>
      <c r="BO564" s="171"/>
      <c r="BP564" s="171"/>
      <c r="BQ564" s="171"/>
      <c r="BR564" s="171"/>
      <c r="BS564" s="171"/>
      <c r="BT564" s="171"/>
      <c r="BU564" s="171"/>
      <c r="BV564" s="171"/>
      <c r="BW564" s="171"/>
      <c r="BX564" s="171"/>
      <c r="BY564" s="171"/>
      <c r="BZ564" s="171"/>
    </row>
    <row r="565" spans="1:78">
      <c r="A565" s="171"/>
      <c r="B565" s="171"/>
      <c r="C565" s="171"/>
      <c r="D565" s="171"/>
      <c r="E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1"/>
      <c r="AT565" s="171"/>
      <c r="AU565" s="171"/>
      <c r="AV565" s="171"/>
      <c r="AW565" s="171"/>
      <c r="AX565" s="171"/>
      <c r="AY565" s="171"/>
      <c r="AZ565" s="171"/>
      <c r="BA565" s="171"/>
      <c r="BB565" s="171"/>
      <c r="BC565" s="171"/>
      <c r="BD565" s="171"/>
      <c r="BE565" s="171"/>
      <c r="BF565" s="171"/>
      <c r="BG565" s="171"/>
      <c r="BH565" s="171"/>
      <c r="BI565" s="171"/>
      <c r="BJ565" s="171"/>
      <c r="BK565" s="171"/>
      <c r="BL565" s="171"/>
      <c r="BM565" s="171"/>
      <c r="BN565" s="171"/>
      <c r="BO565" s="171"/>
      <c r="BP565" s="171"/>
      <c r="BQ565" s="171"/>
      <c r="BR565" s="171"/>
      <c r="BS565" s="171"/>
      <c r="BT565" s="171"/>
      <c r="BU565" s="171"/>
      <c r="BV565" s="171"/>
      <c r="BW565" s="171"/>
      <c r="BX565" s="171"/>
      <c r="BY565" s="171"/>
      <c r="BZ565" s="171"/>
    </row>
    <row r="566" spans="1:78">
      <c r="A566" s="171"/>
      <c r="B566" s="171"/>
      <c r="C566" s="171"/>
      <c r="D566" s="171"/>
      <c r="E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1"/>
      <c r="AT566" s="171"/>
      <c r="AU566" s="171"/>
      <c r="AV566" s="171"/>
      <c r="AW566" s="171"/>
      <c r="AX566" s="171"/>
      <c r="AY566" s="171"/>
      <c r="AZ566" s="171"/>
      <c r="BA566" s="171"/>
      <c r="BB566" s="171"/>
      <c r="BC566" s="171"/>
      <c r="BD566" s="171"/>
      <c r="BE566" s="171"/>
      <c r="BF566" s="171"/>
      <c r="BG566" s="171"/>
      <c r="BH566" s="171"/>
      <c r="BI566" s="171"/>
      <c r="BJ566" s="171"/>
      <c r="BK566" s="171"/>
      <c r="BL566" s="171"/>
      <c r="BM566" s="171"/>
      <c r="BN566" s="171"/>
      <c r="BO566" s="171"/>
      <c r="BP566" s="171"/>
      <c r="BQ566" s="171"/>
      <c r="BR566" s="171"/>
      <c r="BS566" s="171"/>
      <c r="BT566" s="171"/>
      <c r="BU566" s="171"/>
      <c r="BV566" s="171"/>
      <c r="BW566" s="171"/>
      <c r="BX566" s="171"/>
      <c r="BY566" s="171"/>
      <c r="BZ566" s="171"/>
    </row>
    <row r="567" spans="1:78">
      <c r="A567" s="171"/>
      <c r="B567" s="171"/>
      <c r="C567" s="171"/>
      <c r="D567" s="171"/>
      <c r="E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1"/>
      <c r="AT567" s="171"/>
      <c r="AU567" s="171"/>
      <c r="AV567" s="171"/>
      <c r="AW567" s="171"/>
      <c r="AX567" s="171"/>
      <c r="AY567" s="171"/>
      <c r="AZ567" s="171"/>
      <c r="BA567" s="171"/>
      <c r="BB567" s="171"/>
      <c r="BC567" s="171"/>
      <c r="BD567" s="171"/>
      <c r="BE567" s="171"/>
      <c r="BF567" s="171"/>
      <c r="BG567" s="171"/>
      <c r="BH567" s="171"/>
      <c r="BI567" s="171"/>
      <c r="BJ567" s="171"/>
      <c r="BK567" s="171"/>
      <c r="BL567" s="171"/>
      <c r="BM567" s="171"/>
      <c r="BN567" s="171"/>
      <c r="BO567" s="171"/>
      <c r="BP567" s="171"/>
      <c r="BQ567" s="171"/>
      <c r="BR567" s="171"/>
      <c r="BS567" s="171"/>
      <c r="BT567" s="171"/>
      <c r="BU567" s="171"/>
      <c r="BV567" s="171"/>
      <c r="BW567" s="171"/>
      <c r="BX567" s="171"/>
      <c r="BY567" s="171"/>
      <c r="BZ567" s="171"/>
    </row>
    <row r="568" spans="1:78"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</row>
    <row r="569" spans="1:78">
      <c r="A569" s="171"/>
      <c r="B569" s="171"/>
      <c r="C569" s="171"/>
      <c r="D569" s="171"/>
      <c r="E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1"/>
      <c r="AT569" s="171"/>
      <c r="AU569" s="171"/>
      <c r="AV569" s="171"/>
      <c r="AW569" s="171"/>
      <c r="AX569" s="171"/>
      <c r="AY569" s="171"/>
      <c r="AZ569" s="171"/>
      <c r="BA569" s="171"/>
      <c r="BB569" s="171"/>
      <c r="BC569" s="171"/>
      <c r="BD569" s="171"/>
      <c r="BE569" s="171"/>
      <c r="BF569" s="171"/>
      <c r="BG569" s="171"/>
      <c r="BH569" s="171"/>
      <c r="BI569" s="171"/>
      <c r="BJ569" s="171"/>
      <c r="BK569" s="171"/>
      <c r="BL569" s="171"/>
      <c r="BM569" s="171"/>
      <c r="BN569" s="171"/>
      <c r="BO569" s="171"/>
      <c r="BP569" s="171"/>
      <c r="BQ569" s="171"/>
      <c r="BR569" s="171"/>
      <c r="BS569" s="171"/>
      <c r="BT569" s="171"/>
      <c r="BU569" s="171"/>
      <c r="BV569" s="171"/>
      <c r="BW569" s="171"/>
      <c r="BX569" s="171"/>
      <c r="BY569" s="171"/>
      <c r="BZ569" s="171"/>
    </row>
    <row r="570" spans="1:78">
      <c r="A570" s="171"/>
      <c r="B570" s="171"/>
      <c r="C570" s="171"/>
      <c r="D570" s="171"/>
      <c r="E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1"/>
      <c r="AT570" s="171"/>
      <c r="AU570" s="171"/>
      <c r="AV570" s="171"/>
      <c r="AW570" s="171"/>
      <c r="AX570" s="171"/>
      <c r="AY570" s="171"/>
      <c r="AZ570" s="171"/>
      <c r="BA570" s="171"/>
      <c r="BB570" s="171"/>
      <c r="BC570" s="171"/>
      <c r="BD570" s="171"/>
      <c r="BE570" s="171"/>
      <c r="BF570" s="171"/>
      <c r="BG570" s="171"/>
      <c r="BH570" s="171"/>
      <c r="BI570" s="171"/>
      <c r="BJ570" s="171"/>
      <c r="BK570" s="171"/>
      <c r="BL570" s="171"/>
      <c r="BM570" s="171"/>
      <c r="BN570" s="171"/>
      <c r="BO570" s="171"/>
      <c r="BP570" s="171"/>
      <c r="BQ570" s="171"/>
      <c r="BR570" s="171"/>
      <c r="BS570" s="171"/>
      <c r="BT570" s="171"/>
      <c r="BU570" s="171"/>
      <c r="BV570" s="171"/>
      <c r="BW570" s="171"/>
      <c r="BX570" s="171"/>
      <c r="BY570" s="171"/>
      <c r="BZ570" s="171"/>
    </row>
    <row r="571" spans="1:78">
      <c r="A571" s="171"/>
      <c r="B571" s="171"/>
      <c r="C571" s="171"/>
      <c r="D571" s="171"/>
      <c r="E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1"/>
      <c r="AT571" s="171"/>
      <c r="AU571" s="171"/>
      <c r="AV571" s="171"/>
      <c r="AW571" s="171"/>
      <c r="AX571" s="171"/>
      <c r="AY571" s="171"/>
      <c r="AZ571" s="171"/>
      <c r="BA571" s="171"/>
      <c r="BB571" s="171"/>
      <c r="BC571" s="171"/>
      <c r="BD571" s="171"/>
      <c r="BE571" s="171"/>
      <c r="BF571" s="171"/>
      <c r="BG571" s="171"/>
      <c r="BH571" s="171"/>
      <c r="BI571" s="171"/>
      <c r="BJ571" s="171"/>
      <c r="BK571" s="171"/>
      <c r="BL571" s="171"/>
      <c r="BM571" s="171"/>
      <c r="BN571" s="171"/>
      <c r="BO571" s="171"/>
      <c r="BP571" s="171"/>
      <c r="BQ571" s="171"/>
      <c r="BR571" s="171"/>
      <c r="BS571" s="171"/>
      <c r="BT571" s="171"/>
      <c r="BU571" s="171"/>
      <c r="BV571" s="171"/>
      <c r="BW571" s="171"/>
      <c r="BX571" s="171"/>
      <c r="BY571" s="171"/>
      <c r="BZ571" s="171"/>
    </row>
    <row r="572" spans="1:78">
      <c r="A572" s="171"/>
      <c r="B572" s="171"/>
      <c r="C572" s="171"/>
      <c r="D572" s="171"/>
      <c r="E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1"/>
      <c r="AT572" s="171"/>
      <c r="AU572" s="171"/>
      <c r="AV572" s="171"/>
      <c r="AW572" s="171"/>
      <c r="AX572" s="171"/>
      <c r="AY572" s="171"/>
      <c r="AZ572" s="171"/>
      <c r="BA572" s="171"/>
      <c r="BB572" s="171"/>
      <c r="BC572" s="171"/>
      <c r="BD572" s="171"/>
      <c r="BE572" s="171"/>
      <c r="BF572" s="171"/>
      <c r="BG572" s="171"/>
      <c r="BH572" s="171"/>
      <c r="BI572" s="171"/>
      <c r="BJ572" s="171"/>
      <c r="BK572" s="171"/>
      <c r="BL572" s="171"/>
      <c r="BM572" s="171"/>
      <c r="BN572" s="171"/>
      <c r="BO572" s="171"/>
      <c r="BP572" s="171"/>
      <c r="BQ572" s="171"/>
      <c r="BR572" s="171"/>
      <c r="BS572" s="171"/>
      <c r="BT572" s="171"/>
      <c r="BU572" s="171"/>
      <c r="BV572" s="171"/>
      <c r="BW572" s="171"/>
      <c r="BX572" s="171"/>
      <c r="BY572" s="171"/>
      <c r="BZ572" s="171"/>
    </row>
    <row r="573" spans="1:78">
      <c r="A573" s="171"/>
      <c r="B573" s="171"/>
      <c r="C573" s="171"/>
      <c r="D573" s="171"/>
      <c r="E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1"/>
      <c r="AT573" s="171"/>
      <c r="AU573" s="171"/>
      <c r="AV573" s="171"/>
      <c r="AW573" s="171"/>
      <c r="AX573" s="171"/>
      <c r="AY573" s="171"/>
      <c r="AZ573" s="171"/>
      <c r="BA573" s="171"/>
      <c r="BB573" s="171"/>
      <c r="BC573" s="171"/>
      <c r="BD573" s="171"/>
      <c r="BE573" s="171"/>
      <c r="BF573" s="171"/>
      <c r="BG573" s="171"/>
      <c r="BH573" s="171"/>
      <c r="BI573" s="171"/>
      <c r="BJ573" s="171"/>
      <c r="BK573" s="171"/>
      <c r="BL573" s="171"/>
      <c r="BM573" s="171"/>
      <c r="BN573" s="171"/>
      <c r="BO573" s="171"/>
      <c r="BP573" s="171"/>
      <c r="BQ573" s="171"/>
      <c r="BR573" s="171"/>
      <c r="BS573" s="171"/>
      <c r="BT573" s="171"/>
      <c r="BU573" s="171"/>
      <c r="BV573" s="171"/>
      <c r="BW573" s="171"/>
      <c r="BX573" s="171"/>
      <c r="BY573" s="171"/>
      <c r="BZ573" s="171"/>
    </row>
    <row r="574" spans="1:78">
      <c r="A574" s="171"/>
      <c r="B574" s="171"/>
      <c r="C574" s="171"/>
      <c r="D574" s="171"/>
      <c r="E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171"/>
      <c r="AR574" s="171"/>
      <c r="AS574" s="171"/>
      <c r="AT574" s="171"/>
      <c r="AU574" s="171"/>
      <c r="AV574" s="171"/>
      <c r="AW574" s="171"/>
      <c r="AX574" s="171"/>
      <c r="AY574" s="171"/>
      <c r="AZ574" s="171"/>
      <c r="BA574" s="171"/>
      <c r="BB574" s="171"/>
      <c r="BC574" s="171"/>
      <c r="BD574" s="171"/>
      <c r="BE574" s="171"/>
      <c r="BF574" s="171"/>
      <c r="BG574" s="171"/>
      <c r="BH574" s="171"/>
      <c r="BI574" s="171"/>
      <c r="BJ574" s="171"/>
      <c r="BK574" s="171"/>
      <c r="BL574" s="171"/>
      <c r="BM574" s="171"/>
      <c r="BN574" s="171"/>
      <c r="BO574" s="171"/>
      <c r="BP574" s="171"/>
      <c r="BQ574" s="171"/>
      <c r="BR574" s="171"/>
      <c r="BS574" s="171"/>
      <c r="BT574" s="171"/>
      <c r="BU574" s="171"/>
      <c r="BV574" s="171"/>
      <c r="BW574" s="171"/>
      <c r="BX574" s="171"/>
      <c r="BY574" s="171"/>
      <c r="BZ574" s="171"/>
    </row>
    <row r="575" spans="1:78">
      <c r="A575" s="171"/>
      <c r="B575" s="171"/>
      <c r="C575" s="171"/>
      <c r="D575" s="171"/>
      <c r="E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  <c r="AF575" s="171"/>
      <c r="AG575" s="171"/>
      <c r="AH575" s="171"/>
      <c r="AI575" s="171"/>
      <c r="AJ575" s="171"/>
      <c r="AK575" s="171"/>
      <c r="AL575" s="171"/>
      <c r="AM575" s="171"/>
      <c r="AN575" s="171"/>
      <c r="AO575" s="171"/>
      <c r="AP575" s="171"/>
      <c r="AQ575" s="171"/>
      <c r="AR575" s="171"/>
      <c r="AS575" s="171"/>
      <c r="AT575" s="171"/>
      <c r="AU575" s="171"/>
      <c r="AV575" s="171"/>
      <c r="AW575" s="171"/>
      <c r="AX575" s="171"/>
      <c r="AY575" s="171"/>
      <c r="AZ575" s="171"/>
      <c r="BA575" s="171"/>
      <c r="BB575" s="171"/>
      <c r="BC575" s="171"/>
      <c r="BD575" s="171"/>
      <c r="BE575" s="171"/>
      <c r="BF575" s="171"/>
      <c r="BG575" s="171"/>
      <c r="BH575" s="171"/>
      <c r="BI575" s="171"/>
      <c r="BJ575" s="171"/>
      <c r="BK575" s="171"/>
      <c r="BL575" s="171"/>
      <c r="BM575" s="171"/>
      <c r="BN575" s="171"/>
      <c r="BO575" s="171"/>
      <c r="BP575" s="171"/>
      <c r="BQ575" s="171"/>
      <c r="BR575" s="171"/>
      <c r="BS575" s="171"/>
      <c r="BT575" s="171"/>
      <c r="BU575" s="171"/>
      <c r="BV575" s="171"/>
      <c r="BW575" s="171"/>
      <c r="BX575" s="171"/>
      <c r="BY575" s="171"/>
      <c r="BZ575" s="171"/>
    </row>
    <row r="576" spans="1:78">
      <c r="A576" s="171"/>
      <c r="B576" s="171"/>
      <c r="C576" s="171"/>
      <c r="D576" s="171"/>
      <c r="E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171"/>
      <c r="AR576" s="171"/>
      <c r="AS576" s="171"/>
      <c r="AT576" s="171"/>
      <c r="AU576" s="171"/>
      <c r="AV576" s="171"/>
      <c r="AW576" s="171"/>
      <c r="AX576" s="171"/>
      <c r="AY576" s="171"/>
      <c r="AZ576" s="171"/>
      <c r="BA576" s="171"/>
      <c r="BB576" s="171"/>
      <c r="BC576" s="171"/>
      <c r="BD576" s="171"/>
      <c r="BE576" s="171"/>
      <c r="BF576" s="171"/>
      <c r="BG576" s="171"/>
      <c r="BH576" s="171"/>
      <c r="BI576" s="171"/>
      <c r="BJ576" s="171"/>
      <c r="BK576" s="171"/>
      <c r="BL576" s="171"/>
      <c r="BM576" s="171"/>
      <c r="BN576" s="171"/>
      <c r="BO576" s="171"/>
      <c r="BP576" s="171"/>
      <c r="BQ576" s="171"/>
      <c r="BR576" s="171"/>
      <c r="BS576" s="171"/>
      <c r="BT576" s="171"/>
      <c r="BU576" s="171"/>
      <c r="BV576" s="171"/>
      <c r="BW576" s="171"/>
      <c r="BX576" s="171"/>
      <c r="BY576" s="171"/>
      <c r="BZ576" s="171"/>
    </row>
    <row r="577" spans="1:78">
      <c r="A577" s="171"/>
      <c r="B577" s="171"/>
      <c r="C577" s="171"/>
      <c r="D577" s="171"/>
      <c r="E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  <c r="AF577" s="171"/>
      <c r="AG577" s="171"/>
      <c r="AH577" s="171"/>
      <c r="AI577" s="171"/>
      <c r="AJ577" s="171"/>
      <c r="AK577" s="171"/>
      <c r="AL577" s="171"/>
      <c r="AM577" s="171"/>
      <c r="AN577" s="171"/>
      <c r="AO577" s="171"/>
      <c r="AP577" s="171"/>
      <c r="AQ577" s="171"/>
      <c r="AR577" s="171"/>
      <c r="AS577" s="171"/>
      <c r="AT577" s="171"/>
      <c r="AU577" s="171"/>
      <c r="AV577" s="171"/>
      <c r="AW577" s="171"/>
      <c r="AX577" s="171"/>
      <c r="AY577" s="171"/>
      <c r="AZ577" s="171"/>
      <c r="BA577" s="171"/>
      <c r="BB577" s="171"/>
      <c r="BC577" s="171"/>
      <c r="BD577" s="171"/>
      <c r="BE577" s="171"/>
      <c r="BF577" s="171"/>
      <c r="BG577" s="171"/>
      <c r="BH577" s="171"/>
      <c r="BI577" s="171"/>
      <c r="BJ577" s="171"/>
      <c r="BK577" s="171"/>
      <c r="BL577" s="171"/>
      <c r="BM577" s="171"/>
      <c r="BN577" s="171"/>
      <c r="BO577" s="171"/>
      <c r="BP577" s="171"/>
      <c r="BQ577" s="171"/>
      <c r="BR577" s="171"/>
      <c r="BS577" s="171"/>
      <c r="BT577" s="171"/>
      <c r="BU577" s="171"/>
      <c r="BV577" s="171"/>
      <c r="BW577" s="171"/>
      <c r="BX577" s="171"/>
      <c r="BY577" s="171"/>
      <c r="BZ577" s="171"/>
    </row>
    <row r="578" spans="1:78">
      <c r="A578" s="171"/>
      <c r="B578" s="171"/>
      <c r="C578" s="171"/>
      <c r="D578" s="171"/>
      <c r="E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  <c r="AS578" s="171"/>
      <c r="AT578" s="171"/>
      <c r="AU578" s="171"/>
      <c r="AV578" s="171"/>
      <c r="AW578" s="171"/>
      <c r="AX578" s="171"/>
      <c r="AY578" s="171"/>
      <c r="AZ578" s="171"/>
      <c r="BA578" s="171"/>
      <c r="BB578" s="171"/>
      <c r="BC578" s="171"/>
      <c r="BD578" s="171"/>
      <c r="BE578" s="171"/>
      <c r="BF578" s="171"/>
      <c r="BG578" s="171"/>
      <c r="BH578" s="171"/>
      <c r="BI578" s="171"/>
      <c r="BJ578" s="171"/>
      <c r="BK578" s="171"/>
      <c r="BL578" s="171"/>
      <c r="BM578" s="171"/>
      <c r="BN578" s="171"/>
      <c r="BO578" s="171"/>
      <c r="BP578" s="171"/>
      <c r="BQ578" s="171"/>
      <c r="BR578" s="171"/>
      <c r="BS578" s="171"/>
      <c r="BT578" s="171"/>
      <c r="BU578" s="171"/>
      <c r="BV578" s="171"/>
      <c r="BW578" s="171"/>
      <c r="BX578" s="171"/>
      <c r="BY578" s="171"/>
      <c r="BZ578" s="171"/>
    </row>
    <row r="579" spans="1:78"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</row>
    <row r="580" spans="1:78"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</row>
    <row r="581" spans="1:78">
      <c r="A581" s="171"/>
      <c r="B581" s="171"/>
      <c r="C581" s="171"/>
      <c r="D581" s="171"/>
      <c r="E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  <c r="AS581" s="171"/>
      <c r="AT581" s="171"/>
      <c r="AU581" s="171"/>
      <c r="AV581" s="171"/>
      <c r="AW581" s="171"/>
      <c r="AX581" s="171"/>
      <c r="AY581" s="171"/>
      <c r="AZ581" s="171"/>
      <c r="BA581" s="171"/>
      <c r="BB581" s="171"/>
      <c r="BC581" s="171"/>
      <c r="BD581" s="171"/>
      <c r="BE581" s="171"/>
      <c r="BF581" s="171"/>
      <c r="BG581" s="171"/>
      <c r="BH581" s="171"/>
      <c r="BI581" s="171"/>
      <c r="BJ581" s="171"/>
      <c r="BK581" s="171"/>
      <c r="BL581" s="171"/>
      <c r="BM581" s="171"/>
      <c r="BN581" s="171"/>
      <c r="BO581" s="171"/>
      <c r="BP581" s="171"/>
      <c r="BQ581" s="171"/>
      <c r="BR581" s="171"/>
      <c r="BS581" s="171"/>
      <c r="BT581" s="171"/>
      <c r="BU581" s="171"/>
      <c r="BV581" s="171"/>
      <c r="BW581" s="171"/>
      <c r="BX581" s="171"/>
      <c r="BY581" s="171"/>
      <c r="BZ581" s="171"/>
    </row>
    <row r="582" spans="1:78">
      <c r="A582" s="171"/>
      <c r="B582" s="171"/>
      <c r="C582" s="171"/>
      <c r="D582" s="171"/>
      <c r="E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  <c r="AS582" s="171"/>
      <c r="AT582" s="171"/>
      <c r="AU582" s="171"/>
      <c r="AV582" s="171"/>
      <c r="AW582" s="171"/>
      <c r="AX582" s="171"/>
      <c r="AY582" s="171"/>
      <c r="AZ582" s="171"/>
      <c r="BA582" s="171"/>
      <c r="BB582" s="171"/>
      <c r="BC582" s="171"/>
      <c r="BD582" s="171"/>
      <c r="BE582" s="171"/>
      <c r="BF582" s="171"/>
      <c r="BG582" s="171"/>
      <c r="BH582" s="171"/>
      <c r="BI582" s="171"/>
      <c r="BJ582" s="171"/>
      <c r="BK582" s="171"/>
      <c r="BL582" s="171"/>
      <c r="BM582" s="171"/>
      <c r="BN582" s="171"/>
      <c r="BO582" s="171"/>
      <c r="BP582" s="171"/>
      <c r="BQ582" s="171"/>
      <c r="BR582" s="171"/>
      <c r="BS582" s="171"/>
      <c r="BT582" s="171"/>
      <c r="BU582" s="171"/>
      <c r="BV582" s="171"/>
      <c r="BW582" s="171"/>
      <c r="BX582" s="171"/>
      <c r="BY582" s="171"/>
      <c r="BZ582" s="171"/>
    </row>
    <row r="583" spans="1:78">
      <c r="A583" s="171"/>
      <c r="B583" s="171"/>
      <c r="C583" s="171"/>
      <c r="D583" s="171"/>
      <c r="E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  <c r="AS583" s="171"/>
      <c r="AT583" s="171"/>
      <c r="AU583" s="171"/>
      <c r="AV583" s="171"/>
      <c r="AW583" s="171"/>
      <c r="AX583" s="171"/>
      <c r="AY583" s="171"/>
      <c r="AZ583" s="171"/>
      <c r="BA583" s="171"/>
      <c r="BB583" s="171"/>
      <c r="BC583" s="171"/>
      <c r="BD583" s="171"/>
      <c r="BE583" s="171"/>
      <c r="BF583" s="171"/>
      <c r="BG583" s="171"/>
      <c r="BH583" s="171"/>
      <c r="BI583" s="171"/>
      <c r="BJ583" s="171"/>
      <c r="BK583" s="171"/>
      <c r="BL583" s="171"/>
      <c r="BM583" s="171"/>
      <c r="BN583" s="171"/>
      <c r="BO583" s="171"/>
      <c r="BP583" s="171"/>
      <c r="BQ583" s="171"/>
      <c r="BR583" s="171"/>
      <c r="BS583" s="171"/>
      <c r="BT583" s="171"/>
      <c r="BU583" s="171"/>
      <c r="BV583" s="171"/>
      <c r="BW583" s="171"/>
      <c r="BX583" s="171"/>
      <c r="BY583" s="171"/>
      <c r="BZ583" s="171"/>
    </row>
    <row r="584" spans="1:78">
      <c r="A584" s="171"/>
      <c r="B584" s="171"/>
      <c r="C584" s="171"/>
      <c r="D584" s="171"/>
      <c r="E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  <c r="AS584" s="171"/>
      <c r="AT584" s="171"/>
      <c r="AU584" s="171"/>
      <c r="AV584" s="171"/>
      <c r="AW584" s="171"/>
      <c r="AX584" s="171"/>
      <c r="AY584" s="171"/>
      <c r="AZ584" s="171"/>
      <c r="BA584" s="171"/>
      <c r="BB584" s="171"/>
      <c r="BC584" s="171"/>
      <c r="BD584" s="171"/>
      <c r="BE584" s="171"/>
      <c r="BF584" s="171"/>
      <c r="BG584" s="171"/>
      <c r="BH584" s="171"/>
      <c r="BI584" s="171"/>
      <c r="BJ584" s="171"/>
      <c r="BK584" s="171"/>
      <c r="BL584" s="171"/>
      <c r="BM584" s="171"/>
      <c r="BN584" s="171"/>
      <c r="BO584" s="171"/>
      <c r="BP584" s="171"/>
      <c r="BQ584" s="171"/>
      <c r="BR584" s="171"/>
      <c r="BS584" s="171"/>
      <c r="BT584" s="171"/>
      <c r="BU584" s="171"/>
      <c r="BV584" s="171"/>
      <c r="BW584" s="171"/>
      <c r="BX584" s="171"/>
      <c r="BY584" s="171"/>
      <c r="BZ584" s="171"/>
    </row>
    <row r="585" spans="1:78">
      <c r="A585" s="171"/>
      <c r="B585" s="171"/>
      <c r="C585" s="171"/>
      <c r="D585" s="171"/>
      <c r="E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  <c r="AS585" s="171"/>
      <c r="AT585" s="171"/>
      <c r="AU585" s="171"/>
      <c r="AV585" s="171"/>
      <c r="AW585" s="171"/>
      <c r="AX585" s="171"/>
      <c r="AY585" s="171"/>
      <c r="AZ585" s="171"/>
      <c r="BA585" s="171"/>
      <c r="BB585" s="171"/>
      <c r="BC585" s="171"/>
      <c r="BD585" s="171"/>
      <c r="BE585" s="171"/>
      <c r="BF585" s="171"/>
      <c r="BG585" s="171"/>
      <c r="BH585" s="171"/>
      <c r="BI585" s="171"/>
      <c r="BJ585" s="171"/>
      <c r="BK585" s="171"/>
      <c r="BL585" s="171"/>
      <c r="BM585" s="171"/>
      <c r="BN585" s="171"/>
      <c r="BO585" s="171"/>
      <c r="BP585" s="171"/>
      <c r="BQ585" s="171"/>
      <c r="BR585" s="171"/>
      <c r="BS585" s="171"/>
      <c r="BT585" s="171"/>
      <c r="BU585" s="171"/>
      <c r="BV585" s="171"/>
      <c r="BW585" s="171"/>
      <c r="BX585" s="171"/>
      <c r="BY585" s="171"/>
      <c r="BZ585" s="171"/>
    </row>
    <row r="586" spans="1:78">
      <c r="A586" s="171"/>
      <c r="B586" s="171"/>
      <c r="C586" s="171"/>
      <c r="D586" s="171"/>
      <c r="E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  <c r="AS586" s="171"/>
      <c r="AT586" s="171"/>
      <c r="AU586" s="171"/>
      <c r="AV586" s="171"/>
      <c r="AW586" s="171"/>
      <c r="AX586" s="171"/>
      <c r="AY586" s="171"/>
      <c r="AZ586" s="171"/>
      <c r="BA586" s="171"/>
      <c r="BB586" s="171"/>
      <c r="BC586" s="171"/>
      <c r="BD586" s="171"/>
      <c r="BE586" s="171"/>
      <c r="BF586" s="171"/>
      <c r="BG586" s="171"/>
      <c r="BH586" s="171"/>
      <c r="BI586" s="171"/>
      <c r="BJ586" s="171"/>
      <c r="BK586" s="171"/>
      <c r="BL586" s="171"/>
      <c r="BM586" s="171"/>
      <c r="BN586" s="171"/>
      <c r="BO586" s="171"/>
      <c r="BP586" s="171"/>
      <c r="BQ586" s="171"/>
      <c r="BR586" s="171"/>
      <c r="BS586" s="171"/>
      <c r="BT586" s="171"/>
      <c r="BU586" s="171"/>
      <c r="BV586" s="171"/>
      <c r="BW586" s="171"/>
      <c r="BX586" s="171"/>
      <c r="BY586" s="171"/>
      <c r="BZ586" s="171"/>
    </row>
    <row r="587" spans="1:78">
      <c r="A587" s="171"/>
      <c r="B587" s="171"/>
      <c r="C587" s="171"/>
      <c r="D587" s="171"/>
      <c r="E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  <c r="AF587" s="171"/>
      <c r="AG587" s="171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171"/>
      <c r="AR587" s="171"/>
      <c r="AS587" s="171"/>
      <c r="AT587" s="171"/>
      <c r="AU587" s="171"/>
      <c r="AV587" s="171"/>
      <c r="AW587" s="171"/>
      <c r="AX587" s="171"/>
      <c r="AY587" s="171"/>
      <c r="AZ587" s="171"/>
      <c r="BA587" s="171"/>
      <c r="BB587" s="171"/>
      <c r="BC587" s="171"/>
      <c r="BD587" s="171"/>
      <c r="BE587" s="171"/>
      <c r="BF587" s="171"/>
      <c r="BG587" s="171"/>
      <c r="BH587" s="171"/>
      <c r="BI587" s="171"/>
      <c r="BJ587" s="171"/>
      <c r="BK587" s="171"/>
      <c r="BL587" s="171"/>
      <c r="BM587" s="171"/>
      <c r="BN587" s="171"/>
      <c r="BO587" s="171"/>
      <c r="BP587" s="171"/>
      <c r="BQ587" s="171"/>
      <c r="BR587" s="171"/>
      <c r="BS587" s="171"/>
      <c r="BT587" s="171"/>
      <c r="BU587" s="171"/>
      <c r="BV587" s="171"/>
      <c r="BW587" s="171"/>
      <c r="BX587" s="171"/>
      <c r="BY587" s="171"/>
      <c r="BZ587" s="171"/>
    </row>
    <row r="588" spans="1:78">
      <c r="A588" s="171"/>
      <c r="B588" s="171"/>
      <c r="C588" s="171"/>
      <c r="D588" s="171"/>
      <c r="E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  <c r="AF588" s="171"/>
      <c r="AG588" s="171"/>
      <c r="AH588" s="171"/>
      <c r="AI588" s="171"/>
      <c r="AJ588" s="171"/>
      <c r="AK588" s="171"/>
      <c r="AL588" s="171"/>
      <c r="AM588" s="171"/>
      <c r="AN588" s="171"/>
      <c r="AO588" s="171"/>
      <c r="AP588" s="171"/>
      <c r="AQ588" s="171"/>
      <c r="AR588" s="171"/>
      <c r="AS588" s="171"/>
      <c r="AT588" s="171"/>
      <c r="AU588" s="171"/>
      <c r="AV588" s="171"/>
      <c r="AW588" s="171"/>
      <c r="AX588" s="171"/>
      <c r="AY588" s="171"/>
      <c r="AZ588" s="171"/>
      <c r="BA588" s="171"/>
      <c r="BB588" s="171"/>
      <c r="BC588" s="171"/>
      <c r="BD588" s="171"/>
      <c r="BE588" s="171"/>
      <c r="BF588" s="171"/>
      <c r="BG588" s="171"/>
      <c r="BH588" s="171"/>
      <c r="BI588" s="171"/>
      <c r="BJ588" s="171"/>
      <c r="BK588" s="171"/>
      <c r="BL588" s="171"/>
      <c r="BM588" s="171"/>
      <c r="BN588" s="171"/>
      <c r="BO588" s="171"/>
      <c r="BP588" s="171"/>
      <c r="BQ588" s="171"/>
      <c r="BR588" s="171"/>
      <c r="BS588" s="171"/>
      <c r="BT588" s="171"/>
      <c r="BU588" s="171"/>
      <c r="BV588" s="171"/>
      <c r="BW588" s="171"/>
      <c r="BX588" s="171"/>
      <c r="BY588" s="171"/>
      <c r="BZ588" s="171"/>
    </row>
    <row r="589" spans="1:78">
      <c r="A589" s="171"/>
      <c r="B589" s="171"/>
      <c r="C589" s="171"/>
      <c r="D589" s="171"/>
      <c r="E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  <c r="AF589" s="171"/>
      <c r="AG589" s="171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171"/>
      <c r="AR589" s="171"/>
      <c r="AS589" s="171"/>
      <c r="AT589" s="171"/>
      <c r="AU589" s="171"/>
      <c r="AV589" s="171"/>
      <c r="AW589" s="171"/>
      <c r="AX589" s="171"/>
      <c r="AY589" s="171"/>
      <c r="AZ589" s="171"/>
      <c r="BA589" s="171"/>
      <c r="BB589" s="171"/>
      <c r="BC589" s="171"/>
      <c r="BD589" s="171"/>
      <c r="BE589" s="171"/>
      <c r="BF589" s="171"/>
      <c r="BG589" s="171"/>
      <c r="BH589" s="171"/>
      <c r="BI589" s="171"/>
      <c r="BJ589" s="171"/>
      <c r="BK589" s="171"/>
      <c r="BL589" s="171"/>
      <c r="BM589" s="171"/>
      <c r="BN589" s="171"/>
      <c r="BO589" s="171"/>
      <c r="BP589" s="171"/>
      <c r="BQ589" s="171"/>
      <c r="BR589" s="171"/>
      <c r="BS589" s="171"/>
      <c r="BT589" s="171"/>
      <c r="BU589" s="171"/>
      <c r="BV589" s="171"/>
      <c r="BW589" s="171"/>
      <c r="BX589" s="171"/>
      <c r="BY589" s="171"/>
      <c r="BZ589" s="171"/>
    </row>
    <row r="590" spans="1:78">
      <c r="A590" s="171"/>
      <c r="B590" s="171"/>
      <c r="C590" s="171"/>
      <c r="D590" s="171"/>
      <c r="E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71"/>
      <c r="AT590" s="171"/>
      <c r="AU590" s="171"/>
      <c r="AV590" s="171"/>
      <c r="AW590" s="171"/>
      <c r="AX590" s="171"/>
      <c r="AY590" s="171"/>
      <c r="AZ590" s="171"/>
      <c r="BA590" s="171"/>
      <c r="BB590" s="171"/>
      <c r="BC590" s="171"/>
      <c r="BD590" s="171"/>
      <c r="BE590" s="171"/>
      <c r="BF590" s="171"/>
      <c r="BG590" s="171"/>
      <c r="BH590" s="171"/>
      <c r="BI590" s="171"/>
      <c r="BJ590" s="171"/>
      <c r="BK590" s="171"/>
      <c r="BL590" s="171"/>
      <c r="BM590" s="171"/>
      <c r="BN590" s="171"/>
      <c r="BO590" s="171"/>
      <c r="BP590" s="171"/>
      <c r="BQ590" s="171"/>
      <c r="BR590" s="171"/>
      <c r="BS590" s="171"/>
      <c r="BT590" s="171"/>
      <c r="BU590" s="171"/>
      <c r="BV590" s="171"/>
      <c r="BW590" s="171"/>
      <c r="BX590" s="171"/>
      <c r="BY590" s="171"/>
      <c r="BZ590" s="171"/>
    </row>
    <row r="591" spans="1:78"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</row>
    <row r="592" spans="1:78"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</row>
    <row r="593" spans="1:78">
      <c r="A593" s="171"/>
      <c r="B593" s="171"/>
      <c r="C593" s="171"/>
      <c r="D593" s="171"/>
      <c r="E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71"/>
      <c r="AL593" s="171"/>
      <c r="AM593" s="171"/>
      <c r="AN593" s="171"/>
      <c r="AO593" s="171"/>
      <c r="AP593" s="171"/>
      <c r="AQ593" s="171"/>
      <c r="AR593" s="171"/>
      <c r="AS593" s="171"/>
      <c r="AT593" s="171"/>
      <c r="AU593" s="171"/>
      <c r="AV593" s="171"/>
      <c r="AW593" s="171"/>
      <c r="AX593" s="171"/>
      <c r="AY593" s="171"/>
      <c r="AZ593" s="171"/>
      <c r="BA593" s="171"/>
      <c r="BB593" s="171"/>
      <c r="BC593" s="171"/>
      <c r="BD593" s="171"/>
      <c r="BE593" s="171"/>
      <c r="BF593" s="171"/>
      <c r="BG593" s="171"/>
      <c r="BH593" s="171"/>
      <c r="BI593" s="171"/>
      <c r="BJ593" s="171"/>
      <c r="BK593" s="171"/>
      <c r="BL593" s="171"/>
      <c r="BM593" s="171"/>
      <c r="BN593" s="171"/>
      <c r="BO593" s="171"/>
      <c r="BP593" s="171"/>
      <c r="BQ593" s="171"/>
      <c r="BR593" s="171"/>
      <c r="BS593" s="171"/>
      <c r="BT593" s="171"/>
      <c r="BU593" s="171"/>
      <c r="BV593" s="171"/>
      <c r="BW593" s="171"/>
      <c r="BX593" s="171"/>
      <c r="BY593" s="171"/>
      <c r="BZ593" s="171"/>
    </row>
    <row r="594" spans="1:78">
      <c r="A594" s="171"/>
      <c r="B594" s="171"/>
      <c r="C594" s="171"/>
      <c r="D594" s="171"/>
      <c r="E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71"/>
      <c r="AL594" s="171"/>
      <c r="AM594" s="171"/>
      <c r="AN594" s="171"/>
      <c r="AO594" s="171"/>
      <c r="AP594" s="171"/>
      <c r="AQ594" s="171"/>
      <c r="AR594" s="171"/>
      <c r="AS594" s="171"/>
      <c r="AT594" s="171"/>
      <c r="AU594" s="171"/>
      <c r="AV594" s="171"/>
      <c r="AW594" s="171"/>
      <c r="AX594" s="171"/>
      <c r="AY594" s="171"/>
      <c r="AZ594" s="171"/>
      <c r="BA594" s="171"/>
      <c r="BB594" s="171"/>
      <c r="BC594" s="171"/>
      <c r="BD594" s="171"/>
      <c r="BE594" s="171"/>
      <c r="BF594" s="171"/>
      <c r="BG594" s="171"/>
      <c r="BH594" s="171"/>
      <c r="BI594" s="171"/>
      <c r="BJ594" s="171"/>
      <c r="BK594" s="171"/>
      <c r="BL594" s="171"/>
      <c r="BM594" s="171"/>
      <c r="BN594" s="171"/>
      <c r="BO594" s="171"/>
      <c r="BP594" s="171"/>
      <c r="BQ594" s="171"/>
      <c r="BR594" s="171"/>
      <c r="BS594" s="171"/>
      <c r="BT594" s="171"/>
      <c r="BU594" s="171"/>
      <c r="BV594" s="171"/>
      <c r="BW594" s="171"/>
      <c r="BX594" s="171"/>
      <c r="BY594" s="171"/>
      <c r="BZ594" s="171"/>
    </row>
    <row r="595" spans="1:78">
      <c r="A595" s="171"/>
      <c r="B595" s="171"/>
      <c r="C595" s="171"/>
      <c r="D595" s="171"/>
      <c r="E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71"/>
      <c r="AL595" s="171"/>
      <c r="AM595" s="171"/>
      <c r="AN595" s="171"/>
      <c r="AO595" s="171"/>
      <c r="AP595" s="171"/>
      <c r="AQ595" s="171"/>
      <c r="AR595" s="171"/>
      <c r="AS595" s="171"/>
      <c r="AT595" s="171"/>
      <c r="AU595" s="171"/>
      <c r="AV595" s="171"/>
      <c r="AW595" s="171"/>
      <c r="AX595" s="171"/>
      <c r="AY595" s="171"/>
      <c r="AZ595" s="171"/>
      <c r="BA595" s="171"/>
      <c r="BB595" s="171"/>
      <c r="BC595" s="171"/>
      <c r="BD595" s="171"/>
      <c r="BE595" s="171"/>
      <c r="BF595" s="171"/>
      <c r="BG595" s="171"/>
      <c r="BH595" s="171"/>
      <c r="BI595" s="171"/>
      <c r="BJ595" s="171"/>
      <c r="BK595" s="171"/>
      <c r="BL595" s="171"/>
      <c r="BM595" s="171"/>
      <c r="BN595" s="171"/>
      <c r="BO595" s="171"/>
      <c r="BP595" s="171"/>
      <c r="BQ595" s="171"/>
      <c r="BR595" s="171"/>
      <c r="BS595" s="171"/>
      <c r="BT595" s="171"/>
      <c r="BU595" s="171"/>
      <c r="BV595" s="171"/>
      <c r="BW595" s="171"/>
      <c r="BX595" s="171"/>
      <c r="BY595" s="171"/>
      <c r="BZ595" s="171"/>
    </row>
    <row r="596" spans="1:78"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</row>
    <row r="597" spans="1:78"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</row>
    <row r="598" spans="1:78"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</row>
    <row r="599" spans="1:78"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</row>
    <row r="600" spans="1:78"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</row>
    <row r="601" spans="1:78"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</row>
    <row r="602" spans="1:78"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</row>
    <row r="603" spans="1:78"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</row>
    <row r="604" spans="1:78"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</row>
    <row r="605" spans="1:78"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</row>
    <row r="606" spans="1:78"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</row>
    <row r="607" spans="1:78"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</row>
    <row r="608" spans="1:78"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</row>
    <row r="609" spans="2:12"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</row>
    <row r="610" spans="2:12"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</row>
    <row r="611" spans="2:12"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</row>
    <row r="612" spans="2:12"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</row>
    <row r="613" spans="2:12"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</row>
    <row r="614" spans="2:12"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</row>
    <row r="615" spans="2:12"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</row>
    <row r="616" spans="2:12"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</row>
    <row r="617" spans="2:12"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</row>
    <row r="618" spans="2:12"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</row>
    <row r="619" spans="2:12"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</row>
    <row r="620" spans="2:12"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</row>
    <row r="621" spans="2:12"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</row>
    <row r="622" spans="2:12"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</row>
    <row r="623" spans="2:12"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</row>
    <row r="624" spans="2:12"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</row>
    <row r="625" spans="1:78"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</row>
    <row r="626" spans="1:78"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</row>
    <row r="627" spans="1:78"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</row>
    <row r="628" spans="1:78">
      <c r="A628" s="171"/>
      <c r="B628" s="171"/>
      <c r="C628" s="171"/>
      <c r="D628" s="171"/>
      <c r="E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1"/>
      <c r="AR628" s="171"/>
      <c r="AS628" s="171"/>
      <c r="AT628" s="171"/>
      <c r="AU628" s="171"/>
      <c r="AV628" s="171"/>
      <c r="AW628" s="171"/>
      <c r="AX628" s="171"/>
      <c r="AY628" s="171"/>
      <c r="AZ628" s="171"/>
      <c r="BA628" s="171"/>
      <c r="BB628" s="171"/>
      <c r="BC628" s="171"/>
      <c r="BD628" s="171"/>
      <c r="BE628" s="171"/>
      <c r="BF628" s="171"/>
      <c r="BG628" s="171"/>
      <c r="BH628" s="171"/>
      <c r="BI628" s="171"/>
      <c r="BJ628" s="171"/>
      <c r="BK628" s="171"/>
      <c r="BL628" s="171"/>
      <c r="BM628" s="171"/>
      <c r="BN628" s="171"/>
      <c r="BO628" s="171"/>
      <c r="BP628" s="171"/>
      <c r="BQ628" s="171"/>
      <c r="BR628" s="171"/>
      <c r="BS628" s="171"/>
      <c r="BT628" s="171"/>
      <c r="BU628" s="171"/>
      <c r="BV628" s="171"/>
      <c r="BW628" s="171"/>
      <c r="BX628" s="171"/>
      <c r="BY628" s="171"/>
      <c r="BZ628" s="171"/>
    </row>
    <row r="629" spans="1:78">
      <c r="A629" s="171"/>
      <c r="B629" s="171"/>
      <c r="C629" s="171"/>
      <c r="D629" s="171"/>
      <c r="E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71"/>
      <c r="AL629" s="171"/>
      <c r="AM629" s="171"/>
      <c r="AN629" s="171"/>
      <c r="AO629" s="171"/>
      <c r="AP629" s="171"/>
      <c r="AQ629" s="171"/>
      <c r="AR629" s="171"/>
      <c r="AS629" s="171"/>
      <c r="AT629" s="171"/>
      <c r="AU629" s="171"/>
      <c r="AV629" s="171"/>
      <c r="AW629" s="171"/>
      <c r="AX629" s="171"/>
      <c r="AY629" s="171"/>
      <c r="AZ629" s="171"/>
      <c r="BA629" s="171"/>
      <c r="BB629" s="171"/>
      <c r="BC629" s="171"/>
      <c r="BD629" s="171"/>
      <c r="BE629" s="171"/>
      <c r="BF629" s="171"/>
      <c r="BG629" s="171"/>
      <c r="BH629" s="171"/>
      <c r="BI629" s="171"/>
      <c r="BJ629" s="171"/>
      <c r="BK629" s="171"/>
      <c r="BL629" s="171"/>
      <c r="BM629" s="171"/>
      <c r="BN629" s="171"/>
      <c r="BO629" s="171"/>
      <c r="BP629" s="171"/>
      <c r="BQ629" s="171"/>
      <c r="BR629" s="171"/>
      <c r="BS629" s="171"/>
      <c r="BT629" s="171"/>
      <c r="BU629" s="171"/>
      <c r="BV629" s="171"/>
      <c r="BW629" s="171"/>
      <c r="BX629" s="171"/>
      <c r="BY629" s="171"/>
      <c r="BZ629" s="171"/>
    </row>
    <row r="630" spans="1:78">
      <c r="A630" s="171"/>
      <c r="B630" s="171"/>
      <c r="C630" s="171"/>
      <c r="D630" s="171"/>
      <c r="E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  <c r="AB630" s="171"/>
      <c r="AC630" s="171"/>
      <c r="AD630" s="171"/>
      <c r="AE630" s="171"/>
      <c r="AF630" s="171"/>
      <c r="AG630" s="171"/>
      <c r="AH630" s="171"/>
      <c r="AI630" s="171"/>
      <c r="AJ630" s="171"/>
      <c r="AK630" s="171"/>
      <c r="AL630" s="171"/>
      <c r="AM630" s="171"/>
      <c r="AN630" s="171"/>
      <c r="AO630" s="171"/>
      <c r="AP630" s="171"/>
      <c r="AQ630" s="171"/>
      <c r="AR630" s="171"/>
      <c r="AS630" s="171"/>
      <c r="AT630" s="171"/>
      <c r="AU630" s="171"/>
      <c r="AV630" s="171"/>
      <c r="AW630" s="171"/>
      <c r="AX630" s="171"/>
      <c r="AY630" s="171"/>
      <c r="AZ630" s="171"/>
      <c r="BA630" s="171"/>
      <c r="BB630" s="171"/>
      <c r="BC630" s="171"/>
      <c r="BD630" s="171"/>
      <c r="BE630" s="171"/>
      <c r="BF630" s="171"/>
      <c r="BG630" s="171"/>
      <c r="BH630" s="171"/>
      <c r="BI630" s="171"/>
      <c r="BJ630" s="171"/>
      <c r="BK630" s="171"/>
      <c r="BL630" s="171"/>
      <c r="BM630" s="171"/>
      <c r="BN630" s="171"/>
      <c r="BO630" s="171"/>
      <c r="BP630" s="171"/>
      <c r="BQ630" s="171"/>
      <c r="BR630" s="171"/>
      <c r="BS630" s="171"/>
      <c r="BT630" s="171"/>
      <c r="BU630" s="171"/>
      <c r="BV630" s="171"/>
      <c r="BW630" s="171"/>
      <c r="BX630" s="171"/>
      <c r="BY630" s="171"/>
      <c r="BZ630" s="171"/>
    </row>
    <row r="631" spans="1:78">
      <c r="A631" s="171"/>
      <c r="B631" s="171"/>
      <c r="C631" s="171"/>
      <c r="D631" s="171"/>
      <c r="E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71"/>
      <c r="AL631" s="171"/>
      <c r="AM631" s="171"/>
      <c r="AN631" s="171"/>
      <c r="AO631" s="171"/>
      <c r="AP631" s="171"/>
      <c r="AQ631" s="171"/>
      <c r="AR631" s="171"/>
      <c r="AS631" s="171"/>
      <c r="AT631" s="171"/>
      <c r="AU631" s="171"/>
      <c r="AV631" s="171"/>
      <c r="AW631" s="171"/>
      <c r="AX631" s="171"/>
      <c r="AY631" s="171"/>
      <c r="AZ631" s="171"/>
      <c r="BA631" s="171"/>
      <c r="BB631" s="171"/>
      <c r="BC631" s="171"/>
      <c r="BD631" s="171"/>
      <c r="BE631" s="171"/>
      <c r="BF631" s="171"/>
      <c r="BG631" s="171"/>
      <c r="BH631" s="171"/>
      <c r="BI631" s="171"/>
      <c r="BJ631" s="171"/>
      <c r="BK631" s="171"/>
      <c r="BL631" s="171"/>
      <c r="BM631" s="171"/>
      <c r="BN631" s="171"/>
      <c r="BO631" s="171"/>
      <c r="BP631" s="171"/>
      <c r="BQ631" s="171"/>
      <c r="BR631" s="171"/>
      <c r="BS631" s="171"/>
      <c r="BT631" s="171"/>
      <c r="BU631" s="171"/>
      <c r="BV631" s="171"/>
      <c r="BW631" s="171"/>
      <c r="BX631" s="171"/>
      <c r="BY631" s="171"/>
      <c r="BZ631" s="171"/>
    </row>
    <row r="632" spans="1:78">
      <c r="A632" s="171"/>
      <c r="B632" s="171"/>
      <c r="C632" s="171"/>
      <c r="D632" s="171"/>
      <c r="E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71"/>
      <c r="AL632" s="171"/>
      <c r="AM632" s="171"/>
      <c r="AN632" s="171"/>
      <c r="AO632" s="171"/>
      <c r="AP632" s="171"/>
      <c r="AQ632" s="171"/>
      <c r="AR632" s="171"/>
      <c r="AS632" s="171"/>
      <c r="AT632" s="171"/>
      <c r="AU632" s="171"/>
      <c r="AV632" s="171"/>
      <c r="AW632" s="171"/>
      <c r="AX632" s="171"/>
      <c r="AY632" s="171"/>
      <c r="AZ632" s="171"/>
      <c r="BA632" s="171"/>
      <c r="BB632" s="171"/>
      <c r="BC632" s="171"/>
      <c r="BD632" s="171"/>
      <c r="BE632" s="171"/>
      <c r="BF632" s="171"/>
      <c r="BG632" s="171"/>
      <c r="BH632" s="171"/>
      <c r="BI632" s="171"/>
      <c r="BJ632" s="171"/>
      <c r="BK632" s="171"/>
      <c r="BL632" s="171"/>
      <c r="BM632" s="171"/>
      <c r="BN632" s="171"/>
      <c r="BO632" s="171"/>
      <c r="BP632" s="171"/>
      <c r="BQ632" s="171"/>
      <c r="BR632" s="171"/>
      <c r="BS632" s="171"/>
      <c r="BT632" s="171"/>
      <c r="BU632" s="171"/>
      <c r="BV632" s="171"/>
      <c r="BW632" s="171"/>
      <c r="BX632" s="171"/>
      <c r="BY632" s="171"/>
      <c r="BZ632" s="171"/>
    </row>
    <row r="633" spans="1:78">
      <c r="A633" s="171"/>
      <c r="B633" s="171"/>
      <c r="C633" s="171"/>
      <c r="D633" s="171"/>
      <c r="E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71"/>
      <c r="AL633" s="171"/>
      <c r="AM633" s="171"/>
      <c r="AN633" s="171"/>
      <c r="AO633" s="171"/>
      <c r="AP633" s="171"/>
      <c r="AQ633" s="171"/>
      <c r="AR633" s="171"/>
      <c r="AS633" s="171"/>
      <c r="AT633" s="171"/>
      <c r="AU633" s="171"/>
      <c r="AV633" s="171"/>
      <c r="AW633" s="171"/>
      <c r="AX633" s="171"/>
      <c r="AY633" s="171"/>
      <c r="AZ633" s="171"/>
      <c r="BA633" s="171"/>
      <c r="BB633" s="171"/>
      <c r="BC633" s="171"/>
      <c r="BD633" s="171"/>
      <c r="BE633" s="171"/>
      <c r="BF633" s="171"/>
      <c r="BG633" s="171"/>
      <c r="BH633" s="171"/>
      <c r="BI633" s="171"/>
      <c r="BJ633" s="171"/>
      <c r="BK633" s="171"/>
      <c r="BL633" s="171"/>
      <c r="BM633" s="171"/>
      <c r="BN633" s="171"/>
      <c r="BO633" s="171"/>
      <c r="BP633" s="171"/>
      <c r="BQ633" s="171"/>
      <c r="BR633" s="171"/>
      <c r="BS633" s="171"/>
      <c r="BT633" s="171"/>
      <c r="BU633" s="171"/>
      <c r="BV633" s="171"/>
      <c r="BW633" s="171"/>
      <c r="BX633" s="171"/>
      <c r="BY633" s="171"/>
      <c r="BZ633" s="171"/>
    </row>
    <row r="634" spans="1:78">
      <c r="A634" s="171"/>
      <c r="B634" s="171"/>
      <c r="C634" s="171"/>
      <c r="D634" s="171"/>
      <c r="E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1"/>
      <c r="AR634" s="171"/>
      <c r="AS634" s="171"/>
      <c r="AT634" s="171"/>
      <c r="AU634" s="171"/>
      <c r="AV634" s="171"/>
      <c r="AW634" s="171"/>
      <c r="AX634" s="171"/>
      <c r="AY634" s="171"/>
      <c r="AZ634" s="171"/>
      <c r="BA634" s="171"/>
      <c r="BB634" s="171"/>
      <c r="BC634" s="171"/>
      <c r="BD634" s="171"/>
      <c r="BE634" s="171"/>
      <c r="BF634" s="171"/>
      <c r="BG634" s="171"/>
      <c r="BH634" s="171"/>
      <c r="BI634" s="171"/>
      <c r="BJ634" s="171"/>
      <c r="BK634" s="171"/>
      <c r="BL634" s="171"/>
      <c r="BM634" s="171"/>
      <c r="BN634" s="171"/>
      <c r="BO634" s="171"/>
      <c r="BP634" s="171"/>
      <c r="BQ634" s="171"/>
      <c r="BR634" s="171"/>
      <c r="BS634" s="171"/>
      <c r="BT634" s="171"/>
      <c r="BU634" s="171"/>
      <c r="BV634" s="171"/>
      <c r="BW634" s="171"/>
      <c r="BX634" s="171"/>
      <c r="BY634" s="171"/>
      <c r="BZ634" s="171"/>
    </row>
    <row r="635" spans="1:78"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</row>
    <row r="636" spans="1:78">
      <c r="A636" s="171"/>
      <c r="B636" s="171"/>
      <c r="C636" s="171"/>
      <c r="D636" s="171"/>
      <c r="E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  <c r="AS636" s="171"/>
      <c r="AT636" s="171"/>
      <c r="AU636" s="171"/>
      <c r="AV636" s="171"/>
      <c r="AW636" s="171"/>
      <c r="AX636" s="171"/>
      <c r="AY636" s="171"/>
      <c r="AZ636" s="171"/>
      <c r="BA636" s="171"/>
      <c r="BB636" s="171"/>
      <c r="BC636" s="171"/>
      <c r="BD636" s="171"/>
      <c r="BE636" s="171"/>
      <c r="BF636" s="171"/>
      <c r="BG636" s="171"/>
      <c r="BH636" s="171"/>
      <c r="BI636" s="171"/>
      <c r="BJ636" s="171"/>
      <c r="BK636" s="171"/>
      <c r="BL636" s="171"/>
      <c r="BM636" s="171"/>
      <c r="BN636" s="171"/>
      <c r="BO636" s="171"/>
      <c r="BP636" s="171"/>
      <c r="BQ636" s="171"/>
      <c r="BR636" s="171"/>
      <c r="BS636" s="171"/>
      <c r="BT636" s="171"/>
      <c r="BU636" s="171"/>
      <c r="BV636" s="171"/>
      <c r="BW636" s="171"/>
      <c r="BX636" s="171"/>
      <c r="BY636" s="171"/>
      <c r="BZ636" s="171"/>
    </row>
    <row r="637" spans="1:78"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</row>
    <row r="638" spans="1:78"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</row>
    <row r="639" spans="1:78"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</row>
    <row r="640" spans="1:78"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</row>
    <row r="641" spans="2:12"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</row>
    <row r="642" spans="2:12"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BY642"/>
  <sheetViews>
    <sheetView workbookViewId="0"/>
  </sheetViews>
  <sheetFormatPr baseColWidth="10" defaultRowHeight="15"/>
  <cols>
    <col min="1" max="1" width="38.140625" style="168" customWidth="1"/>
    <col min="2" max="4" width="12.28515625" style="170" customWidth="1"/>
    <col min="5" max="6" width="12.28515625" style="171" customWidth="1"/>
    <col min="7" max="11" width="13.140625" style="171" customWidth="1"/>
    <col min="12" max="77" width="11.42578125" style="168"/>
    <col min="78" max="16384" width="11.42578125" style="300"/>
  </cols>
  <sheetData>
    <row r="1" spans="1:17" ht="28.5">
      <c r="A1" s="72" t="s">
        <v>45</v>
      </c>
      <c r="B1" s="73"/>
      <c r="C1" s="73"/>
      <c r="D1" s="73"/>
      <c r="E1" s="74" t="s">
        <v>46</v>
      </c>
      <c r="F1" s="75" t="s">
        <v>47</v>
      </c>
      <c r="G1" s="75"/>
      <c r="H1" s="74" t="s">
        <v>48</v>
      </c>
      <c r="I1" s="75">
        <v>4</v>
      </c>
      <c r="J1" s="74" t="s">
        <v>49</v>
      </c>
      <c r="K1" s="167">
        <v>43273</v>
      </c>
    </row>
    <row r="2" spans="1:17" ht="26.25">
      <c r="B2" s="169"/>
    </row>
    <row r="3" spans="1:17" ht="21">
      <c r="A3" s="172"/>
      <c r="B3" s="173"/>
      <c r="C3" s="174"/>
      <c r="D3" s="173"/>
      <c r="E3" s="175"/>
    </row>
    <row r="4" spans="1:17">
      <c r="B4" s="168"/>
    </row>
    <row r="5" spans="1:17" ht="21">
      <c r="A5" s="78" t="s">
        <v>96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</row>
    <row r="6" spans="1:17">
      <c r="B6" s="171"/>
      <c r="C6" s="171"/>
      <c r="D6" s="171"/>
    </row>
    <row r="7" spans="1:17" ht="16.5" thickBot="1">
      <c r="A7" s="91" t="s">
        <v>97</v>
      </c>
      <c r="B7" s="81"/>
      <c r="C7" s="81"/>
      <c r="D7" s="81"/>
      <c r="E7" s="80"/>
      <c r="F7" s="80"/>
      <c r="G7" s="80"/>
      <c r="H7" s="80"/>
      <c r="I7" s="80"/>
      <c r="J7" s="80"/>
      <c r="K7" s="80"/>
    </row>
    <row r="8" spans="1:17" ht="15.75" thickBot="1">
      <c r="A8" s="177" t="s">
        <v>51</v>
      </c>
      <c r="B8" s="178">
        <v>2000</v>
      </c>
      <c r="C8" s="178">
        <v>2020</v>
      </c>
      <c r="D8" s="178">
        <v>2025</v>
      </c>
      <c r="E8" s="178">
        <v>2030</v>
      </c>
      <c r="F8" s="178">
        <v>2050</v>
      </c>
      <c r="G8" s="179" t="s">
        <v>98</v>
      </c>
      <c r="H8" s="178" t="s">
        <v>99</v>
      </c>
      <c r="I8" s="178" t="s">
        <v>100</v>
      </c>
      <c r="J8" s="178" t="s">
        <v>101</v>
      </c>
      <c r="K8" s="180" t="s">
        <v>102</v>
      </c>
    </row>
    <row r="9" spans="1:17">
      <c r="A9" s="181" t="s">
        <v>103</v>
      </c>
      <c r="B9" s="182">
        <v>6.4882208233774001</v>
      </c>
      <c r="C9" s="182">
        <v>2.711658272486015</v>
      </c>
      <c r="D9" s="182">
        <v>2.0694837573480234</v>
      </c>
      <c r="E9" s="182">
        <v>1.2792356916645726</v>
      </c>
      <c r="F9" s="182">
        <v>0.14301841888332004</v>
      </c>
      <c r="G9" s="183">
        <v>-4.3856717185363436E-2</v>
      </c>
      <c r="H9" s="184">
        <v>-3.9155890253509851E-2</v>
      </c>
      <c r="I9" s="184">
        <v>-5.2617380910608635E-2</v>
      </c>
      <c r="J9" s="184">
        <v>-9.1724270817560183E-2</v>
      </c>
      <c r="K9" s="185">
        <v>-0.10376464890595904</v>
      </c>
      <c r="L9" s="186"/>
    </row>
    <row r="10" spans="1:17">
      <c r="A10" s="181" t="s">
        <v>54</v>
      </c>
      <c r="B10" s="182">
        <v>11.950886234578043</v>
      </c>
      <c r="C10" s="182">
        <v>11.195696919776323</v>
      </c>
      <c r="D10" s="182">
        <v>10.800016447823944</v>
      </c>
      <c r="E10" s="182">
        <v>9.5477189838742351</v>
      </c>
      <c r="F10" s="182">
        <v>2.6943614795288058</v>
      </c>
      <c r="G10" s="187">
        <v>-8.6230762237680114E-3</v>
      </c>
      <c r="H10" s="188">
        <v>1.3010127628632517E-2</v>
      </c>
      <c r="I10" s="188">
        <v>-7.1705369024327448E-3</v>
      </c>
      <c r="J10" s="188">
        <v>-2.4347768444455964E-2</v>
      </c>
      <c r="K10" s="189">
        <v>-6.129785201037008E-2</v>
      </c>
      <c r="L10" s="186"/>
    </row>
    <row r="11" spans="1:17">
      <c r="A11" s="181" t="s">
        <v>42</v>
      </c>
      <c r="B11" s="182">
        <v>6.5015903804985697</v>
      </c>
      <c r="C11" s="182">
        <v>3.3198094170969599</v>
      </c>
      <c r="D11" s="182">
        <v>2.5423677932736588</v>
      </c>
      <c r="E11" s="182">
        <v>2.1404310060694471</v>
      </c>
      <c r="F11" s="182">
        <v>0.74476022441954859</v>
      </c>
      <c r="G11" s="187">
        <v>-2.5093702071978807E-2</v>
      </c>
      <c r="H11" s="188">
        <v>-5.6525684335671289E-2</v>
      </c>
      <c r="I11" s="188">
        <v>-5.1963528653960478E-2</v>
      </c>
      <c r="J11" s="188">
        <v>-3.3832174138232918E-2</v>
      </c>
      <c r="K11" s="189">
        <v>-5.1416072065252116E-2</v>
      </c>
      <c r="L11" s="186"/>
    </row>
    <row r="12" spans="1:17">
      <c r="A12" s="181" t="s">
        <v>104</v>
      </c>
      <c r="B12" s="182">
        <v>11.393120739833542</v>
      </c>
      <c r="C12" s="182">
        <v>9.9582926839234336</v>
      </c>
      <c r="D12" s="182">
        <v>9.8067048760813069</v>
      </c>
      <c r="E12" s="182">
        <v>9.7332714684845882</v>
      </c>
      <c r="F12" s="182">
        <v>15.514724172011537</v>
      </c>
      <c r="G12" s="187">
        <v>-8.9509795210076515E-3</v>
      </c>
      <c r="H12" s="188">
        <v>5.3024071355434188E-5</v>
      </c>
      <c r="I12" s="188">
        <v>-3.0631622876613473E-3</v>
      </c>
      <c r="J12" s="188">
        <v>-1.502122314941734E-3</v>
      </c>
      <c r="K12" s="189">
        <v>2.3585820623661213E-2</v>
      </c>
      <c r="L12" s="186"/>
    </row>
    <row r="13" spans="1:17">
      <c r="A13" s="181" t="s">
        <v>105</v>
      </c>
      <c r="B13" s="182">
        <v>1.006189880699035</v>
      </c>
      <c r="C13" s="182">
        <v>1.8175992433811019</v>
      </c>
      <c r="D13" s="182">
        <v>1.7267141676849138</v>
      </c>
      <c r="E13" s="182">
        <v>1.5963024649877231</v>
      </c>
      <c r="F13" s="182">
        <v>0.65813392858338293</v>
      </c>
      <c r="G13" s="187">
        <v>3.9932893011980886E-2</v>
      </c>
      <c r="H13" s="188">
        <v>8.0091143316862734E-4</v>
      </c>
      <c r="I13" s="188">
        <v>-1.0206804551134763E-2</v>
      </c>
      <c r="J13" s="188">
        <v>-1.5583359495910276E-2</v>
      </c>
      <c r="K13" s="189">
        <v>-4.333484711513258E-2</v>
      </c>
      <c r="L13" s="186"/>
      <c r="N13" s="186"/>
      <c r="O13" s="186"/>
      <c r="P13" s="186"/>
      <c r="Q13" s="186"/>
    </row>
    <row r="14" spans="1:17">
      <c r="A14" s="181" t="s">
        <v>106</v>
      </c>
      <c r="B14" s="182">
        <v>1.5759140284908504</v>
      </c>
      <c r="C14" s="182">
        <v>2.3056545414466596</v>
      </c>
      <c r="D14" s="182">
        <v>2.6903397791497241</v>
      </c>
      <c r="E14" s="182">
        <v>3.202943064934769</v>
      </c>
      <c r="F14" s="182">
        <v>2.6819562899348819</v>
      </c>
      <c r="G14" s="187">
        <v>1.0203505635017596E-2</v>
      </c>
      <c r="H14" s="188">
        <v>4.6708447719812751E-2</v>
      </c>
      <c r="I14" s="188">
        <v>3.1341703280112876E-2</v>
      </c>
      <c r="J14" s="188">
        <v>3.5495979797013355E-2</v>
      </c>
      <c r="K14" s="189">
        <v>-8.8369033947823805E-3</v>
      </c>
      <c r="L14" s="186"/>
    </row>
    <row r="15" spans="1:17">
      <c r="A15" s="181"/>
      <c r="B15" s="182"/>
      <c r="C15" s="182"/>
      <c r="D15" s="182"/>
      <c r="E15" s="182"/>
      <c r="F15" s="182"/>
      <c r="G15" s="187"/>
      <c r="H15" s="188"/>
      <c r="I15" s="188"/>
      <c r="J15" s="188"/>
      <c r="K15" s="189"/>
      <c r="N15" s="186"/>
      <c r="O15" s="186"/>
      <c r="P15" s="186"/>
    </row>
    <row r="16" spans="1:17" ht="15.75" thickBot="1">
      <c r="A16" s="190" t="s">
        <v>10</v>
      </c>
      <c r="B16" s="191">
        <v>38.915922087477441</v>
      </c>
      <c r="C16" s="191">
        <v>31.308711078110491</v>
      </c>
      <c r="D16" s="191">
        <v>29.635626821361569</v>
      </c>
      <c r="E16" s="191">
        <v>27.499902680015332</v>
      </c>
      <c r="F16" s="191">
        <v>22.436954513361478</v>
      </c>
      <c r="G16" s="192">
        <v>-1.3273030719028855E-2</v>
      </c>
      <c r="H16" s="193">
        <v>-3.4098804545312777E-3</v>
      </c>
      <c r="I16" s="193">
        <v>-1.0923722377949918E-2</v>
      </c>
      <c r="J16" s="193">
        <v>-1.484762675992457E-2</v>
      </c>
      <c r="K16" s="194">
        <v>-1.0122078981262161E-2</v>
      </c>
    </row>
    <row r="17" spans="1:18">
      <c r="A17" s="195"/>
      <c r="C17" s="196"/>
      <c r="D17" s="196"/>
      <c r="E17" s="196"/>
      <c r="F17" s="196"/>
    </row>
    <row r="18" spans="1:18">
      <c r="E18" s="170"/>
    </row>
    <row r="19" spans="1:18" ht="16.5" thickBot="1">
      <c r="A19" s="91" t="s">
        <v>107</v>
      </c>
      <c r="B19" s="81"/>
      <c r="C19" s="81"/>
      <c r="D19" s="81"/>
      <c r="E19" s="81"/>
      <c r="F19" s="80"/>
      <c r="G19" s="80"/>
      <c r="H19" s="80"/>
      <c r="I19" s="80"/>
      <c r="J19" s="80"/>
      <c r="K19" s="80"/>
    </row>
    <row r="20" spans="1:18" ht="15.75" thickBot="1">
      <c r="A20" s="177" t="s">
        <v>51</v>
      </c>
      <c r="B20" s="178">
        <v>2000</v>
      </c>
      <c r="C20" s="178">
        <v>2020</v>
      </c>
      <c r="D20" s="178">
        <v>2025</v>
      </c>
      <c r="E20" s="178">
        <v>2030</v>
      </c>
      <c r="F20" s="178">
        <v>2050</v>
      </c>
      <c r="G20" s="197" t="s">
        <v>98</v>
      </c>
      <c r="H20" s="198" t="s">
        <v>99</v>
      </c>
      <c r="I20" s="198" t="s">
        <v>100</v>
      </c>
      <c r="J20" s="198" t="s">
        <v>101</v>
      </c>
      <c r="K20" s="199" t="s">
        <v>102</v>
      </c>
    </row>
    <row r="21" spans="1:18">
      <c r="A21" s="181" t="s">
        <v>108</v>
      </c>
      <c r="B21" s="200">
        <v>12.835644288573071</v>
      </c>
      <c r="C21" s="201">
        <v>11.660815430387672</v>
      </c>
      <c r="D21" s="201">
        <v>10.31575106799122</v>
      </c>
      <c r="E21" s="201">
        <v>8.5269295194929953</v>
      </c>
      <c r="F21" s="202">
        <v>3.1558487374952491</v>
      </c>
      <c r="G21" s="203">
        <v>-2.0418210296894168E-3</v>
      </c>
      <c r="H21" s="204">
        <v>-1.2981656397325958E-2</v>
      </c>
      <c r="I21" s="204">
        <v>-2.4214441228512018E-2</v>
      </c>
      <c r="J21" s="204">
        <v>-3.7372279095381211E-2</v>
      </c>
      <c r="K21" s="205">
        <v>-4.8483825121501511E-2</v>
      </c>
      <c r="Q21" s="206"/>
      <c r="R21" s="207"/>
    </row>
    <row r="22" spans="1:18">
      <c r="A22" s="181" t="s">
        <v>54</v>
      </c>
      <c r="B22" s="208">
        <v>1.6286979567685305</v>
      </c>
      <c r="C22" s="209">
        <v>1.0281731259785394</v>
      </c>
      <c r="D22" s="209">
        <v>0.8575152317057565</v>
      </c>
      <c r="E22" s="209">
        <v>0.65798930805195532</v>
      </c>
      <c r="F22" s="210">
        <v>0.28608823842971293</v>
      </c>
      <c r="G22" s="211">
        <v>-2.5734767101810885E-2</v>
      </c>
      <c r="H22" s="212">
        <v>-1.3689799048109075E-2</v>
      </c>
      <c r="I22" s="212">
        <v>-3.5649036012973534E-2</v>
      </c>
      <c r="J22" s="212">
        <v>-5.1591584964612802E-2</v>
      </c>
      <c r="K22" s="213">
        <v>-4.0789203540956387E-2</v>
      </c>
    </row>
    <row r="23" spans="1:18">
      <c r="A23" s="181" t="s">
        <v>42</v>
      </c>
      <c r="B23" s="214">
        <v>0.15113499999999999</v>
      </c>
      <c r="C23" s="209">
        <v>0.21790583023693955</v>
      </c>
      <c r="D23" s="209">
        <v>0.11450973903079993</v>
      </c>
      <c r="E23" s="209">
        <v>0</v>
      </c>
      <c r="F23" s="210">
        <v>0</v>
      </c>
      <c r="G23" s="211"/>
      <c r="H23" s="212"/>
      <c r="I23" s="212"/>
      <c r="J23" s="212"/>
      <c r="K23" s="213"/>
    </row>
    <row r="24" spans="1:18">
      <c r="A24" s="181" t="s">
        <v>109</v>
      </c>
      <c r="B24" s="214">
        <v>0</v>
      </c>
      <c r="C24" s="209">
        <v>0</v>
      </c>
      <c r="D24" s="209">
        <v>0.42992261392949233</v>
      </c>
      <c r="E24" s="209">
        <v>1.2897678417884793</v>
      </c>
      <c r="F24" s="210">
        <v>1.7196904557179702</v>
      </c>
      <c r="G24" s="211"/>
      <c r="H24" s="212"/>
      <c r="I24" s="212"/>
      <c r="J24" s="212"/>
      <c r="K24" s="213"/>
    </row>
    <row r="25" spans="1:18">
      <c r="A25" s="181"/>
      <c r="B25" s="214"/>
      <c r="C25" s="209"/>
      <c r="D25" s="209"/>
      <c r="E25" s="209"/>
      <c r="F25" s="210"/>
      <c r="G25" s="211"/>
      <c r="H25" s="212"/>
      <c r="I25" s="212"/>
      <c r="J25" s="212"/>
      <c r="K25" s="213"/>
    </row>
    <row r="26" spans="1:18" ht="15.75" thickBot="1">
      <c r="A26" s="190" t="s">
        <v>10</v>
      </c>
      <c r="B26" s="215">
        <v>14.615477245341602</v>
      </c>
      <c r="C26" s="191">
        <v>12.906894386603151</v>
      </c>
      <c r="D26" s="191">
        <v>11.717698652657269</v>
      </c>
      <c r="E26" s="191">
        <v>10.47468666933343</v>
      </c>
      <c r="F26" s="216">
        <v>5.1616274316429323</v>
      </c>
      <c r="G26" s="217">
        <v>-3.5586811437722243E-3</v>
      </c>
      <c r="H26" s="218">
        <v>-1.4068897056350838E-2</v>
      </c>
      <c r="I26" s="218">
        <v>-1.914657319213442E-2</v>
      </c>
      <c r="J26" s="218">
        <v>-2.2178137489036853E-2</v>
      </c>
      <c r="K26" s="219">
        <v>-3.4766735015457351E-2</v>
      </c>
      <c r="R26" s="207"/>
    </row>
    <row r="27" spans="1:18">
      <c r="A27" s="195"/>
      <c r="E27" s="170"/>
    </row>
    <row r="28" spans="1:18">
      <c r="A28" s="195"/>
      <c r="E28" s="170"/>
    </row>
    <row r="29" spans="1:18" ht="16.5" thickBot="1">
      <c r="A29" s="91" t="s">
        <v>110</v>
      </c>
      <c r="B29" s="81"/>
      <c r="C29" s="81"/>
      <c r="D29" s="81"/>
      <c r="E29" s="81"/>
      <c r="F29" s="80"/>
      <c r="G29" s="80"/>
      <c r="H29" s="80"/>
      <c r="I29" s="80"/>
      <c r="J29" s="80"/>
      <c r="K29" s="80"/>
      <c r="Q29" s="207"/>
      <c r="R29" s="207"/>
    </row>
    <row r="30" spans="1:18" ht="15.75" thickBot="1">
      <c r="A30" s="177" t="s">
        <v>51</v>
      </c>
      <c r="B30" s="178">
        <v>2000</v>
      </c>
      <c r="C30" s="178">
        <v>2020</v>
      </c>
      <c r="D30" s="178">
        <v>2025</v>
      </c>
      <c r="E30" s="178">
        <v>2030</v>
      </c>
      <c r="F30" s="178">
        <v>2050</v>
      </c>
      <c r="G30" s="197" t="s">
        <v>98</v>
      </c>
      <c r="H30" s="198" t="s">
        <v>99</v>
      </c>
      <c r="I30" s="198" t="s">
        <v>100</v>
      </c>
      <c r="J30" s="198" t="s">
        <v>101</v>
      </c>
      <c r="K30" s="199" t="s">
        <v>102</v>
      </c>
    </row>
    <row r="31" spans="1:18">
      <c r="A31" s="220" t="s">
        <v>111</v>
      </c>
      <c r="B31" s="221">
        <v>8.0394712179039001</v>
      </c>
      <c r="C31" s="221">
        <v>4.8189112632570161</v>
      </c>
      <c r="D31" s="221">
        <v>4.4760530996958234</v>
      </c>
      <c r="E31" s="221">
        <v>4.034274047820249</v>
      </c>
      <c r="F31" s="221">
        <v>2.3625478953926566</v>
      </c>
      <c r="G31" s="203">
        <v>-2.882004035877217E-2</v>
      </c>
      <c r="H31" s="204">
        <v>-1.4526041240476739E-2</v>
      </c>
      <c r="I31" s="204">
        <v>-1.4652860485782848E-2</v>
      </c>
      <c r="J31" s="204">
        <v>-2.0568577068076799E-2</v>
      </c>
      <c r="K31" s="205">
        <v>-2.639956052647785E-2</v>
      </c>
      <c r="M31" s="222"/>
      <c r="N31" s="222"/>
      <c r="O31" s="222"/>
      <c r="P31" s="222"/>
      <c r="Q31" s="222"/>
      <c r="R31" s="222"/>
    </row>
    <row r="32" spans="1:18">
      <c r="A32" s="223" t="s">
        <v>112</v>
      </c>
      <c r="B32" s="224">
        <v>6.7332839541308918</v>
      </c>
      <c r="C32" s="224">
        <v>3.9812495031513686</v>
      </c>
      <c r="D32" s="224">
        <v>3.6923797759723485</v>
      </c>
      <c r="E32" s="224">
        <v>3.332224397234743</v>
      </c>
      <c r="F32" s="224">
        <v>1.8202122308792859</v>
      </c>
      <c r="G32" s="211">
        <v>-2.9090690523181584E-2</v>
      </c>
      <c r="H32" s="212">
        <v>-1.6390992381878799E-2</v>
      </c>
      <c r="I32" s="212">
        <v>-1.4951999893957013E-2</v>
      </c>
      <c r="J32" s="212">
        <v>-2.031699267299869E-2</v>
      </c>
      <c r="K32" s="213">
        <v>-2.9781861944458865E-2</v>
      </c>
      <c r="M32" s="222"/>
      <c r="N32" s="222"/>
      <c r="O32" s="222"/>
      <c r="P32" s="222"/>
      <c r="Q32" s="222"/>
      <c r="R32" s="222"/>
    </row>
    <row r="33" spans="1:18">
      <c r="A33" s="223" t="s">
        <v>113</v>
      </c>
      <c r="B33" s="224">
        <v>0.77559051401547718</v>
      </c>
      <c r="C33" s="224">
        <v>0.49901663802665519</v>
      </c>
      <c r="D33" s="224">
        <v>0.4385274002579535</v>
      </c>
      <c r="E33" s="224">
        <v>0.35964135580395529</v>
      </c>
      <c r="F33" s="224">
        <v>0.18359310283748928</v>
      </c>
      <c r="G33" s="211">
        <v>-2.3758508572556902E-2</v>
      </c>
      <c r="H33" s="212">
        <v>-1.5932877830166836E-2</v>
      </c>
      <c r="I33" s="212">
        <v>-2.5512345193146713E-2</v>
      </c>
      <c r="J33" s="212">
        <v>-3.8886719318729335E-2</v>
      </c>
      <c r="K33" s="213">
        <v>-3.306042203497761E-2</v>
      </c>
      <c r="M33" s="222"/>
      <c r="N33" s="222"/>
      <c r="O33" s="222"/>
      <c r="P33" s="222"/>
      <c r="Q33" s="222"/>
      <c r="R33" s="222"/>
    </row>
    <row r="34" spans="1:18">
      <c r="A34" s="220" t="s">
        <v>114</v>
      </c>
      <c r="B34" s="209">
        <v>10.4052195619748</v>
      </c>
      <c r="C34" s="209">
        <v>8.5747209162678235</v>
      </c>
      <c r="D34" s="209">
        <v>7.9700493999923374</v>
      </c>
      <c r="E34" s="209">
        <v>7.3160300469747304</v>
      </c>
      <c r="F34" s="209">
        <v>5.3559195704119285</v>
      </c>
      <c r="G34" s="211">
        <v>-1.2073221594690486E-2</v>
      </c>
      <c r="H34" s="212">
        <v>-2.2551914850852395E-3</v>
      </c>
      <c r="I34" s="212">
        <v>-1.4519117202353105E-2</v>
      </c>
      <c r="J34" s="212">
        <v>-1.6978778630905356E-2</v>
      </c>
      <c r="K34" s="213">
        <v>-1.5472325734152914E-2</v>
      </c>
      <c r="M34" s="222"/>
      <c r="N34" s="222"/>
      <c r="O34" s="222"/>
      <c r="P34" s="222"/>
      <c r="Q34" s="222"/>
      <c r="R34" s="222"/>
    </row>
    <row r="35" spans="1:18">
      <c r="A35" s="223" t="s">
        <v>115</v>
      </c>
      <c r="B35" s="224">
        <v>0.68312001018483248</v>
      </c>
      <c r="C35" s="224">
        <v>0.46535362937149954</v>
      </c>
      <c r="D35" s="224">
        <v>0.45012248171260294</v>
      </c>
      <c r="E35" s="224">
        <v>0.4345029990589041</v>
      </c>
      <c r="F35" s="224">
        <v>0.35450138063253811</v>
      </c>
      <c r="G35" s="211">
        <v>-2.3163343596647179E-2</v>
      </c>
      <c r="H35" s="212">
        <v>-6.4462326771118628E-3</v>
      </c>
      <c r="I35" s="212">
        <v>-6.6334772092663252E-3</v>
      </c>
      <c r="J35" s="212">
        <v>-7.0384890511416831E-3</v>
      </c>
      <c r="K35" s="213">
        <v>-1.012294488951071E-2</v>
      </c>
      <c r="M35" s="222"/>
      <c r="N35" s="222"/>
      <c r="O35" s="222"/>
      <c r="P35" s="222"/>
      <c r="Q35" s="222"/>
      <c r="R35" s="222"/>
    </row>
    <row r="36" spans="1:18">
      <c r="A36" s="223" t="s">
        <v>116</v>
      </c>
      <c r="B36" s="224">
        <v>5.1075100039894741</v>
      </c>
      <c r="C36" s="224">
        <v>3.9802354628579977</v>
      </c>
      <c r="D36" s="224">
        <v>3.5585465158029939</v>
      </c>
      <c r="E36" s="224">
        <v>3.1592018945886431</v>
      </c>
      <c r="F36" s="224">
        <v>1.5111257706517573</v>
      </c>
      <c r="G36" s="211">
        <v>-1.2737129908311662E-2</v>
      </c>
      <c r="H36" s="212">
        <v>-1.135244676972591E-2</v>
      </c>
      <c r="I36" s="212">
        <v>-2.2148792341749046E-2</v>
      </c>
      <c r="J36" s="212">
        <v>-2.3525409252853957E-2</v>
      </c>
      <c r="K36" s="213">
        <v>-3.6201687547356975E-2</v>
      </c>
      <c r="M36" s="222"/>
      <c r="N36" s="222"/>
      <c r="O36" s="222"/>
      <c r="P36" s="222"/>
      <c r="Q36" s="222"/>
      <c r="R36" s="222"/>
    </row>
    <row r="37" spans="1:18">
      <c r="A37" s="223" t="s">
        <v>117</v>
      </c>
      <c r="B37" s="224">
        <v>0.54892519346517621</v>
      </c>
      <c r="C37" s="224">
        <v>0.33269131556319864</v>
      </c>
      <c r="D37" s="224">
        <v>0.32182287188306102</v>
      </c>
      <c r="E37" s="224">
        <v>0.31129836629406704</v>
      </c>
      <c r="F37" s="224">
        <v>0.27253654342218397</v>
      </c>
      <c r="G37" s="211">
        <v>-3.068602496959294E-2</v>
      </c>
      <c r="H37" s="212">
        <v>-6.6272609556158324E-3</v>
      </c>
      <c r="I37" s="212">
        <v>-6.6207402593306819E-3</v>
      </c>
      <c r="J37" s="212">
        <v>-6.6278338643249723E-3</v>
      </c>
      <c r="K37" s="213">
        <v>-6.6269006013536247E-3</v>
      </c>
      <c r="M37" s="222"/>
      <c r="N37" s="222"/>
      <c r="O37" s="222"/>
      <c r="P37" s="222"/>
      <c r="Q37" s="222"/>
      <c r="R37" s="222"/>
    </row>
    <row r="38" spans="1:18">
      <c r="A38" s="220" t="s">
        <v>118</v>
      </c>
      <c r="B38" s="209">
        <v>4.5197668823632196</v>
      </c>
      <c r="C38" s="209">
        <v>3.5939518890223505</v>
      </c>
      <c r="D38" s="209">
        <v>3.5731264927694912</v>
      </c>
      <c r="E38" s="209">
        <v>3.5249925120089616</v>
      </c>
      <c r="F38" s="209">
        <v>3.5267403011479717</v>
      </c>
      <c r="G38" s="211">
        <v>-1.7885128597275535E-2</v>
      </c>
      <c r="H38" s="212">
        <v>8.3339337189247686E-3</v>
      </c>
      <c r="I38" s="212">
        <v>-1.1616090068351514E-3</v>
      </c>
      <c r="J38" s="212">
        <v>-2.7088581652070509E-3</v>
      </c>
      <c r="K38" s="213">
        <v>2.4785551026695885E-5</v>
      </c>
      <c r="M38" s="222"/>
      <c r="N38" s="222"/>
      <c r="O38" s="222"/>
      <c r="P38" s="222"/>
      <c r="Q38" s="222"/>
      <c r="R38" s="222"/>
    </row>
    <row r="39" spans="1:18">
      <c r="A39" s="223" t="s">
        <v>119</v>
      </c>
      <c r="B39" s="224">
        <v>1.7363799820886927</v>
      </c>
      <c r="C39" s="224">
        <v>1.5461615372952193</v>
      </c>
      <c r="D39" s="224">
        <v>1.5256008725872698</v>
      </c>
      <c r="E39" s="224">
        <v>1.5067153122042294</v>
      </c>
      <c r="F39" s="224">
        <v>1.3892801680948215</v>
      </c>
      <c r="G39" s="211">
        <v>-1.4175951100393935E-2</v>
      </c>
      <c r="H39" s="212">
        <v>1.9820631419208867E-2</v>
      </c>
      <c r="I39" s="212">
        <v>-2.6738358547824248E-3</v>
      </c>
      <c r="J39" s="212">
        <v>-2.4881705096504447E-3</v>
      </c>
      <c r="K39" s="213">
        <v>-4.0490923890846853E-3</v>
      </c>
      <c r="M39" s="222"/>
      <c r="N39" s="222"/>
      <c r="O39" s="222"/>
      <c r="P39" s="222"/>
      <c r="Q39" s="222"/>
      <c r="R39" s="222"/>
    </row>
    <row r="40" spans="1:18">
      <c r="A40" s="223" t="s">
        <v>120</v>
      </c>
      <c r="B40" s="224">
        <v>1.4736883103796508</v>
      </c>
      <c r="C40" s="224">
        <v>1.2383921973845406</v>
      </c>
      <c r="D40" s="224">
        <v>1.1906485453709426</v>
      </c>
      <c r="E40" s="224">
        <v>1.1445541574232407</v>
      </c>
      <c r="F40" s="224">
        <v>1.0408883823018047</v>
      </c>
      <c r="G40" s="211">
        <v>-8.9571162177584096E-3</v>
      </c>
      <c r="H40" s="212">
        <v>-7.7681318092893692E-3</v>
      </c>
      <c r="I40" s="212">
        <v>-7.832319975623836E-3</v>
      </c>
      <c r="J40" s="212">
        <v>-7.8654989502765504E-3</v>
      </c>
      <c r="K40" s="213">
        <v>-4.735781493586555E-3</v>
      </c>
      <c r="M40" s="222"/>
      <c r="N40" s="222"/>
      <c r="O40" s="222"/>
      <c r="P40" s="222"/>
      <c r="Q40" s="222"/>
      <c r="R40" s="222"/>
    </row>
    <row r="41" spans="1:18">
      <c r="A41" s="220" t="s">
        <v>121</v>
      </c>
      <c r="B41" s="209">
        <v>5.1496266408640006</v>
      </c>
      <c r="C41" s="209">
        <v>5.7947319886055908</v>
      </c>
      <c r="D41" s="209">
        <v>5.4994903722760293</v>
      </c>
      <c r="E41" s="209">
        <v>5.0785513846847703</v>
      </c>
      <c r="F41" s="209">
        <v>4.4458524021286028</v>
      </c>
      <c r="G41" s="211">
        <v>8.8280283181072505E-3</v>
      </c>
      <c r="H41" s="212">
        <v>-2.7590517378522916E-3</v>
      </c>
      <c r="I41" s="212">
        <v>-1.04042570745142E-2</v>
      </c>
      <c r="J41" s="212">
        <v>-1.5799727411699438E-2</v>
      </c>
      <c r="K41" s="213">
        <v>-6.6306418028676539E-3</v>
      </c>
      <c r="M41" s="222"/>
      <c r="N41" s="222"/>
      <c r="O41" s="222"/>
      <c r="P41" s="222"/>
      <c r="Q41" s="222"/>
      <c r="R41" s="222"/>
    </row>
    <row r="42" spans="1:18">
      <c r="A42" s="223" t="s">
        <v>122</v>
      </c>
      <c r="B42" s="224">
        <v>0.89190999086672396</v>
      </c>
      <c r="C42" s="224">
        <v>0.8485436215493638</v>
      </c>
      <c r="D42" s="224">
        <v>0.81354744611713548</v>
      </c>
      <c r="E42" s="224">
        <v>0.78116236174021758</v>
      </c>
      <c r="F42" s="224">
        <v>0.69562637154176654</v>
      </c>
      <c r="G42" s="211">
        <v>-4.2727375856344008E-4</v>
      </c>
      <c r="H42" s="212">
        <v>-8.6490302339939928E-3</v>
      </c>
      <c r="I42" s="212">
        <v>-8.3880711873516312E-3</v>
      </c>
      <c r="J42" s="212">
        <v>-8.0913336247184775E-3</v>
      </c>
      <c r="K42" s="213">
        <v>-5.7817372560600155E-3</v>
      </c>
      <c r="M42" s="222"/>
      <c r="N42" s="222"/>
      <c r="O42" s="222"/>
      <c r="P42" s="222"/>
      <c r="Q42" s="222"/>
      <c r="R42" s="222"/>
    </row>
    <row r="43" spans="1:18">
      <c r="A43" s="220" t="s">
        <v>123</v>
      </c>
      <c r="B43" s="209">
        <v>4.7684999999999995</v>
      </c>
      <c r="C43" s="209">
        <v>3.921195330620419</v>
      </c>
      <c r="D43" s="209">
        <v>3.8385167614785702</v>
      </c>
      <c r="E43" s="209">
        <v>3.6669911224921985</v>
      </c>
      <c r="F43" s="209">
        <v>3.7611211162741518</v>
      </c>
      <c r="G43" s="211">
        <v>-1.4504478070025084E-2</v>
      </c>
      <c r="H43" s="212">
        <v>4.7161248590787963E-3</v>
      </c>
      <c r="I43" s="212">
        <v>-4.2530314663815627E-3</v>
      </c>
      <c r="J43" s="212">
        <v>-9.1012434194077674E-3</v>
      </c>
      <c r="K43" s="213">
        <v>1.2680840401131377E-3</v>
      </c>
      <c r="M43" s="222"/>
      <c r="N43" s="222"/>
      <c r="O43" s="222"/>
      <c r="P43" s="222"/>
      <c r="Q43" s="222"/>
      <c r="R43" s="222"/>
    </row>
    <row r="44" spans="1:18">
      <c r="A44" s="220" t="s">
        <v>124</v>
      </c>
      <c r="B44" s="209">
        <v>6.0333377843715192</v>
      </c>
      <c r="C44" s="209">
        <v>4.605199690337292</v>
      </c>
      <c r="D44" s="209">
        <v>4.2783906951493194</v>
      </c>
      <c r="E44" s="209">
        <v>3.8790635660344259</v>
      </c>
      <c r="F44" s="209">
        <v>2.9847732280061638</v>
      </c>
      <c r="G44" s="211">
        <v>-1.4611845468938789E-2</v>
      </c>
      <c r="H44" s="212">
        <v>-9.8154322852737064E-3</v>
      </c>
      <c r="I44" s="212">
        <v>-1.4613983738678837E-2</v>
      </c>
      <c r="J44" s="212">
        <v>-1.9405865678447376E-2</v>
      </c>
      <c r="K44" s="213">
        <v>-1.3018023004762513E-2</v>
      </c>
      <c r="M44" s="222"/>
      <c r="N44" s="222"/>
      <c r="O44" s="222"/>
      <c r="P44" s="222"/>
      <c r="Q44" s="222"/>
      <c r="R44" s="222"/>
    </row>
    <row r="45" spans="1:18">
      <c r="A45" s="223" t="s">
        <v>125</v>
      </c>
      <c r="B45" s="225">
        <v>3.7799499921678623</v>
      </c>
      <c r="C45" s="225">
        <v>3.0280435613801702</v>
      </c>
      <c r="D45" s="225">
        <v>2.8199788022422916</v>
      </c>
      <c r="E45" s="225">
        <v>2.5460005922355178</v>
      </c>
      <c r="F45" s="225">
        <v>1.8797035765152388</v>
      </c>
      <c r="G45" s="211">
        <v>-1.0949147569268014E-2</v>
      </c>
      <c r="H45" s="212">
        <v>-1.1266274495920436E-2</v>
      </c>
      <c r="I45" s="212">
        <v>-1.4136597243633697E-2</v>
      </c>
      <c r="J45" s="212">
        <v>-2.0233623483975283E-2</v>
      </c>
      <c r="K45" s="213">
        <v>-1.5055989955698346E-2</v>
      </c>
      <c r="M45" s="222"/>
      <c r="N45" s="222"/>
      <c r="O45" s="222"/>
      <c r="P45" s="222"/>
      <c r="Q45" s="222"/>
      <c r="R45" s="222"/>
    </row>
    <row r="46" spans="1:18">
      <c r="A46" s="181"/>
      <c r="B46" s="182"/>
      <c r="C46" s="182"/>
      <c r="D46" s="182"/>
      <c r="E46" s="182"/>
      <c r="F46" s="182"/>
      <c r="G46" s="211"/>
      <c r="H46" s="212"/>
      <c r="I46" s="212"/>
      <c r="J46" s="212"/>
      <c r="K46" s="213"/>
    </row>
    <row r="47" spans="1:18">
      <c r="A47" s="181"/>
      <c r="B47" s="182"/>
      <c r="C47" s="182"/>
      <c r="D47" s="182"/>
      <c r="E47" s="182"/>
      <c r="F47" s="182"/>
      <c r="G47" s="211"/>
      <c r="H47" s="212"/>
      <c r="I47" s="212"/>
      <c r="J47" s="212"/>
      <c r="K47" s="213"/>
    </row>
    <row r="48" spans="1:18" ht="15.75" thickBot="1">
      <c r="A48" s="190" t="s">
        <v>10</v>
      </c>
      <c r="B48" s="226">
        <v>38.915922087477433</v>
      </c>
      <c r="C48" s="226">
        <v>31.308711078110491</v>
      </c>
      <c r="D48" s="226">
        <v>29.635626821361569</v>
      </c>
      <c r="E48" s="226">
        <v>27.499902680015339</v>
      </c>
      <c r="F48" s="226">
        <v>22.436954513361474</v>
      </c>
      <c r="G48" s="217">
        <v>-1.3273030719028855E-2</v>
      </c>
      <c r="H48" s="218">
        <v>-3.4098804545312777E-3</v>
      </c>
      <c r="I48" s="218">
        <v>-1.0923722377949918E-2</v>
      </c>
      <c r="J48" s="218">
        <v>-1.4847626759924459E-2</v>
      </c>
      <c r="K48" s="219">
        <v>-1.0122078981262272E-2</v>
      </c>
    </row>
    <row r="49" spans="1:18" ht="15.75" thickBot="1">
      <c r="A49" s="195"/>
      <c r="E49" s="170"/>
    </row>
    <row r="50" spans="1:18" ht="15.75" thickBot="1">
      <c r="A50" s="227" t="s">
        <v>126</v>
      </c>
      <c r="B50" s="228">
        <v>21.730357951288781</v>
      </c>
      <c r="C50" s="228">
        <v>15.919687466580012</v>
      </c>
      <c r="D50" s="228">
        <v>14.811174711946599</v>
      </c>
      <c r="E50" s="228">
        <v>13.575301436583517</v>
      </c>
      <c r="F50" s="228">
        <v>9.1474675268768859</v>
      </c>
      <c r="G50" s="229">
        <v>-1.7464530547261159E-2</v>
      </c>
      <c r="H50" s="230">
        <v>-9.3304384083779945E-3</v>
      </c>
      <c r="I50" s="230">
        <v>-1.4331236969760019E-2</v>
      </c>
      <c r="J50" s="230">
        <v>-1.7275020441781752E-2</v>
      </c>
      <c r="K50" s="231">
        <v>-1.9545216478406569E-2</v>
      </c>
    </row>
    <row r="51" spans="1:18">
      <c r="A51" s="232"/>
      <c r="B51" s="233"/>
      <c r="C51" s="233"/>
      <c r="D51" s="233"/>
      <c r="E51" s="233"/>
      <c r="F51" s="233"/>
      <c r="G51" s="212"/>
      <c r="H51" s="212"/>
      <c r="I51" s="212"/>
      <c r="J51" s="212"/>
      <c r="K51" s="212"/>
    </row>
    <row r="52" spans="1:18">
      <c r="B52" s="234"/>
      <c r="D52" s="171"/>
    </row>
    <row r="53" spans="1:18" ht="16.5" thickBot="1">
      <c r="A53" s="91" t="s">
        <v>127</v>
      </c>
      <c r="B53" s="81"/>
      <c r="C53" s="81"/>
      <c r="D53" s="80"/>
      <c r="E53" s="80"/>
      <c r="F53" s="80"/>
      <c r="G53" s="80"/>
      <c r="H53" s="80"/>
      <c r="I53" s="80"/>
      <c r="J53" s="80"/>
      <c r="K53" s="80"/>
    </row>
    <row r="54" spans="1:18" ht="15.75" thickBot="1">
      <c r="A54" s="235" t="s">
        <v>128</v>
      </c>
      <c r="B54" s="178">
        <v>2000</v>
      </c>
      <c r="C54" s="178">
        <v>2020</v>
      </c>
      <c r="D54" s="178">
        <v>2025</v>
      </c>
      <c r="E54" s="178">
        <v>2030</v>
      </c>
      <c r="F54" s="178">
        <v>2050</v>
      </c>
      <c r="G54" s="197" t="s">
        <v>98</v>
      </c>
      <c r="H54" s="198" t="s">
        <v>99</v>
      </c>
      <c r="I54" s="198" t="s">
        <v>100</v>
      </c>
      <c r="J54" s="198" t="s">
        <v>101</v>
      </c>
      <c r="K54" s="199" t="s">
        <v>102</v>
      </c>
    </row>
    <row r="55" spans="1:18">
      <c r="A55" s="220" t="s">
        <v>111</v>
      </c>
      <c r="B55" s="209">
        <v>22.518680393209301</v>
      </c>
      <c r="C55" s="209">
        <v>16.792292253229824</v>
      </c>
      <c r="D55" s="209">
        <v>16.609782512524042</v>
      </c>
      <c r="E55" s="209">
        <v>16.345912080578128</v>
      </c>
      <c r="F55" s="209">
        <v>16.542048660589597</v>
      </c>
      <c r="G55" s="203">
        <v>-1.9484576089642713E-2</v>
      </c>
      <c r="H55" s="204">
        <v>3.457246287976723E-4</v>
      </c>
      <c r="I55" s="204">
        <v>-2.1832446285263707E-3</v>
      </c>
      <c r="J55" s="204">
        <v>-3.1976743828334708E-3</v>
      </c>
      <c r="K55" s="205">
        <v>5.9656299673127577E-4</v>
      </c>
      <c r="M55" s="222"/>
      <c r="N55" s="222"/>
      <c r="O55" s="222"/>
      <c r="P55" s="222"/>
      <c r="Q55" s="222"/>
      <c r="R55" s="222"/>
    </row>
    <row r="56" spans="1:18">
      <c r="A56" s="223" t="s">
        <v>112</v>
      </c>
      <c r="B56" s="224">
        <v>12.717519555999999</v>
      </c>
      <c r="C56" s="224">
        <v>9.0894383160000007</v>
      </c>
      <c r="D56" s="224">
        <v>9.3297613320000004</v>
      </c>
      <c r="E56" s="236">
        <v>9.7280223479999997</v>
      </c>
      <c r="F56" s="224">
        <v>11.069596652632001</v>
      </c>
      <c r="G56" s="211">
        <v>-2.3522445296106476E-2</v>
      </c>
      <c r="H56" s="212">
        <v>4.2460480621713259E-3</v>
      </c>
      <c r="I56" s="212">
        <v>5.2329078770170234E-3</v>
      </c>
      <c r="J56" s="212">
        <v>8.3952821157484703E-3</v>
      </c>
      <c r="K56" s="213">
        <v>6.4804924837684741E-3</v>
      </c>
      <c r="M56" s="222"/>
      <c r="N56" s="222"/>
      <c r="O56" s="222"/>
      <c r="P56" s="222"/>
      <c r="Q56" s="222"/>
      <c r="R56" s="222"/>
    </row>
    <row r="57" spans="1:18">
      <c r="A57" s="223" t="s">
        <v>113</v>
      </c>
      <c r="B57" s="224">
        <v>6.4558120000000008</v>
      </c>
      <c r="C57" s="224">
        <v>4.8492560000000005</v>
      </c>
      <c r="D57" s="224">
        <v>4.2874216000000001</v>
      </c>
      <c r="E57" s="224">
        <v>3.5671275000000002</v>
      </c>
      <c r="F57" s="224">
        <v>1.9148900000000004</v>
      </c>
      <c r="G57" s="211">
        <v>-1.3782742229120348E-2</v>
      </c>
      <c r="H57" s="212">
        <v>-1.5474308830559447E-2</v>
      </c>
      <c r="I57" s="212">
        <v>-2.4327159240073892E-2</v>
      </c>
      <c r="J57" s="212">
        <v>-3.6116628208944679E-2</v>
      </c>
      <c r="K57" s="213">
        <v>-3.0626239311444592E-2</v>
      </c>
      <c r="M57" s="222"/>
      <c r="N57" s="222"/>
      <c r="O57" s="222"/>
      <c r="P57" s="222"/>
      <c r="Q57" s="222"/>
      <c r="R57" s="222"/>
    </row>
    <row r="58" spans="1:18">
      <c r="A58" s="220" t="s">
        <v>114</v>
      </c>
      <c r="B58" s="209">
        <v>34.317436634125585</v>
      </c>
      <c r="C58" s="209">
        <v>30.362874206413746</v>
      </c>
      <c r="D58" s="209">
        <v>29.653527942090882</v>
      </c>
      <c r="E58" s="209">
        <v>29.375799873320595</v>
      </c>
      <c r="F58" s="209">
        <v>41.405759651043759</v>
      </c>
      <c r="G58" s="211">
        <v>-7.9524496774868725E-3</v>
      </c>
      <c r="H58" s="212">
        <v>-5.337329154053716E-4</v>
      </c>
      <c r="I58" s="212">
        <v>-4.716743914149224E-3</v>
      </c>
      <c r="J58" s="212">
        <v>-1.8802107418773861E-3</v>
      </c>
      <c r="K58" s="213">
        <v>1.7310560391055496E-2</v>
      </c>
      <c r="M58" s="222"/>
      <c r="N58" s="222"/>
      <c r="O58" s="222"/>
      <c r="P58" s="222"/>
      <c r="Q58" s="222"/>
      <c r="R58" s="222"/>
    </row>
    <row r="59" spans="1:18">
      <c r="A59" s="223" t="s">
        <v>115</v>
      </c>
      <c r="B59" s="224">
        <v>1.4306063496000001</v>
      </c>
      <c r="C59" s="224">
        <v>0.70872687964319991</v>
      </c>
      <c r="D59" s="224">
        <v>0.70553740195399994</v>
      </c>
      <c r="E59" s="224">
        <v>0.7359174663526401</v>
      </c>
      <c r="F59" s="224">
        <v>1.8039342958032001</v>
      </c>
      <c r="G59" s="211">
        <v>-4.3849908552130334E-2</v>
      </c>
      <c r="H59" s="212">
        <v>-5.9378485624641542E-3</v>
      </c>
      <c r="I59" s="212">
        <v>-9.0168293734382843E-4</v>
      </c>
      <c r="J59" s="212">
        <v>8.4672842999160558E-3</v>
      </c>
      <c r="K59" s="213">
        <v>4.5850432243369932E-2</v>
      </c>
      <c r="M59" s="222"/>
      <c r="N59" s="222"/>
      <c r="O59" s="222"/>
      <c r="P59" s="222"/>
      <c r="Q59" s="222"/>
      <c r="R59" s="222"/>
    </row>
    <row r="60" spans="1:18">
      <c r="A60" s="223" t="s">
        <v>116</v>
      </c>
      <c r="B60" s="224">
        <v>9.2656209821999997</v>
      </c>
      <c r="C60" s="224">
        <v>7.7895599355288008</v>
      </c>
      <c r="D60" s="224">
        <v>7.4040695891447159</v>
      </c>
      <c r="E60" s="224">
        <v>7.3256842281897461</v>
      </c>
      <c r="F60" s="224">
        <v>11.304263411981832</v>
      </c>
      <c r="G60" s="211">
        <v>-8.0114810887681465E-3</v>
      </c>
      <c r="H60" s="212">
        <v>-1.0518357694465075E-2</v>
      </c>
      <c r="I60" s="212">
        <v>-1.0099568113222435E-2</v>
      </c>
      <c r="J60" s="212">
        <v>-2.1263826370314654E-3</v>
      </c>
      <c r="K60" s="213">
        <v>2.1926600117262662E-2</v>
      </c>
      <c r="M60" s="222"/>
      <c r="N60" s="222"/>
      <c r="O60" s="222"/>
      <c r="P60" s="222"/>
      <c r="Q60" s="222"/>
      <c r="R60" s="222"/>
    </row>
    <row r="61" spans="1:18">
      <c r="A61" s="223" t="s">
        <v>117</v>
      </c>
      <c r="B61" s="224">
        <v>6.3840000000000003</v>
      </c>
      <c r="C61" s="224">
        <v>3.8692000000000002</v>
      </c>
      <c r="D61" s="224">
        <v>3.7427999999999999</v>
      </c>
      <c r="E61" s="224">
        <v>3.6204000000000001</v>
      </c>
      <c r="F61" s="224">
        <v>3.1696</v>
      </c>
      <c r="G61" s="211">
        <v>-3.068602496959294E-2</v>
      </c>
      <c r="H61" s="212">
        <v>-6.6272609556158324E-3</v>
      </c>
      <c r="I61" s="212">
        <v>-6.6207402593306819E-3</v>
      </c>
      <c r="J61" s="212">
        <v>-6.6278338643249723E-3</v>
      </c>
      <c r="K61" s="213">
        <v>-6.6269006013536247E-3</v>
      </c>
      <c r="M61" s="222"/>
      <c r="N61" s="222"/>
      <c r="O61" s="222"/>
      <c r="P61" s="222"/>
      <c r="Q61" s="222"/>
      <c r="R61" s="222"/>
    </row>
    <row r="62" spans="1:18">
      <c r="A62" s="220" t="s">
        <v>118</v>
      </c>
      <c r="B62" s="209">
        <v>10.089770094130467</v>
      </c>
      <c r="C62" s="209">
        <v>9.6868925226809282</v>
      </c>
      <c r="D62" s="209">
        <v>10.063123682945061</v>
      </c>
      <c r="E62" s="209">
        <v>10.642687574898492</v>
      </c>
      <c r="F62" s="209">
        <v>24.929055598960488</v>
      </c>
      <c r="G62" s="211">
        <v>-5.0466540081156586E-3</v>
      </c>
      <c r="H62" s="212">
        <v>7.0533802098573517E-3</v>
      </c>
      <c r="I62" s="212">
        <v>7.6498993768454593E-3</v>
      </c>
      <c r="J62" s="212">
        <v>1.1262028880753672E-2</v>
      </c>
      <c r="K62" s="213">
        <v>4.3476626924084938E-2</v>
      </c>
      <c r="M62" s="222"/>
      <c r="N62" s="222"/>
      <c r="O62" s="222"/>
      <c r="P62" s="222"/>
      <c r="Q62" s="222"/>
      <c r="R62" s="222"/>
    </row>
    <row r="63" spans="1:18">
      <c r="A63" s="223" t="s">
        <v>119</v>
      </c>
      <c r="B63" s="224">
        <v>2.8699343444999998</v>
      </c>
      <c r="C63" s="224">
        <v>2.7933113348000003</v>
      </c>
      <c r="D63" s="224">
        <v>2.8385934558183998</v>
      </c>
      <c r="E63" s="224">
        <v>2.9721824669571997</v>
      </c>
      <c r="F63" s="224">
        <v>7.073843024248001</v>
      </c>
      <c r="G63" s="211">
        <v>-8.1311686295574281E-3</v>
      </c>
      <c r="H63" s="212">
        <v>1.9264144643261982E-2</v>
      </c>
      <c r="I63" s="212">
        <v>3.221360872852852E-3</v>
      </c>
      <c r="J63" s="212">
        <v>9.2399982012025816E-3</v>
      </c>
      <c r="K63" s="213">
        <v>4.4308943926575362E-2</v>
      </c>
      <c r="M63" s="222"/>
      <c r="N63" s="222"/>
      <c r="O63" s="222"/>
      <c r="P63" s="222"/>
      <c r="Q63" s="222"/>
      <c r="R63" s="222"/>
    </row>
    <row r="64" spans="1:18">
      <c r="A64" s="223" t="s">
        <v>120</v>
      </c>
      <c r="B64" s="224">
        <v>3.5000683077700003</v>
      </c>
      <c r="C64" s="224">
        <v>3.4087895597439992</v>
      </c>
      <c r="D64" s="224">
        <v>3.4326263260955598</v>
      </c>
      <c r="E64" s="224">
        <v>3.5780317196343203</v>
      </c>
      <c r="F64" s="224">
        <v>8.172680268564001</v>
      </c>
      <c r="G64" s="211">
        <v>4.3277639952932212E-4</v>
      </c>
      <c r="H64" s="212">
        <v>-6.561472118623235E-3</v>
      </c>
      <c r="I64" s="212">
        <v>1.39465171572839E-3</v>
      </c>
      <c r="J64" s="212">
        <v>8.3319570067608151E-3</v>
      </c>
      <c r="K64" s="213">
        <v>4.2163877829478835E-2</v>
      </c>
      <c r="M64" s="222"/>
      <c r="N64" s="222"/>
      <c r="O64" s="222"/>
      <c r="P64" s="222"/>
      <c r="Q64" s="222"/>
      <c r="R64" s="222"/>
    </row>
    <row r="65" spans="1:18">
      <c r="A65" s="220" t="s">
        <v>121</v>
      </c>
      <c r="B65" s="209">
        <v>17.126937614697678</v>
      </c>
      <c r="C65" s="209">
        <v>20.365170255812544</v>
      </c>
      <c r="D65" s="209">
        <v>19.806208122589318</v>
      </c>
      <c r="E65" s="209">
        <v>19.578351391634179</v>
      </c>
      <c r="F65" s="209">
        <v>35.759844305960428</v>
      </c>
      <c r="G65" s="211">
        <v>1.2865977180223087E-2</v>
      </c>
      <c r="H65" s="212">
        <v>-3.7101256771170377E-3</v>
      </c>
      <c r="I65" s="212">
        <v>-5.5506720125205744E-3</v>
      </c>
      <c r="J65" s="212">
        <v>-2.3115233324033646E-3</v>
      </c>
      <c r="K65" s="213">
        <v>3.0578255766283258E-2</v>
      </c>
      <c r="M65" s="222"/>
      <c r="N65" s="222"/>
      <c r="O65" s="222"/>
      <c r="P65" s="222"/>
      <c r="Q65" s="222"/>
      <c r="R65" s="222"/>
    </row>
    <row r="66" spans="1:18">
      <c r="A66" s="223" t="s">
        <v>122</v>
      </c>
      <c r="B66" s="224">
        <v>1.075774824</v>
      </c>
      <c r="C66" s="224">
        <v>1.0635241159280002</v>
      </c>
      <c r="D66" s="224">
        <v>1.1160082498275483</v>
      </c>
      <c r="E66" s="224">
        <v>1.2558461316999123</v>
      </c>
      <c r="F66" s="224">
        <v>4.36006303422492</v>
      </c>
      <c r="G66" s="211">
        <v>2.1363245239840456E-3</v>
      </c>
      <c r="H66" s="212">
        <v>-8.6550920534156361E-3</v>
      </c>
      <c r="I66" s="212">
        <v>9.6806017707231629E-3</v>
      </c>
      <c r="J66" s="212">
        <v>2.3891188290943388E-2</v>
      </c>
      <c r="K66" s="213">
        <v>6.4211179326033374E-2</v>
      </c>
      <c r="M66" s="222"/>
      <c r="N66" s="222"/>
      <c r="O66" s="222"/>
      <c r="P66" s="222"/>
      <c r="Q66" s="222"/>
      <c r="R66" s="222"/>
    </row>
    <row r="67" spans="1:18">
      <c r="A67" s="220" t="s">
        <v>123</v>
      </c>
      <c r="B67" s="209">
        <v>26.596511627906978</v>
      </c>
      <c r="C67" s="209">
        <v>23.487599299490569</v>
      </c>
      <c r="D67" s="209">
        <v>23.634529632816339</v>
      </c>
      <c r="E67" s="209">
        <v>23.664536954230794</v>
      </c>
      <c r="F67" s="209">
        <v>41.628931969166253</v>
      </c>
      <c r="G67" s="211">
        <v>-1.085322009177081E-2</v>
      </c>
      <c r="H67" s="212">
        <v>7.9072416084033925E-3</v>
      </c>
      <c r="I67" s="212">
        <v>1.248012171704449E-3</v>
      </c>
      <c r="J67" s="212">
        <v>2.5379894664756542E-4</v>
      </c>
      <c r="K67" s="213">
        <v>2.8643444965444909E-2</v>
      </c>
      <c r="M67" s="222"/>
      <c r="N67" s="222"/>
      <c r="O67" s="222"/>
      <c r="P67" s="222"/>
      <c r="Q67" s="222"/>
      <c r="R67" s="222"/>
    </row>
    <row r="68" spans="1:18">
      <c r="A68" s="220" t="s">
        <v>124</v>
      </c>
      <c r="B68" s="209">
        <v>21.828811773529303</v>
      </c>
      <c r="C68" s="209">
        <v>15.099272438226269</v>
      </c>
      <c r="D68" s="209">
        <v>14.264280154491409</v>
      </c>
      <c r="E68" s="209">
        <v>13.570287340274875</v>
      </c>
      <c r="F68" s="209">
        <v>20.138129256274084</v>
      </c>
      <c r="G68" s="211">
        <v>-2.1004882411991499E-2</v>
      </c>
      <c r="H68" s="212">
        <v>-9.9808225370821013E-3</v>
      </c>
      <c r="I68" s="212">
        <v>-1.1313127541162316E-2</v>
      </c>
      <c r="J68" s="212">
        <v>-9.9255875117842951E-3</v>
      </c>
      <c r="K68" s="213">
        <v>1.9932672113075034E-2</v>
      </c>
      <c r="M68" s="222"/>
      <c r="N68" s="222"/>
      <c r="O68" s="222"/>
      <c r="P68" s="222"/>
      <c r="Q68" s="222"/>
      <c r="R68" s="222"/>
    </row>
    <row r="69" spans="1:18">
      <c r="A69" s="223" t="s">
        <v>125</v>
      </c>
      <c r="B69" s="224">
        <v>12.133462936320001</v>
      </c>
      <c r="C69" s="224">
        <v>8.48864008332</v>
      </c>
      <c r="D69" s="224">
        <v>7.9764155531368806</v>
      </c>
      <c r="E69" s="224">
        <v>7.3710020571582611</v>
      </c>
      <c r="F69" s="224">
        <v>9.8448280746497989</v>
      </c>
      <c r="G69" s="211">
        <v>-1.9435635747002244E-2</v>
      </c>
      <c r="H69" s="212">
        <v>-1.248806694870741E-2</v>
      </c>
      <c r="I69" s="212">
        <v>-1.2370780345036914E-2</v>
      </c>
      <c r="J69" s="212">
        <v>-1.5663131115900453E-2</v>
      </c>
      <c r="K69" s="213">
        <v>1.4574821208431121E-2</v>
      </c>
      <c r="M69" s="222"/>
      <c r="N69" s="222"/>
      <c r="O69" s="222"/>
      <c r="P69" s="222"/>
      <c r="Q69" s="222"/>
      <c r="R69" s="222"/>
    </row>
    <row r="70" spans="1:18">
      <c r="A70" s="181"/>
      <c r="B70" s="182"/>
      <c r="C70" s="182"/>
      <c r="D70" s="182"/>
      <c r="E70" s="182"/>
      <c r="F70" s="182"/>
      <c r="G70" s="211"/>
      <c r="H70" s="212"/>
      <c r="I70" s="212"/>
      <c r="J70" s="212"/>
      <c r="K70" s="213"/>
    </row>
    <row r="71" spans="1:18">
      <c r="A71" s="181"/>
      <c r="B71" s="182"/>
      <c r="C71" s="182"/>
      <c r="D71" s="182"/>
      <c r="E71" s="182"/>
      <c r="F71" s="182"/>
      <c r="G71" s="211"/>
      <c r="H71" s="212"/>
      <c r="I71" s="212"/>
      <c r="J71" s="212"/>
      <c r="K71" s="213"/>
    </row>
    <row r="72" spans="1:18" ht="15.75" thickBot="1">
      <c r="A72" s="190" t="s">
        <v>10</v>
      </c>
      <c r="B72" s="226">
        <v>132.47814813759931</v>
      </c>
      <c r="C72" s="226">
        <v>115.79410097585387</v>
      </c>
      <c r="D72" s="226">
        <v>114.03145204745707</v>
      </c>
      <c r="E72" s="226">
        <v>113.17757521493706</v>
      </c>
      <c r="F72" s="226">
        <v>180.4037694419946</v>
      </c>
      <c r="G72" s="217">
        <v>-8.9509795210076515E-3</v>
      </c>
      <c r="H72" s="218">
        <v>5.3024071355434188E-5</v>
      </c>
      <c r="I72" s="218">
        <v>-3.0631622876612363E-3</v>
      </c>
      <c r="J72" s="218">
        <v>-1.502122314941845E-3</v>
      </c>
      <c r="K72" s="219">
        <v>2.3585820623661213E-2</v>
      </c>
    </row>
    <row r="73" spans="1:18" ht="15.75" thickBot="1">
      <c r="A73" s="195"/>
      <c r="D73" s="171"/>
    </row>
    <row r="74" spans="1:18" ht="15.75" thickBot="1">
      <c r="A74" s="227" t="s">
        <v>126</v>
      </c>
      <c r="B74" s="228">
        <v>55.83279930039</v>
      </c>
      <c r="C74" s="228">
        <v>42.060446224963997</v>
      </c>
      <c r="D74" s="228">
        <v>40.833233507977098</v>
      </c>
      <c r="E74" s="228">
        <v>40.154213917992081</v>
      </c>
      <c r="F74" s="228">
        <v>58.71369876210376</v>
      </c>
      <c r="G74" s="229">
        <v>-1.6810622409562326E-2</v>
      </c>
      <c r="H74" s="230">
        <v>-5.7734388262641323E-3</v>
      </c>
      <c r="I74" s="230">
        <v>-5.9047943408462311E-3</v>
      </c>
      <c r="J74" s="230">
        <v>-3.3481638277382819E-3</v>
      </c>
      <c r="K74" s="231">
        <v>1.9178880492322303E-2</v>
      </c>
    </row>
    <row r="75" spans="1:18">
      <c r="A75" s="232"/>
      <c r="B75" s="233"/>
      <c r="C75" s="233"/>
      <c r="D75" s="233"/>
      <c r="E75" s="233"/>
      <c r="F75" s="233"/>
      <c r="G75" s="212"/>
      <c r="H75" s="212"/>
      <c r="I75" s="212"/>
      <c r="J75" s="212"/>
      <c r="K75" s="212"/>
    </row>
    <row r="76" spans="1:18">
      <c r="D76" s="171"/>
    </row>
    <row r="77" spans="1:18" ht="16.5" thickBot="1">
      <c r="A77" s="91" t="s">
        <v>129</v>
      </c>
      <c r="B77" s="81"/>
      <c r="C77" s="81"/>
      <c r="D77" s="80"/>
      <c r="E77" s="80"/>
      <c r="F77" s="80"/>
      <c r="G77" s="80"/>
      <c r="H77" s="80"/>
      <c r="I77" s="80"/>
      <c r="J77" s="80"/>
      <c r="K77" s="80"/>
    </row>
    <row r="78" spans="1:18" ht="15.75" thickBot="1">
      <c r="A78" s="235" t="s">
        <v>51</v>
      </c>
      <c r="B78" s="178">
        <v>2000</v>
      </c>
      <c r="C78" s="178">
        <v>2020</v>
      </c>
      <c r="D78" s="178">
        <v>2025</v>
      </c>
      <c r="E78" s="178">
        <v>2030</v>
      </c>
      <c r="F78" s="178">
        <v>2050</v>
      </c>
      <c r="G78" s="197" t="s">
        <v>98</v>
      </c>
      <c r="H78" s="198" t="s">
        <v>99</v>
      </c>
      <c r="I78" s="198" t="s">
        <v>100</v>
      </c>
      <c r="J78" s="198" t="s">
        <v>101</v>
      </c>
      <c r="K78" s="199" t="s">
        <v>102</v>
      </c>
    </row>
    <row r="79" spans="1:18">
      <c r="A79" s="220" t="s">
        <v>111</v>
      </c>
      <c r="B79" s="209">
        <v>6.1028647040878994</v>
      </c>
      <c r="C79" s="209">
        <v>3.3747741294792517</v>
      </c>
      <c r="D79" s="209">
        <v>3.0476118036187563</v>
      </c>
      <c r="E79" s="209">
        <v>2.6285256088905298</v>
      </c>
      <c r="F79" s="209">
        <v>0.93993171058195146</v>
      </c>
      <c r="G79" s="203">
        <v>-3.2065133243258437E-2</v>
      </c>
      <c r="H79" s="204">
        <v>-2.0501464042258277E-2</v>
      </c>
      <c r="I79" s="204">
        <v>-2.0187474137542516E-2</v>
      </c>
      <c r="J79" s="204">
        <v>-2.9153625531606608E-2</v>
      </c>
      <c r="K79" s="205">
        <v>-5.0118991966425885E-2</v>
      </c>
      <c r="M79" s="222"/>
      <c r="N79" s="222"/>
      <c r="O79" s="222"/>
      <c r="P79" s="222"/>
      <c r="Q79" s="222"/>
      <c r="R79" s="222"/>
    </row>
    <row r="80" spans="1:18">
      <c r="A80" s="223" t="s">
        <v>112</v>
      </c>
      <c r="B80" s="224">
        <v>5.6397741040878993</v>
      </c>
      <c r="C80" s="224">
        <v>3.1996984871582472</v>
      </c>
      <c r="D80" s="224">
        <v>2.8901647001339992</v>
      </c>
      <c r="E80" s="224">
        <v>2.4957650379914069</v>
      </c>
      <c r="F80" s="224">
        <v>0.86839824527034348</v>
      </c>
      <c r="G80" s="211">
        <v>-3.0223983367855145E-2</v>
      </c>
      <c r="H80" s="212">
        <v>-2.1062081281624345E-2</v>
      </c>
      <c r="I80" s="212">
        <v>-2.0142982514886554E-2</v>
      </c>
      <c r="J80" s="212">
        <v>-2.8917291757819874E-2</v>
      </c>
      <c r="K80" s="213">
        <v>-5.1416072065252116E-2</v>
      </c>
      <c r="M80" s="222"/>
      <c r="N80" s="222"/>
      <c r="O80" s="222"/>
      <c r="P80" s="222"/>
      <c r="Q80" s="222"/>
      <c r="R80" s="222"/>
    </row>
    <row r="81" spans="1:18">
      <c r="A81" s="223" t="s">
        <v>113</v>
      </c>
      <c r="B81" s="224">
        <v>0.22049060000000001</v>
      </c>
      <c r="C81" s="224">
        <v>8.2055675000000008E-2</v>
      </c>
      <c r="D81" s="224">
        <v>6.9875499999999979E-2</v>
      </c>
      <c r="E81" s="224">
        <v>5.2923600000000008E-2</v>
      </c>
      <c r="F81" s="224">
        <v>1.8942200000000003E-2</v>
      </c>
      <c r="G81" s="211">
        <v>-5.800925990156014E-2</v>
      </c>
      <c r="H81" s="212">
        <v>-1.8243449391070587E-2</v>
      </c>
      <c r="I81" s="212">
        <v>-3.1625686200436376E-2</v>
      </c>
      <c r="J81" s="212">
        <v>-5.4057169458854637E-2</v>
      </c>
      <c r="K81" s="213">
        <v>-5.0075580850414636E-2</v>
      </c>
      <c r="M81" s="222"/>
      <c r="N81" s="222"/>
      <c r="O81" s="222"/>
      <c r="P81" s="222"/>
      <c r="Q81" s="222"/>
      <c r="R81" s="222"/>
    </row>
    <row r="82" spans="1:18">
      <c r="A82" s="220" t="s">
        <v>114</v>
      </c>
      <c r="B82" s="209">
        <v>7.4539200114399993</v>
      </c>
      <c r="C82" s="209">
        <v>5.9635137345162414</v>
      </c>
      <c r="D82" s="209">
        <v>5.4198459969725219</v>
      </c>
      <c r="E82" s="209">
        <v>4.7897112578691594</v>
      </c>
      <c r="F82" s="209">
        <v>1.795024240422165</v>
      </c>
      <c r="G82" s="211">
        <v>-1.3773642860210988E-2</v>
      </c>
      <c r="H82" s="212">
        <v>-3.0033839999191736E-3</v>
      </c>
      <c r="I82" s="212">
        <v>-1.8936892563536922E-2</v>
      </c>
      <c r="J82" s="212">
        <v>-2.4416430642059117E-2</v>
      </c>
      <c r="K82" s="213">
        <v>-4.7887977249885028E-2</v>
      </c>
      <c r="M82" s="222"/>
      <c r="N82" s="222"/>
      <c r="O82" s="222"/>
      <c r="P82" s="222"/>
      <c r="Q82" s="222"/>
      <c r="R82" s="222"/>
    </row>
    <row r="83" spans="1:18">
      <c r="A83" s="223" t="s">
        <v>115</v>
      </c>
      <c r="B83" s="224">
        <v>0.56011000592000015</v>
      </c>
      <c r="C83" s="224">
        <v>0.40441408683984004</v>
      </c>
      <c r="D83" s="224">
        <v>0.38945718489798559</v>
      </c>
      <c r="E83" s="224">
        <v>0.37122548690476481</v>
      </c>
      <c r="F83" s="224">
        <v>0.19939095107078403</v>
      </c>
      <c r="G83" s="211">
        <v>-1.9342063656889397E-2</v>
      </c>
      <c r="H83" s="212">
        <v>-6.5227039328993319E-3</v>
      </c>
      <c r="I83" s="212">
        <v>-7.5087443496526518E-3</v>
      </c>
      <c r="J83" s="212">
        <v>-9.5430288444636746E-3</v>
      </c>
      <c r="K83" s="213">
        <v>-3.0599179512618147E-2</v>
      </c>
      <c r="M83" s="222"/>
      <c r="N83" s="222"/>
      <c r="O83" s="222"/>
      <c r="P83" s="222"/>
      <c r="Q83" s="222"/>
      <c r="R83" s="222"/>
    </row>
    <row r="84" spans="1:18">
      <c r="A84" s="223" t="s">
        <v>116</v>
      </c>
      <c r="B84" s="224">
        <v>4.3108100055199987</v>
      </c>
      <c r="C84" s="224">
        <v>3.3104538690893994</v>
      </c>
      <c r="D84" s="224">
        <v>2.9219111255068015</v>
      </c>
      <c r="E84" s="224">
        <v>2.5293064321475645</v>
      </c>
      <c r="F84" s="224">
        <v>0.53913407572640637</v>
      </c>
      <c r="G84" s="211">
        <v>-1.364621360705931E-2</v>
      </c>
      <c r="H84" s="212">
        <v>-1.1520690126172184E-2</v>
      </c>
      <c r="I84" s="212">
        <v>-2.4660321708745769E-2</v>
      </c>
      <c r="J84" s="212">
        <v>-2.8446122757142756E-2</v>
      </c>
      <c r="K84" s="213">
        <v>-7.4375658972649417E-2</v>
      </c>
      <c r="M84" s="222"/>
      <c r="N84" s="222"/>
      <c r="O84" s="222"/>
      <c r="P84" s="222"/>
      <c r="Q84" s="222"/>
      <c r="R84" s="222"/>
    </row>
    <row r="85" spans="1:18">
      <c r="A85" s="223" t="s">
        <v>117</v>
      </c>
      <c r="B85" s="224">
        <v>0</v>
      </c>
      <c r="C85" s="224">
        <v>0</v>
      </c>
      <c r="D85" s="224">
        <v>0</v>
      </c>
      <c r="E85" s="224">
        <v>0</v>
      </c>
      <c r="F85" s="224">
        <v>0</v>
      </c>
      <c r="G85" s="211" t="e">
        <v>#DIV/0!</v>
      </c>
      <c r="H85" s="212" t="e">
        <v>#DIV/0!</v>
      </c>
      <c r="I85" s="212" t="e">
        <v>#DIV/0!</v>
      </c>
      <c r="J85" s="212" t="e">
        <v>#DIV/0!</v>
      </c>
      <c r="K85" s="213" t="e">
        <v>#DIV/0!</v>
      </c>
      <c r="M85" s="222"/>
      <c r="N85" s="222"/>
      <c r="O85" s="222"/>
      <c r="P85" s="222"/>
      <c r="Q85" s="222"/>
      <c r="R85" s="222"/>
    </row>
    <row r="86" spans="1:18">
      <c r="A86" s="220" t="s">
        <v>118</v>
      </c>
      <c r="B86" s="209">
        <v>3.6520466542679997</v>
      </c>
      <c r="C86" s="209">
        <v>2.7608791320717905</v>
      </c>
      <c r="D86" s="209">
        <v>2.7076978560362157</v>
      </c>
      <c r="E86" s="209">
        <v>2.6097213805676915</v>
      </c>
      <c r="F86" s="209">
        <v>1.3828415196373696</v>
      </c>
      <c r="G86" s="211">
        <v>-2.1313635408318321E-2</v>
      </c>
      <c r="H86" s="212">
        <v>8.7222550422911826E-3</v>
      </c>
      <c r="I86" s="212">
        <v>-3.8825196310914301E-3</v>
      </c>
      <c r="J86" s="212">
        <v>-7.3439622184802156E-3</v>
      </c>
      <c r="K86" s="213">
        <v>-3.1256250559140719E-2</v>
      </c>
      <c r="M86" s="222"/>
      <c r="N86" s="222"/>
      <c r="O86" s="222"/>
      <c r="P86" s="222"/>
      <c r="Q86" s="222"/>
      <c r="R86" s="222"/>
    </row>
    <row r="87" spans="1:18">
      <c r="A87" s="223" t="s">
        <v>119</v>
      </c>
      <c r="B87" s="224">
        <v>1.4896100470499998</v>
      </c>
      <c r="C87" s="224">
        <v>1.30597999518</v>
      </c>
      <c r="D87" s="224">
        <v>1.2815257689055501</v>
      </c>
      <c r="E87" s="224">
        <v>1.2511536211502998</v>
      </c>
      <c r="F87" s="224">
        <v>0.7810391513924998</v>
      </c>
      <c r="G87" s="211">
        <v>-1.5229321466198376E-2</v>
      </c>
      <c r="H87" s="212">
        <v>1.9923173048701726E-2</v>
      </c>
      <c r="I87" s="212">
        <v>-3.7733306483830331E-3</v>
      </c>
      <c r="J87" s="212">
        <v>-4.7855829108133241E-3</v>
      </c>
      <c r="K87" s="213">
        <v>-2.3284435801467329E-2</v>
      </c>
      <c r="M87" s="222"/>
      <c r="N87" s="222"/>
      <c r="O87" s="222"/>
      <c r="P87" s="222"/>
      <c r="Q87" s="222"/>
      <c r="R87" s="222"/>
    </row>
    <row r="88" spans="1:18">
      <c r="A88" s="223" t="s">
        <v>120</v>
      </c>
      <c r="B88" s="224">
        <v>1.1727366072179999</v>
      </c>
      <c r="C88" s="224">
        <v>0.94528905381239969</v>
      </c>
      <c r="D88" s="224">
        <v>0.8954958088193038</v>
      </c>
      <c r="E88" s="224">
        <v>0.83689880749767587</v>
      </c>
      <c r="F88" s="224">
        <v>0.33816436952759998</v>
      </c>
      <c r="G88" s="211">
        <v>-1.1581443545223058E-2</v>
      </c>
      <c r="H88" s="212">
        <v>-8.1404966884655039E-3</v>
      </c>
      <c r="I88" s="212">
        <v>-1.0764289211216749E-2</v>
      </c>
      <c r="J88" s="212">
        <v>-1.3443690845398315E-2</v>
      </c>
      <c r="K88" s="213">
        <v>-4.4297449820036583E-2</v>
      </c>
      <c r="M88" s="222"/>
      <c r="N88" s="222"/>
      <c r="O88" s="222"/>
      <c r="P88" s="222"/>
      <c r="Q88" s="222"/>
      <c r="R88" s="222"/>
    </row>
    <row r="89" spans="1:18">
      <c r="A89" s="220" t="s">
        <v>121</v>
      </c>
      <c r="B89" s="209">
        <v>3.676710006</v>
      </c>
      <c r="C89" s="209">
        <v>4.0433273466057118</v>
      </c>
      <c r="D89" s="209">
        <v>3.796156473733348</v>
      </c>
      <c r="E89" s="209">
        <v>3.3948131650042308</v>
      </c>
      <c r="F89" s="209">
        <v>1.3705057918160062</v>
      </c>
      <c r="G89" s="211">
        <v>7.1447590995870058E-3</v>
      </c>
      <c r="H89" s="212">
        <v>-2.3453896803018459E-3</v>
      </c>
      <c r="I89" s="212">
        <v>-1.253652537427774E-2</v>
      </c>
      <c r="J89" s="212">
        <v>-2.2100206370139208E-2</v>
      </c>
      <c r="K89" s="213">
        <v>-4.434034928410191E-2</v>
      </c>
      <c r="M89" s="222"/>
      <c r="N89" s="222"/>
      <c r="O89" s="222"/>
      <c r="P89" s="222"/>
      <c r="Q89" s="222"/>
      <c r="R89" s="222"/>
    </row>
    <row r="90" spans="1:18">
      <c r="A90" s="223" t="s">
        <v>122</v>
      </c>
      <c r="B90" s="224">
        <v>0.79941000600000001</v>
      </c>
      <c r="C90" s="224">
        <v>0.75709700797000001</v>
      </c>
      <c r="D90" s="224">
        <v>0.71758800933058786</v>
      </c>
      <c r="E90" s="224">
        <v>0.6731790314134839</v>
      </c>
      <c r="F90" s="224">
        <v>0.32072843222750008</v>
      </c>
      <c r="G90" s="211">
        <v>-7.2993426955259011E-4</v>
      </c>
      <c r="H90" s="212">
        <v>-8.6482980368652873E-3</v>
      </c>
      <c r="I90" s="212">
        <v>-1.066191293344998E-2</v>
      </c>
      <c r="J90" s="212">
        <v>-1.2695579882995522E-2</v>
      </c>
      <c r="K90" s="213">
        <v>-3.6392117229602783E-2</v>
      </c>
      <c r="M90" s="222"/>
      <c r="N90" s="222"/>
      <c r="O90" s="222"/>
      <c r="P90" s="222"/>
      <c r="Q90" s="222"/>
      <c r="R90" s="222"/>
    </row>
    <row r="91" spans="1:18">
      <c r="A91" s="220" t="s">
        <v>123</v>
      </c>
      <c r="B91" s="209">
        <v>2.481199999999999</v>
      </c>
      <c r="C91" s="209">
        <v>1.90126179086423</v>
      </c>
      <c r="D91" s="209">
        <v>1.8059472130563652</v>
      </c>
      <c r="E91" s="209">
        <v>1.6318409444283501</v>
      </c>
      <c r="F91" s="209">
        <v>0.1810329669258543</v>
      </c>
      <c r="G91" s="211">
        <v>-1.8046870165126516E-2</v>
      </c>
      <c r="H91" s="212">
        <v>1.3911603631424629E-3</v>
      </c>
      <c r="I91" s="212">
        <v>-1.0233782875543107E-2</v>
      </c>
      <c r="J91" s="212">
        <v>-2.0071125438323012E-2</v>
      </c>
      <c r="K91" s="213">
        <v>-0.10411143744723672</v>
      </c>
      <c r="M91" s="222"/>
      <c r="N91" s="222"/>
      <c r="O91" s="222"/>
      <c r="P91" s="222"/>
      <c r="Q91" s="222"/>
      <c r="R91" s="222"/>
    </row>
    <row r="92" spans="1:18">
      <c r="A92" s="220" t="s">
        <v>124</v>
      </c>
      <c r="B92" s="209">
        <v>4.1560599718479994</v>
      </c>
      <c r="C92" s="209">
        <v>3.3066622606498326</v>
      </c>
      <c r="D92" s="209">
        <v>3.0516626018630584</v>
      </c>
      <c r="E92" s="209">
        <v>2.7120188547707866</v>
      </c>
      <c r="F92" s="209">
        <v>1.2528941119665928</v>
      </c>
      <c r="G92" s="211">
        <v>-1.1904361094133065E-2</v>
      </c>
      <c r="H92" s="212">
        <v>-9.750437620532959E-3</v>
      </c>
      <c r="I92" s="212">
        <v>-1.5922424886672948E-2</v>
      </c>
      <c r="J92" s="212">
        <v>-2.3322376412657886E-2</v>
      </c>
      <c r="K92" s="213">
        <v>-3.7875922442457077E-2</v>
      </c>
      <c r="M92" s="222"/>
      <c r="N92" s="222"/>
      <c r="O92" s="222"/>
      <c r="P92" s="222"/>
      <c r="Q92" s="222"/>
      <c r="R92" s="222"/>
    </row>
    <row r="93" spans="1:18">
      <c r="A93" s="223" t="s">
        <v>125</v>
      </c>
      <c r="B93" s="224">
        <v>2.7366599718479998</v>
      </c>
      <c r="C93" s="224">
        <v>2.2981518947146498</v>
      </c>
      <c r="D93" s="224">
        <v>2.1341305173637979</v>
      </c>
      <c r="E93" s="224">
        <v>1.9122084978968883</v>
      </c>
      <c r="F93" s="224">
        <v>1.0332007326072596</v>
      </c>
      <c r="G93" s="211">
        <v>-7.9650007687418478E-3</v>
      </c>
      <c r="H93" s="212">
        <v>-1.0876330321090033E-2</v>
      </c>
      <c r="I93" s="212">
        <v>-1.4700076010013885E-2</v>
      </c>
      <c r="J93" s="212">
        <v>-2.1720723816867182E-2</v>
      </c>
      <c r="K93" s="213">
        <v>-3.0310991049048219E-2</v>
      </c>
      <c r="M93" s="222"/>
      <c r="N93" s="222"/>
      <c r="O93" s="222"/>
      <c r="P93" s="222"/>
      <c r="Q93" s="222"/>
      <c r="R93" s="222"/>
    </row>
    <row r="94" spans="1:18">
      <c r="A94" s="181"/>
      <c r="B94" s="182"/>
      <c r="C94" s="182"/>
      <c r="D94" s="182"/>
      <c r="E94" s="182"/>
      <c r="F94" s="182"/>
      <c r="G94" s="211"/>
      <c r="H94" s="212"/>
      <c r="I94" s="212"/>
      <c r="J94" s="212"/>
      <c r="K94" s="213"/>
    </row>
    <row r="95" spans="1:18">
      <c r="A95" s="181"/>
      <c r="B95" s="182"/>
      <c r="C95" s="182"/>
      <c r="D95" s="182"/>
      <c r="E95" s="182"/>
      <c r="F95" s="182"/>
      <c r="G95" s="211"/>
      <c r="H95" s="212"/>
      <c r="I95" s="212"/>
      <c r="J95" s="212"/>
      <c r="K95" s="213"/>
    </row>
    <row r="96" spans="1:18" ht="15.75" thickBot="1">
      <c r="A96" s="190" t="s">
        <v>10</v>
      </c>
      <c r="B96" s="226">
        <v>27.522801347643899</v>
      </c>
      <c r="C96" s="226">
        <v>21.350418394187059</v>
      </c>
      <c r="D96" s="226">
        <v>19.828921945280268</v>
      </c>
      <c r="E96" s="226">
        <v>17.766631211530747</v>
      </c>
      <c r="F96" s="226">
        <v>6.9222303413499384</v>
      </c>
      <c r="G96" s="217">
        <v>-1.5142659964137439E-2</v>
      </c>
      <c r="H96" s="218">
        <v>-5.0007053094305309E-3</v>
      </c>
      <c r="I96" s="218">
        <v>-1.4677176623779986E-2</v>
      </c>
      <c r="J96" s="218">
        <v>-2.17244555742514E-2</v>
      </c>
      <c r="K96" s="219">
        <v>-4.6035863756779483E-2</v>
      </c>
    </row>
    <row r="97" spans="1:11" ht="15.75" thickBot="1">
      <c r="A97" s="195"/>
      <c r="D97" s="171"/>
    </row>
    <row r="98" spans="1:11" ht="15.75" thickBot="1">
      <c r="A98" s="227" t="s">
        <v>126</v>
      </c>
      <c r="B98" s="228">
        <v>16.929601347643899</v>
      </c>
      <c r="C98" s="228">
        <v>12.303140069764535</v>
      </c>
      <c r="D98" s="228">
        <v>11.300148614958026</v>
      </c>
      <c r="E98" s="228">
        <v>10.122660515002085</v>
      </c>
      <c r="F98" s="228">
        <v>4.0989981578223933</v>
      </c>
      <c r="G98" s="229">
        <v>-1.7651074497766484E-2</v>
      </c>
      <c r="H98" s="230">
        <v>-1.0361632943188592E-2</v>
      </c>
      <c r="I98" s="230">
        <v>-1.6863913586100732E-2</v>
      </c>
      <c r="J98" s="230">
        <v>-2.1767463933394238E-2</v>
      </c>
      <c r="K98" s="231">
        <v>-4.4195320257210291E-2</v>
      </c>
    </row>
    <row r="99" spans="1:11">
      <c r="A99" s="232"/>
      <c r="B99" s="233"/>
      <c r="C99" s="233"/>
      <c r="D99" s="233"/>
      <c r="E99" s="233"/>
      <c r="F99" s="233"/>
      <c r="G99" s="212"/>
      <c r="H99" s="212"/>
      <c r="I99" s="212"/>
      <c r="J99" s="212"/>
      <c r="K99" s="212"/>
    </row>
    <row r="100" spans="1:11">
      <c r="E100" s="170"/>
    </row>
    <row r="101" spans="1:11" ht="16.5" thickBot="1">
      <c r="A101" s="91" t="s">
        <v>130</v>
      </c>
      <c r="B101" s="81"/>
      <c r="C101" s="81"/>
      <c r="D101" s="81"/>
      <c r="E101" s="81"/>
      <c r="F101" s="80"/>
      <c r="G101" s="80"/>
      <c r="H101" s="80"/>
      <c r="I101" s="80"/>
      <c r="J101" s="80"/>
      <c r="K101" s="80"/>
    </row>
    <row r="102" spans="1:11" ht="15.75" thickBot="1">
      <c r="A102" s="177"/>
      <c r="B102" s="178">
        <v>2000</v>
      </c>
      <c r="C102" s="178">
        <v>2020</v>
      </c>
      <c r="D102" s="178">
        <v>2025</v>
      </c>
      <c r="E102" s="178">
        <v>2030</v>
      </c>
      <c r="F102" s="178">
        <v>2050</v>
      </c>
      <c r="G102" s="197" t="s">
        <v>98</v>
      </c>
      <c r="H102" s="198" t="s">
        <v>99</v>
      </c>
      <c r="I102" s="198" t="s">
        <v>100</v>
      </c>
      <c r="J102" s="198" t="s">
        <v>101</v>
      </c>
      <c r="K102" s="199" t="s">
        <v>102</v>
      </c>
    </row>
    <row r="103" spans="1:11" ht="15.75" thickBot="1">
      <c r="A103" s="190" t="s">
        <v>131</v>
      </c>
      <c r="B103" s="237">
        <v>0.14861493671090042</v>
      </c>
      <c r="C103" s="237">
        <v>0.10170692751526944</v>
      </c>
      <c r="D103" s="237">
        <v>9.1600088456929865E-2</v>
      </c>
      <c r="E103" s="237">
        <v>8.0494065121002392E-2</v>
      </c>
      <c r="F103" s="237">
        <v>5.0727758757542533E-2</v>
      </c>
      <c r="G103" s="217">
        <v>-1.9300991535037504E-2</v>
      </c>
      <c r="H103" s="218">
        <v>-1.7233359478206589E-2</v>
      </c>
      <c r="I103" s="218">
        <v>-2.0715069205962333E-2</v>
      </c>
      <c r="J103" s="218">
        <v>-2.5518511561099966E-2</v>
      </c>
      <c r="K103" s="219">
        <v>-2.2821077671392298E-2</v>
      </c>
    </row>
    <row r="104" spans="1:11">
      <c r="A104" s="238"/>
      <c r="E104" s="170"/>
    </row>
    <row r="105" spans="1:11">
      <c r="E105" s="170"/>
    </row>
    <row r="106" spans="1:11" ht="21">
      <c r="A106" s="78" t="s">
        <v>132</v>
      </c>
      <c r="B106" s="73"/>
      <c r="C106" s="73"/>
      <c r="D106" s="73"/>
      <c r="E106" s="73"/>
      <c r="F106" s="239"/>
      <c r="G106" s="239"/>
      <c r="H106" s="239"/>
      <c r="I106" s="239"/>
      <c r="J106" s="239"/>
      <c r="K106" s="239"/>
    </row>
    <row r="107" spans="1:11">
      <c r="E107" s="170"/>
    </row>
    <row r="108" spans="1:11" ht="16.5" thickBot="1">
      <c r="A108" s="91" t="s">
        <v>133</v>
      </c>
      <c r="B108" s="81"/>
      <c r="C108" s="81"/>
      <c r="D108" s="81"/>
      <c r="E108" s="81"/>
      <c r="F108" s="80"/>
      <c r="G108" s="80"/>
      <c r="H108" s="80"/>
      <c r="I108" s="80"/>
      <c r="J108" s="80"/>
      <c r="K108" s="80"/>
    </row>
    <row r="109" spans="1:11" ht="15.75" thickBot="1">
      <c r="A109" s="177" t="s">
        <v>51</v>
      </c>
      <c r="B109" s="178">
        <v>2000</v>
      </c>
      <c r="C109" s="178">
        <v>2020</v>
      </c>
      <c r="D109" s="178">
        <v>2025</v>
      </c>
      <c r="E109" s="178">
        <v>2030</v>
      </c>
      <c r="F109" s="178">
        <v>2050</v>
      </c>
      <c r="G109" s="197" t="s">
        <v>98</v>
      </c>
      <c r="H109" s="198" t="s">
        <v>99</v>
      </c>
      <c r="I109" s="198" t="s">
        <v>100</v>
      </c>
      <c r="J109" s="198" t="s">
        <v>101</v>
      </c>
      <c r="K109" s="199" t="s">
        <v>102</v>
      </c>
    </row>
    <row r="110" spans="1:11">
      <c r="A110" s="181" t="s">
        <v>103</v>
      </c>
      <c r="B110" s="182">
        <v>9.0758812906337827</v>
      </c>
      <c r="C110" s="182">
        <v>5.6882318129329184</v>
      </c>
      <c r="D110" s="182">
        <v>3.9542821665322192</v>
      </c>
      <c r="E110" s="182">
        <v>1.7531094981983244</v>
      </c>
      <c r="F110" s="182">
        <v>0.16876038587276018</v>
      </c>
      <c r="G110" s="203">
        <v>-2.0025322165468706E-2</v>
      </c>
      <c r="H110" s="204">
        <v>-3.2227817829655558E-2</v>
      </c>
      <c r="I110" s="204">
        <v>-7.0138912602095926E-2</v>
      </c>
      <c r="J110" s="204">
        <v>-0.15013826160384491</v>
      </c>
      <c r="K110" s="205">
        <v>-0.11044445054685692</v>
      </c>
    </row>
    <row r="111" spans="1:11">
      <c r="A111" s="181" t="s">
        <v>54</v>
      </c>
      <c r="B111" s="182">
        <v>15.00569239050041</v>
      </c>
      <c r="C111" s="182">
        <v>13.619199382355207</v>
      </c>
      <c r="D111" s="182">
        <v>11.929887054209381</v>
      </c>
      <c r="E111" s="182">
        <v>10.440933334102589</v>
      </c>
      <c r="F111" s="182">
        <v>3.2906931433531605</v>
      </c>
      <c r="G111" s="211">
        <v>-2.1281407827751231E-3</v>
      </c>
      <c r="H111" s="212">
        <v>-1.2914478704932786E-2</v>
      </c>
      <c r="I111" s="212">
        <v>-2.6139052164786847E-2</v>
      </c>
      <c r="J111" s="212">
        <v>-2.6310250168805283E-2</v>
      </c>
      <c r="K111" s="213">
        <v>-5.6096920086786795E-2</v>
      </c>
    </row>
    <row r="112" spans="1:11">
      <c r="A112" s="181" t="s">
        <v>42</v>
      </c>
      <c r="B112" s="182">
        <v>5.9999999999999984E-2</v>
      </c>
      <c r="C112" s="182">
        <v>0</v>
      </c>
      <c r="D112" s="182">
        <v>0</v>
      </c>
      <c r="E112" s="182">
        <v>0</v>
      </c>
      <c r="F112" s="182">
        <v>0</v>
      </c>
      <c r="G112" s="211">
        <v>-1</v>
      </c>
      <c r="H112" s="212" t="e">
        <v>#DIV/0!</v>
      </c>
      <c r="I112" s="212" t="e">
        <v>#DIV/0!</v>
      </c>
      <c r="J112" s="212" t="e">
        <v>#DIV/0!</v>
      </c>
      <c r="K112" s="213" t="e">
        <v>#DIV/0!</v>
      </c>
    </row>
    <row r="113" spans="1:11">
      <c r="A113" s="181" t="s">
        <v>104</v>
      </c>
      <c r="B113" s="182">
        <v>10.566459797679247</v>
      </c>
      <c r="C113" s="182">
        <v>13.251595559348388</v>
      </c>
      <c r="D113" s="182">
        <v>12.779135686755508</v>
      </c>
      <c r="E113" s="182">
        <v>12.106495373667938</v>
      </c>
      <c r="F113" s="182">
        <v>11.33310109741109</v>
      </c>
      <c r="G113" s="211">
        <v>1.8318675562970954E-2</v>
      </c>
      <c r="H113" s="212">
        <v>-9.1301644621099021E-3</v>
      </c>
      <c r="I113" s="212">
        <v>-7.2345335063984662E-3</v>
      </c>
      <c r="J113" s="212">
        <v>-1.0756075286291966E-2</v>
      </c>
      <c r="K113" s="213">
        <v>-3.2952772158820753E-3</v>
      </c>
    </row>
    <row r="114" spans="1:11">
      <c r="A114" s="181" t="s">
        <v>105</v>
      </c>
      <c r="B114" s="182">
        <v>1.7520381736811979</v>
      </c>
      <c r="C114" s="182">
        <v>1.3977555056216797</v>
      </c>
      <c r="D114" s="182">
        <v>1.8553686069309605</v>
      </c>
      <c r="E114" s="182">
        <v>2.2479759646467494</v>
      </c>
      <c r="F114" s="182">
        <v>2.1939463906381054</v>
      </c>
      <c r="G114" s="211">
        <v>-1.8434293198953178E-2</v>
      </c>
      <c r="H114" s="212">
        <v>1.069332772347642E-2</v>
      </c>
      <c r="I114" s="212">
        <v>5.8278074544066305E-2</v>
      </c>
      <c r="J114" s="212">
        <v>3.9135763206619822E-2</v>
      </c>
      <c r="K114" s="213">
        <v>-1.2156761197724686E-3</v>
      </c>
    </row>
    <row r="115" spans="1:11">
      <c r="A115" s="181" t="s">
        <v>134</v>
      </c>
      <c r="B115" s="182">
        <v>6.296013916158028</v>
      </c>
      <c r="C115" s="182">
        <v>4.5293827527073827</v>
      </c>
      <c r="D115" s="182">
        <v>4.7336965870786818</v>
      </c>
      <c r="E115" s="182">
        <v>5.2384202374876301</v>
      </c>
      <c r="F115" s="182">
        <v>2.9485640726408189</v>
      </c>
      <c r="G115" s="211">
        <v>-2.6273586664713022E-2</v>
      </c>
      <c r="H115" s="212">
        <v>1.4107082876768207E-2</v>
      </c>
      <c r="I115" s="212">
        <v>8.8631964133378816E-3</v>
      </c>
      <c r="J115" s="212">
        <v>2.0469393296532301E-2</v>
      </c>
      <c r="K115" s="213">
        <v>-2.8326157420179299E-2</v>
      </c>
    </row>
    <row r="116" spans="1:11">
      <c r="A116" s="181" t="s">
        <v>135</v>
      </c>
      <c r="B116" s="182">
        <v>2.0606803808999999E-2</v>
      </c>
      <c r="C116" s="182">
        <v>0.13263095721105231</v>
      </c>
      <c r="D116" s="182">
        <v>0.17301132305501996</v>
      </c>
      <c r="E116" s="182">
        <v>0.21011104449581849</v>
      </c>
      <c r="F116" s="182">
        <v>0.36846530198985222</v>
      </c>
      <c r="G116" s="211"/>
      <c r="H116" s="212"/>
      <c r="I116" s="212"/>
      <c r="J116" s="212"/>
      <c r="K116" s="213"/>
    </row>
    <row r="117" spans="1:11">
      <c r="A117" s="181" t="s">
        <v>136</v>
      </c>
      <c r="B117" s="182">
        <v>0</v>
      </c>
      <c r="C117" s="182">
        <v>0.5295558756722677</v>
      </c>
      <c r="D117" s="182">
        <v>0.92374869985651298</v>
      </c>
      <c r="E117" s="182">
        <v>1.4149173781835669</v>
      </c>
      <c r="F117" s="182">
        <v>3.3607236291928517</v>
      </c>
      <c r="G117" s="211"/>
      <c r="H117" s="212"/>
      <c r="I117" s="212"/>
      <c r="J117" s="212"/>
      <c r="K117" s="213"/>
    </row>
    <row r="118" spans="1:11">
      <c r="A118" s="181"/>
      <c r="B118" s="182"/>
      <c r="C118" s="182"/>
      <c r="D118" s="182"/>
      <c r="E118" s="182"/>
      <c r="F118" s="240"/>
      <c r="G118" s="211"/>
      <c r="H118" s="212"/>
      <c r="I118" s="212"/>
      <c r="J118" s="212"/>
      <c r="K118" s="213"/>
    </row>
    <row r="119" spans="1:11" ht="15.75" thickBot="1">
      <c r="A119" s="241" t="s">
        <v>10</v>
      </c>
      <c r="B119" s="242">
        <v>42.776692372461667</v>
      </c>
      <c r="C119" s="242">
        <v>39.148351845848893</v>
      </c>
      <c r="D119" s="242">
        <v>36.349130124418281</v>
      </c>
      <c r="E119" s="242">
        <v>33.411962830782613</v>
      </c>
      <c r="F119" s="242">
        <v>23.664254021098639</v>
      </c>
      <c r="G119" s="217">
        <v>-2.7444237679368211E-3</v>
      </c>
      <c r="H119" s="218">
        <v>-9.437605874686672E-3</v>
      </c>
      <c r="I119" s="218">
        <v>-1.4728075072347302E-2</v>
      </c>
      <c r="J119" s="218">
        <v>-1.6710065541940655E-2</v>
      </c>
      <c r="K119" s="219">
        <v>-1.7099532918173233E-2</v>
      </c>
    </row>
    <row r="120" spans="1:11">
      <c r="A120" s="195"/>
      <c r="B120" s="171"/>
      <c r="C120" s="171"/>
      <c r="D120" s="171"/>
    </row>
    <row r="121" spans="1:11">
      <c r="B121" s="171"/>
      <c r="C121" s="171"/>
      <c r="D121" s="171"/>
    </row>
    <row r="122" spans="1:11" ht="16.5" thickBot="1">
      <c r="A122" s="91" t="s">
        <v>137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</row>
    <row r="123" spans="1:11" ht="15.75" thickBot="1">
      <c r="A123" s="177" t="s">
        <v>51</v>
      </c>
      <c r="B123" s="178">
        <v>2000</v>
      </c>
      <c r="C123" s="178">
        <v>2020</v>
      </c>
      <c r="D123" s="178">
        <v>2025</v>
      </c>
      <c r="E123" s="178">
        <v>2030</v>
      </c>
      <c r="F123" s="178">
        <v>2050</v>
      </c>
      <c r="G123" s="197" t="s">
        <v>98</v>
      </c>
      <c r="H123" s="198" t="s">
        <v>99</v>
      </c>
      <c r="I123" s="198" t="s">
        <v>100</v>
      </c>
      <c r="J123" s="198" t="s">
        <v>101</v>
      </c>
      <c r="K123" s="199" t="s">
        <v>102</v>
      </c>
    </row>
    <row r="124" spans="1:11">
      <c r="A124" s="181" t="s">
        <v>138</v>
      </c>
      <c r="B124" s="182">
        <v>30.921999999999997</v>
      </c>
      <c r="C124" s="182">
        <v>26.463712783899322</v>
      </c>
      <c r="D124" s="182">
        <v>24.556586241057079</v>
      </c>
      <c r="E124" s="182">
        <v>22.500670721059336</v>
      </c>
      <c r="F124" s="182">
        <v>13.334897826045292</v>
      </c>
      <c r="G124" s="203">
        <v>-7.4234907039650855E-3</v>
      </c>
      <c r="H124" s="204">
        <v>-8.746665373995377E-3</v>
      </c>
      <c r="I124" s="204">
        <v>-1.4847545609201207E-2</v>
      </c>
      <c r="J124" s="204">
        <v>-1.7334985513456469E-2</v>
      </c>
      <c r="K124" s="205">
        <v>-2.5818873523801744E-2</v>
      </c>
    </row>
    <row r="125" spans="1:11">
      <c r="A125" s="181" t="s">
        <v>139</v>
      </c>
      <c r="B125" s="182">
        <v>4.4291695783465306</v>
      </c>
      <c r="C125" s="182">
        <v>4.132790397665298</v>
      </c>
      <c r="D125" s="182">
        <v>3.6501223090048343</v>
      </c>
      <c r="E125" s="182">
        <v>3.2293203917086788</v>
      </c>
      <c r="F125" s="182">
        <v>3.0877315221168047</v>
      </c>
      <c r="G125" s="211">
        <v>6.7392976798696935E-4</v>
      </c>
      <c r="H125" s="212">
        <v>-1.5747655193639298E-2</v>
      </c>
      <c r="I125" s="212">
        <v>-2.4532493162332081E-2</v>
      </c>
      <c r="J125" s="212">
        <v>-2.4200157746800732E-2</v>
      </c>
      <c r="K125" s="213">
        <v>-2.239240351833538E-3</v>
      </c>
    </row>
    <row r="126" spans="1:11">
      <c r="A126" s="181" t="s">
        <v>140</v>
      </c>
      <c r="B126" s="182">
        <v>2.4602635678511495</v>
      </c>
      <c r="C126" s="182">
        <v>2.6854100599617503</v>
      </c>
      <c r="D126" s="182">
        <v>2.6644230002880747</v>
      </c>
      <c r="E126" s="182">
        <v>2.6318035872293759</v>
      </c>
      <c r="F126" s="182">
        <v>2.4418703020455128</v>
      </c>
      <c r="G126" s="211">
        <v>5.899994469378278E-3</v>
      </c>
      <c r="H126" s="212">
        <v>-1.349732281475946E-4</v>
      </c>
      <c r="I126" s="212">
        <v>-1.5679524467334671E-3</v>
      </c>
      <c r="J126" s="212">
        <v>-2.4605953999589092E-3</v>
      </c>
      <c r="K126" s="213">
        <v>-3.7382514184234328E-3</v>
      </c>
    </row>
    <row r="127" spans="1:11">
      <c r="A127" s="181" t="s">
        <v>141</v>
      </c>
      <c r="B127" s="182">
        <v>0.96691652368930292</v>
      </c>
      <c r="C127" s="182">
        <v>0.58710186313704127</v>
      </c>
      <c r="D127" s="182">
        <v>0.46186005347147885</v>
      </c>
      <c r="E127" s="182">
        <v>0.32666683780059202</v>
      </c>
      <c r="F127" s="182">
        <v>0.24563663908069516</v>
      </c>
      <c r="G127" s="211">
        <v>-2.1167259936537342E-2</v>
      </c>
      <c r="H127" s="212">
        <v>-3.4973068433000298E-2</v>
      </c>
      <c r="I127" s="212">
        <v>-4.6854090106972612E-2</v>
      </c>
      <c r="J127" s="212">
        <v>-6.6919895354197623E-2</v>
      </c>
      <c r="K127" s="213">
        <v>-1.4153259431963772E-2</v>
      </c>
    </row>
    <row r="128" spans="1:11">
      <c r="A128" s="181" t="s">
        <v>142</v>
      </c>
      <c r="B128" s="182">
        <v>3.9867830846792645</v>
      </c>
      <c r="C128" s="243">
        <v>5.2174739331531477</v>
      </c>
      <c r="D128" s="243">
        <v>4.9211498092683286</v>
      </c>
      <c r="E128" s="243">
        <v>4.6048355734494608</v>
      </c>
      <c r="F128" s="243">
        <v>4.2973325560961708</v>
      </c>
      <c r="G128" s="211">
        <v>2.1497285887240869E-2</v>
      </c>
      <c r="H128" s="212">
        <v>-9.9528337628007613E-3</v>
      </c>
      <c r="I128" s="212">
        <v>-1.1626120162068321E-2</v>
      </c>
      <c r="J128" s="212">
        <v>-1.3199165099354926E-2</v>
      </c>
      <c r="K128" s="213">
        <v>-3.4496596328031925E-3</v>
      </c>
    </row>
    <row r="129" spans="1:11">
      <c r="A129" s="181" t="s">
        <v>143</v>
      </c>
      <c r="B129" s="182">
        <v>1.15596178954212E-2</v>
      </c>
      <c r="C129" s="182">
        <v>6.1862808032344341E-2</v>
      </c>
      <c r="D129" s="182">
        <v>9.4988711328484993E-2</v>
      </c>
      <c r="E129" s="182">
        <v>0.11866571953517088</v>
      </c>
      <c r="F129" s="182">
        <v>0.2567851757141662</v>
      </c>
      <c r="G129" s="211"/>
      <c r="H129" s="212"/>
      <c r="I129" s="212"/>
      <c r="J129" s="212"/>
      <c r="K129" s="213"/>
    </row>
    <row r="130" spans="1:11">
      <c r="A130" s="181"/>
      <c r="B130" s="182"/>
      <c r="C130" s="182"/>
      <c r="D130" s="182"/>
      <c r="E130" s="182"/>
      <c r="F130" s="182"/>
      <c r="G130" s="211"/>
      <c r="H130" s="212"/>
      <c r="I130" s="212"/>
      <c r="J130" s="212"/>
      <c r="K130" s="213"/>
    </row>
    <row r="131" spans="1:11" ht="15.75" thickBot="1">
      <c r="A131" s="241" t="s">
        <v>10</v>
      </c>
      <c r="B131" s="242">
        <v>42.776692372461667</v>
      </c>
      <c r="C131" s="242">
        <v>39.148351845848893</v>
      </c>
      <c r="D131" s="242">
        <v>36.349130124418281</v>
      </c>
      <c r="E131" s="242">
        <v>33.411962830782613</v>
      </c>
      <c r="F131" s="242">
        <v>23.664254021098639</v>
      </c>
      <c r="G131" s="217">
        <v>-2.7444237679368211E-3</v>
      </c>
      <c r="H131" s="218">
        <v>-9.437605874686672E-3</v>
      </c>
      <c r="I131" s="218">
        <v>-1.4728075072347302E-2</v>
      </c>
      <c r="J131" s="218">
        <v>-1.6710065541940655E-2</v>
      </c>
      <c r="K131" s="219">
        <v>-1.7099532918173233E-2</v>
      </c>
    </row>
    <row r="132" spans="1:11">
      <c r="A132" s="195"/>
      <c r="B132" s="171"/>
      <c r="C132" s="171"/>
      <c r="D132" s="171"/>
    </row>
    <row r="133" spans="1:11">
      <c r="B133" s="171"/>
      <c r="C133" s="171"/>
      <c r="D133" s="171"/>
    </row>
    <row r="134" spans="1:11" ht="16.5" thickBot="1">
      <c r="A134" s="91" t="s">
        <v>144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</row>
    <row r="135" spans="1:11" ht="15.75" thickBot="1">
      <c r="A135" s="177" t="s">
        <v>51</v>
      </c>
      <c r="B135" s="178">
        <v>2000</v>
      </c>
      <c r="C135" s="178">
        <v>2020</v>
      </c>
      <c r="D135" s="178">
        <v>2025</v>
      </c>
      <c r="E135" s="178">
        <v>2030</v>
      </c>
      <c r="F135" s="178">
        <v>2050</v>
      </c>
      <c r="G135" s="197" t="s">
        <v>98</v>
      </c>
      <c r="H135" s="198" t="s">
        <v>99</v>
      </c>
      <c r="I135" s="198" t="s">
        <v>100</v>
      </c>
      <c r="J135" s="198" t="s">
        <v>101</v>
      </c>
      <c r="K135" s="199" t="s">
        <v>102</v>
      </c>
    </row>
    <row r="136" spans="1:11">
      <c r="A136" s="181" t="s">
        <v>103</v>
      </c>
      <c r="B136" s="182">
        <v>9.0758812906337827</v>
      </c>
      <c r="C136" s="182">
        <v>5.6882318129329184</v>
      </c>
      <c r="D136" s="182">
        <v>3.9542821665322192</v>
      </c>
      <c r="E136" s="182">
        <v>1.7531094981983244</v>
      </c>
      <c r="F136" s="182">
        <v>0.16876038587276018</v>
      </c>
      <c r="G136" s="203">
        <v>-2.0025322165468706E-2</v>
      </c>
      <c r="H136" s="204">
        <v>-3.2227817829655558E-2</v>
      </c>
      <c r="I136" s="204">
        <v>-7.0138912602095926E-2</v>
      </c>
      <c r="J136" s="204">
        <v>-0.15013826160384491</v>
      </c>
      <c r="K136" s="205">
        <v>-0.11044445054685692</v>
      </c>
    </row>
    <row r="137" spans="1:11">
      <c r="A137" s="181" t="s">
        <v>54</v>
      </c>
      <c r="B137" s="182">
        <v>15.00569239050041</v>
      </c>
      <c r="C137" s="182">
        <v>13.619199382355207</v>
      </c>
      <c r="D137" s="182">
        <v>11.929887054209381</v>
      </c>
      <c r="E137" s="182">
        <v>10.440933334102589</v>
      </c>
      <c r="F137" s="182">
        <v>3.2906931433531605</v>
      </c>
      <c r="G137" s="211">
        <v>-2.1281407827751231E-3</v>
      </c>
      <c r="H137" s="212">
        <v>-1.2914478704932786E-2</v>
      </c>
      <c r="I137" s="212">
        <v>-2.6139052164786847E-2</v>
      </c>
      <c r="J137" s="212">
        <v>-2.6310250168805283E-2</v>
      </c>
      <c r="K137" s="213">
        <v>-5.6096920086786795E-2</v>
      </c>
    </row>
    <row r="138" spans="1:11">
      <c r="A138" s="181" t="s">
        <v>42</v>
      </c>
      <c r="B138" s="182">
        <v>5.9999999999999984E-2</v>
      </c>
      <c r="C138" s="182">
        <v>0</v>
      </c>
      <c r="D138" s="182">
        <v>0</v>
      </c>
      <c r="E138" s="182">
        <v>0</v>
      </c>
      <c r="F138" s="182">
        <v>0</v>
      </c>
      <c r="G138" s="211">
        <v>-1</v>
      </c>
      <c r="H138" s="212" t="e">
        <v>#DIV/0!</v>
      </c>
      <c r="I138" s="212" t="e">
        <v>#DIV/0!</v>
      </c>
      <c r="J138" s="212" t="e">
        <v>#DIV/0!</v>
      </c>
      <c r="K138" s="213" t="e">
        <v>#DIV/0!</v>
      </c>
    </row>
    <row r="139" spans="1:11">
      <c r="A139" s="181" t="s">
        <v>104</v>
      </c>
      <c r="B139" s="182">
        <v>5.6012005714152586</v>
      </c>
      <c r="C139" s="182">
        <v>7.3851569550258551</v>
      </c>
      <c r="D139" s="182">
        <v>7.3011371126872149</v>
      </c>
      <c r="E139" s="182">
        <v>7.0563272428827135</v>
      </c>
      <c r="F139" s="182">
        <v>6.5333467265200591</v>
      </c>
      <c r="G139" s="211">
        <v>2.0889974020766644E-2</v>
      </c>
      <c r="H139" s="212">
        <v>-6.7035005843146811E-3</v>
      </c>
      <c r="I139" s="212">
        <v>-2.2857963979989737E-3</v>
      </c>
      <c r="J139" s="212">
        <v>-6.797871084570084E-3</v>
      </c>
      <c r="K139" s="213">
        <v>-3.8428656227995628E-3</v>
      </c>
    </row>
    <row r="140" spans="1:11">
      <c r="A140" s="181" t="s">
        <v>105</v>
      </c>
      <c r="B140" s="182">
        <v>1.7520381736811979</v>
      </c>
      <c r="C140" s="182">
        <v>1.3977555056216797</v>
      </c>
      <c r="D140" s="182">
        <v>1.8553686069309605</v>
      </c>
      <c r="E140" s="182">
        <v>2.2479759646467494</v>
      </c>
      <c r="F140" s="182">
        <v>2.1939463906381054</v>
      </c>
      <c r="G140" s="211">
        <v>-1.8434293198953178E-2</v>
      </c>
      <c r="H140" s="212">
        <v>1.069332772347642E-2</v>
      </c>
      <c r="I140" s="212">
        <v>5.8278074544066305E-2</v>
      </c>
      <c r="J140" s="212">
        <v>3.9135763206619822E-2</v>
      </c>
      <c r="K140" s="213">
        <v>-1.2156761197724686E-3</v>
      </c>
    </row>
    <row r="141" spans="1:11">
      <c r="A141" s="181" t="s">
        <v>134</v>
      </c>
      <c r="B141" s="182">
        <v>6.296013916158028</v>
      </c>
      <c r="C141" s="182">
        <v>4.5293827527073827</v>
      </c>
      <c r="D141" s="182">
        <v>4.7336965870786818</v>
      </c>
      <c r="E141" s="182">
        <v>5.2384202374876301</v>
      </c>
      <c r="F141" s="182">
        <v>2.9485640726408189</v>
      </c>
      <c r="G141" s="211">
        <v>-2.6273586664713022E-2</v>
      </c>
      <c r="H141" s="212">
        <v>1.4107082876768207E-2</v>
      </c>
      <c r="I141" s="212">
        <v>8.8631964133378816E-3</v>
      </c>
      <c r="J141" s="212">
        <v>2.0469393296532301E-2</v>
      </c>
      <c r="K141" s="213">
        <v>-2.8326157420179299E-2</v>
      </c>
    </row>
    <row r="142" spans="1:11">
      <c r="A142" s="181" t="s">
        <v>135</v>
      </c>
      <c r="B142" s="182">
        <v>2.0606803808999999E-2</v>
      </c>
      <c r="C142" s="182">
        <v>0.13263095721105231</v>
      </c>
      <c r="D142" s="182">
        <v>0.17301132305501996</v>
      </c>
      <c r="E142" s="182">
        <v>0.21011104449581849</v>
      </c>
      <c r="F142" s="182">
        <v>0.36846530198985222</v>
      </c>
      <c r="G142" s="211"/>
      <c r="H142" s="212"/>
      <c r="I142" s="212"/>
      <c r="J142" s="212"/>
      <c r="K142" s="213"/>
    </row>
    <row r="143" spans="1:11">
      <c r="A143" s="181" t="s">
        <v>136</v>
      </c>
      <c r="B143" s="182">
        <v>0</v>
      </c>
      <c r="C143" s="182">
        <v>0.5295558756722677</v>
      </c>
      <c r="D143" s="182">
        <v>0.92374869985651298</v>
      </c>
      <c r="E143" s="182">
        <v>1.4149173781835669</v>
      </c>
      <c r="F143" s="182">
        <v>3.3607236291928517</v>
      </c>
      <c r="G143" s="211"/>
      <c r="H143" s="212"/>
      <c r="I143" s="212"/>
      <c r="J143" s="212"/>
      <c r="K143" s="213"/>
    </row>
    <row r="144" spans="1:11">
      <c r="A144" s="181"/>
      <c r="B144" s="182"/>
      <c r="C144" s="182"/>
      <c r="D144" s="182"/>
      <c r="E144" s="182"/>
      <c r="F144" s="244"/>
      <c r="G144" s="211"/>
      <c r="H144" s="212"/>
      <c r="I144" s="212"/>
      <c r="J144" s="212"/>
      <c r="K144" s="213"/>
    </row>
    <row r="145" spans="1:17" ht="15.75" thickBot="1">
      <c r="A145" s="241" t="s">
        <v>10</v>
      </c>
      <c r="B145" s="242">
        <v>37.811433146197679</v>
      </c>
      <c r="C145" s="242">
        <v>33.281913241526361</v>
      </c>
      <c r="D145" s="242">
        <v>30.871131550349993</v>
      </c>
      <c r="E145" s="242">
        <v>28.36179469999739</v>
      </c>
      <c r="F145" s="242">
        <v>18.864499650207609</v>
      </c>
      <c r="G145" s="217">
        <v>-5.4920684513537488E-3</v>
      </c>
      <c r="H145" s="218">
        <v>-8.9575079206613006E-3</v>
      </c>
      <c r="I145" s="218">
        <v>-1.492600821646517E-2</v>
      </c>
      <c r="J145" s="218">
        <v>-1.6812763244704709E-2</v>
      </c>
      <c r="K145" s="219">
        <v>-2.0181626445999301E-2</v>
      </c>
    </row>
    <row r="146" spans="1:17">
      <c r="B146" s="245"/>
      <c r="C146" s="245"/>
      <c r="D146" s="245"/>
      <c r="E146" s="245"/>
      <c r="F146" s="245"/>
    </row>
    <row r="147" spans="1:17">
      <c r="B147" s="171"/>
      <c r="C147" s="171"/>
      <c r="D147" s="171"/>
    </row>
    <row r="148" spans="1:17" ht="16.5" thickBot="1">
      <c r="A148" s="91" t="s">
        <v>145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</row>
    <row r="149" spans="1:17" ht="15.75" thickBot="1">
      <c r="A149" s="177" t="s">
        <v>51</v>
      </c>
      <c r="B149" s="178">
        <v>2000</v>
      </c>
      <c r="C149" s="178">
        <v>2020</v>
      </c>
      <c r="D149" s="178">
        <v>2025</v>
      </c>
      <c r="E149" s="178">
        <v>2030</v>
      </c>
      <c r="F149" s="178">
        <v>2050</v>
      </c>
      <c r="G149" s="197" t="s">
        <v>98</v>
      </c>
      <c r="H149" s="198" t="s">
        <v>99</v>
      </c>
      <c r="I149" s="198" t="s">
        <v>100</v>
      </c>
      <c r="J149" s="198" t="s">
        <v>101</v>
      </c>
      <c r="K149" s="199" t="s">
        <v>102</v>
      </c>
    </row>
    <row r="150" spans="1:17">
      <c r="A150" s="181" t="s">
        <v>103</v>
      </c>
      <c r="B150" s="209">
        <v>7.419999999999999</v>
      </c>
      <c r="C150" s="209">
        <v>4.9386358248142646</v>
      </c>
      <c r="D150" s="209">
        <v>3.5407914375654852</v>
      </c>
      <c r="E150" s="209">
        <v>1.4747347028987237</v>
      </c>
      <c r="F150" s="209">
        <v>2.6442678991241385E-2</v>
      </c>
      <c r="G150" s="203">
        <v>-1.6427255683063358E-2</v>
      </c>
      <c r="H150" s="204">
        <v>-3.1228926371364762E-2</v>
      </c>
      <c r="I150" s="204">
        <v>-6.4381783838255324E-2</v>
      </c>
      <c r="J150" s="204">
        <v>-0.1606893947818594</v>
      </c>
      <c r="K150" s="205">
        <v>-0.18213885227406568</v>
      </c>
      <c r="M150" s="186"/>
      <c r="N150" s="186"/>
      <c r="O150" s="186"/>
      <c r="P150" s="186"/>
      <c r="Q150" s="186"/>
    </row>
    <row r="151" spans="1:17">
      <c r="A151" s="181" t="s">
        <v>54</v>
      </c>
      <c r="B151" s="209">
        <v>12.597999999999999</v>
      </c>
      <c r="C151" s="209">
        <v>11.322255566952276</v>
      </c>
      <c r="D151" s="209">
        <v>10.080728597668493</v>
      </c>
      <c r="E151" s="209">
        <v>8.8503380795888198</v>
      </c>
      <c r="F151" s="209">
        <v>2.6025353532341691</v>
      </c>
      <c r="G151" s="211">
        <v>-3.4896702378731659E-3</v>
      </c>
      <c r="H151" s="212">
        <v>-1.0807408382239592E-2</v>
      </c>
      <c r="I151" s="212">
        <v>-2.2961238068195833E-2</v>
      </c>
      <c r="J151" s="212">
        <v>-2.5698014261145707E-2</v>
      </c>
      <c r="K151" s="213">
        <v>-5.9363474109113468E-2</v>
      </c>
      <c r="M151" s="186"/>
      <c r="N151" s="186"/>
      <c r="O151" s="186"/>
      <c r="P151" s="186"/>
      <c r="Q151" s="186"/>
    </row>
    <row r="152" spans="1:17">
      <c r="A152" s="181" t="s">
        <v>42</v>
      </c>
      <c r="B152" s="209">
        <v>5.9999999999999984E-2</v>
      </c>
      <c r="C152" s="209">
        <v>0</v>
      </c>
      <c r="D152" s="209">
        <v>0</v>
      </c>
      <c r="E152" s="209">
        <v>0</v>
      </c>
      <c r="F152" s="209">
        <v>0</v>
      </c>
      <c r="G152" s="211">
        <v>-1</v>
      </c>
      <c r="H152" s="212" t="e">
        <v>#DIV/0!</v>
      </c>
      <c r="I152" s="212" t="e">
        <v>#DIV/0!</v>
      </c>
      <c r="J152" s="212" t="e">
        <v>#DIV/0!</v>
      </c>
      <c r="K152" s="213" t="e">
        <v>#DIV/0!</v>
      </c>
      <c r="M152" s="186"/>
      <c r="N152" s="186"/>
      <c r="O152" s="186"/>
      <c r="P152" s="186"/>
      <c r="Q152" s="186"/>
    </row>
    <row r="153" spans="1:17">
      <c r="A153" s="181" t="s">
        <v>104</v>
      </c>
      <c r="B153" s="209">
        <v>3.2039999999999997</v>
      </c>
      <c r="C153" s="209">
        <v>4.1016245004249665</v>
      </c>
      <c r="D153" s="209">
        <v>3.9589970480417827</v>
      </c>
      <c r="E153" s="209">
        <v>4.0420967368038268</v>
      </c>
      <c r="F153" s="209">
        <v>3.7768270518388043</v>
      </c>
      <c r="G153" s="211">
        <v>2.0597497716569713E-2</v>
      </c>
      <c r="H153" s="212">
        <v>-1.169912325353617E-2</v>
      </c>
      <c r="I153" s="212">
        <v>-7.0534850499125445E-3</v>
      </c>
      <c r="J153" s="212">
        <v>4.1632079944096123E-3</v>
      </c>
      <c r="K153" s="213">
        <v>-3.3882119483982232E-3</v>
      </c>
      <c r="M153" s="186"/>
      <c r="N153" s="186"/>
      <c r="O153" s="186"/>
      <c r="P153" s="186"/>
      <c r="Q153" s="186"/>
    </row>
    <row r="154" spans="1:17">
      <c r="A154" s="181" t="s">
        <v>105</v>
      </c>
      <c r="B154" s="209">
        <v>1.4529999999999996</v>
      </c>
      <c r="C154" s="209">
        <v>1.2190849956959604</v>
      </c>
      <c r="D154" s="209">
        <v>1.6238391294739762</v>
      </c>
      <c r="E154" s="209">
        <v>1.9720785727840835</v>
      </c>
      <c r="F154" s="209">
        <v>1.8616546833395884</v>
      </c>
      <c r="G154" s="211">
        <v>-1.5224144092485292E-2</v>
      </c>
      <c r="H154" s="212">
        <v>1.0977516911398588E-2</v>
      </c>
      <c r="I154" s="212">
        <v>5.9014248243384193E-2</v>
      </c>
      <c r="J154" s="212">
        <v>3.9623869915116794E-2</v>
      </c>
      <c r="K154" s="213">
        <v>-2.8769731902446027E-3</v>
      </c>
      <c r="M154" s="186"/>
      <c r="N154" s="186"/>
      <c r="O154" s="186"/>
      <c r="P154" s="186"/>
      <c r="Q154" s="186"/>
    </row>
    <row r="155" spans="1:17">
      <c r="A155" s="181" t="s">
        <v>134</v>
      </c>
      <c r="B155" s="209">
        <v>6.1869999999999994</v>
      </c>
      <c r="C155" s="209">
        <v>4.4876981542791929</v>
      </c>
      <c r="D155" s="209">
        <v>4.6947678404359259</v>
      </c>
      <c r="E155" s="209">
        <v>5.1647007675103076</v>
      </c>
      <c r="F155" s="209">
        <v>2.7894652745050434</v>
      </c>
      <c r="G155" s="211">
        <v>-2.5643991614806461E-2</v>
      </c>
      <c r="H155" s="212">
        <v>1.3807971430595201E-2</v>
      </c>
      <c r="I155" s="212">
        <v>9.0625693320669498E-3</v>
      </c>
      <c r="J155" s="212">
        <v>1.9262881255199593E-2</v>
      </c>
      <c r="K155" s="213">
        <v>-3.0330378926955448E-2</v>
      </c>
      <c r="M155" s="186"/>
      <c r="N155" s="186"/>
      <c r="O155" s="186"/>
      <c r="P155" s="186"/>
      <c r="Q155" s="186"/>
    </row>
    <row r="156" spans="1:17">
      <c r="A156" s="181" t="s">
        <v>136</v>
      </c>
      <c r="B156" s="209">
        <v>0</v>
      </c>
      <c r="C156" s="209">
        <v>0.39441374173265564</v>
      </c>
      <c r="D156" s="209">
        <v>0.65746218787141797</v>
      </c>
      <c r="E156" s="209">
        <v>0.99672186147357433</v>
      </c>
      <c r="F156" s="209">
        <v>2.2779727841364443</v>
      </c>
      <c r="G156" s="211"/>
      <c r="H156" s="212"/>
      <c r="I156" s="212"/>
      <c r="J156" s="212"/>
      <c r="K156" s="213"/>
      <c r="M156" s="186"/>
      <c r="N156" s="186"/>
      <c r="O156" s="186"/>
      <c r="P156" s="186"/>
      <c r="Q156" s="186"/>
    </row>
    <row r="157" spans="1:17">
      <c r="A157" s="181"/>
      <c r="B157" s="182"/>
      <c r="C157" s="182"/>
      <c r="D157" s="182"/>
      <c r="E157" s="182"/>
      <c r="F157" s="244"/>
      <c r="G157" s="211"/>
      <c r="H157" s="212"/>
      <c r="I157" s="212"/>
      <c r="J157" s="212"/>
      <c r="K157" s="213"/>
      <c r="M157" s="186"/>
      <c r="N157" s="186"/>
      <c r="O157" s="186"/>
      <c r="P157" s="186"/>
      <c r="Q157" s="186"/>
    </row>
    <row r="158" spans="1:17" ht="15.75" thickBot="1">
      <c r="A158" s="241" t="s">
        <v>10</v>
      </c>
      <c r="B158" s="242">
        <v>30.921999999999997</v>
      </c>
      <c r="C158" s="242">
        <v>26.463712783899322</v>
      </c>
      <c r="D158" s="242">
        <v>24.556586241057079</v>
      </c>
      <c r="E158" s="242">
        <v>22.500670721059336</v>
      </c>
      <c r="F158" s="242">
        <v>13.334897826045292</v>
      </c>
      <c r="G158" s="217">
        <v>-7.4234907039650855E-3</v>
      </c>
      <c r="H158" s="218">
        <v>-8.746665373995377E-3</v>
      </c>
      <c r="I158" s="218">
        <v>-1.4847545609201207E-2</v>
      </c>
      <c r="J158" s="218">
        <v>-1.7334985513456469E-2</v>
      </c>
      <c r="K158" s="219">
        <v>-2.5818873523801744E-2</v>
      </c>
      <c r="M158" s="186"/>
      <c r="N158" s="186"/>
      <c r="O158" s="186"/>
      <c r="P158" s="186"/>
      <c r="Q158" s="186"/>
    </row>
    <row r="159" spans="1:17">
      <c r="A159" s="195"/>
      <c r="B159" s="171"/>
      <c r="C159" s="171"/>
      <c r="D159" s="171"/>
    </row>
    <row r="160" spans="1:17">
      <c r="A160" s="195"/>
      <c r="B160" s="171"/>
      <c r="C160" s="171"/>
      <c r="D160" s="171"/>
    </row>
    <row r="161" spans="1:16" ht="16.5" thickBot="1">
      <c r="A161" s="91" t="s">
        <v>146</v>
      </c>
      <c r="B161" s="80"/>
      <c r="C161" s="80"/>
      <c r="D161" s="80"/>
      <c r="E161" s="80"/>
      <c r="F161" s="80"/>
      <c r="G161" s="80"/>
      <c r="H161" s="80"/>
      <c r="I161" s="80"/>
      <c r="J161" s="80"/>
      <c r="K161" s="80"/>
    </row>
    <row r="162" spans="1:16" ht="15.75" thickBot="1">
      <c r="A162" s="246" t="s">
        <v>51</v>
      </c>
      <c r="B162" s="178">
        <v>2000</v>
      </c>
      <c r="C162" s="178">
        <v>2020</v>
      </c>
      <c r="D162" s="178">
        <v>2025</v>
      </c>
      <c r="E162" s="178">
        <v>2030</v>
      </c>
      <c r="F162" s="178">
        <v>2050</v>
      </c>
      <c r="G162" s="197" t="s">
        <v>98</v>
      </c>
      <c r="H162" s="198" t="s">
        <v>99</v>
      </c>
      <c r="I162" s="198" t="s">
        <v>100</v>
      </c>
      <c r="J162" s="198" t="s">
        <v>101</v>
      </c>
      <c r="K162" s="199" t="s">
        <v>102</v>
      </c>
    </row>
    <row r="163" spans="1:16">
      <c r="A163" s="181" t="s">
        <v>103</v>
      </c>
      <c r="B163" s="209">
        <v>0.97712473473756067</v>
      </c>
      <c r="C163" s="209">
        <v>0.18261131687176801</v>
      </c>
      <c r="D163" s="209">
        <v>0</v>
      </c>
      <c r="E163" s="209">
        <v>0</v>
      </c>
      <c r="F163" s="209">
        <v>0</v>
      </c>
      <c r="G163" s="203">
        <v>-7.6726937555410157E-2</v>
      </c>
      <c r="H163" s="204">
        <v>-9.149976885014921E-2</v>
      </c>
      <c r="I163" s="204">
        <v>-1</v>
      </c>
      <c r="J163" s="204" t="e">
        <v>#DIV/0!</v>
      </c>
      <c r="K163" s="205" t="e">
        <v>#DIV/0!</v>
      </c>
      <c r="M163" s="186"/>
      <c r="N163" s="186"/>
      <c r="O163" s="186"/>
      <c r="P163" s="186"/>
    </row>
    <row r="164" spans="1:16">
      <c r="A164" s="181" t="s">
        <v>54</v>
      </c>
      <c r="B164" s="209">
        <v>1.4521853785454846</v>
      </c>
      <c r="C164" s="209">
        <v>1.4587038877681464</v>
      </c>
      <c r="D164" s="209">
        <v>1.2067079135860175</v>
      </c>
      <c r="E164" s="209">
        <v>1.0316600449254005</v>
      </c>
      <c r="F164" s="209">
        <v>0.3061471032264938</v>
      </c>
      <c r="G164" s="211">
        <v>7.8195177509521319E-3</v>
      </c>
      <c r="H164" s="212">
        <v>-2.2220963498156499E-2</v>
      </c>
      <c r="I164" s="212">
        <v>-3.7220124014459954E-2</v>
      </c>
      <c r="J164" s="212">
        <v>-3.0859171722235068E-2</v>
      </c>
      <c r="K164" s="213">
        <v>-5.8934879326727141E-2</v>
      </c>
      <c r="M164" s="186"/>
      <c r="N164" s="186"/>
      <c r="O164" s="186"/>
      <c r="P164" s="186"/>
    </row>
    <row r="165" spans="1:16">
      <c r="A165" s="181" t="s">
        <v>42</v>
      </c>
      <c r="B165" s="209">
        <v>0</v>
      </c>
      <c r="C165" s="209">
        <v>0</v>
      </c>
      <c r="D165" s="209">
        <v>0</v>
      </c>
      <c r="E165" s="209">
        <v>0</v>
      </c>
      <c r="F165" s="209">
        <v>0</v>
      </c>
      <c r="G165" s="211" t="e">
        <v>#DIV/0!</v>
      </c>
      <c r="H165" s="212" t="e">
        <v>#DIV/0!</v>
      </c>
      <c r="I165" s="212" t="e">
        <v>#DIV/0!</v>
      </c>
      <c r="J165" s="212" t="e">
        <v>#DIV/0!</v>
      </c>
      <c r="K165" s="213" t="e">
        <v>#DIV/0!</v>
      </c>
      <c r="M165" s="186"/>
      <c r="N165" s="186"/>
      <c r="O165" s="186"/>
      <c r="P165" s="186"/>
    </row>
    <row r="166" spans="1:16">
      <c r="A166" s="181" t="s">
        <v>104</v>
      </c>
      <c r="B166" s="209">
        <v>1.571200571415259</v>
      </c>
      <c r="C166" s="209">
        <v>2.0033469935208101</v>
      </c>
      <c r="D166" s="209">
        <v>1.7336583362789615</v>
      </c>
      <c r="E166" s="209">
        <v>1.2197369237374784</v>
      </c>
      <c r="F166" s="209">
        <v>0.83897776640975896</v>
      </c>
      <c r="G166" s="211">
        <v>2.1613189758759255E-2</v>
      </c>
      <c r="H166" s="212">
        <v>-1.5432635694312302E-2</v>
      </c>
      <c r="I166" s="212">
        <v>-2.8502993520950093E-2</v>
      </c>
      <c r="J166" s="212">
        <v>-6.7904241465863602E-2</v>
      </c>
      <c r="K166" s="213">
        <v>-1.853636227569555E-2</v>
      </c>
      <c r="M166" s="186"/>
      <c r="N166" s="186"/>
      <c r="O166" s="186"/>
      <c r="P166" s="186"/>
    </row>
    <row r="167" spans="1:16">
      <c r="A167" s="181" t="s">
        <v>105</v>
      </c>
      <c r="B167" s="209">
        <v>0.29903817368119823</v>
      </c>
      <c r="C167" s="209">
        <v>0.17867050992571934</v>
      </c>
      <c r="D167" s="209">
        <v>0.23152947745698416</v>
      </c>
      <c r="E167" s="209">
        <v>0.27589739186266604</v>
      </c>
      <c r="F167" s="209">
        <v>0.33229170729851704</v>
      </c>
      <c r="G167" s="211">
        <v>-3.6559724951000128E-2</v>
      </c>
      <c r="H167" s="212">
        <v>8.7669777437231478E-3</v>
      </c>
      <c r="I167" s="212">
        <v>5.3199593822560898E-2</v>
      </c>
      <c r="J167" s="212">
        <v>3.5686369670621776E-2</v>
      </c>
      <c r="K167" s="213">
        <v>9.342581567002517E-3</v>
      </c>
      <c r="M167" s="186"/>
      <c r="N167" s="186"/>
      <c r="O167" s="186"/>
      <c r="P167" s="186"/>
    </row>
    <row r="168" spans="1:16">
      <c r="A168" s="181" t="s">
        <v>134</v>
      </c>
      <c r="B168" s="209">
        <v>0.10901391615802879</v>
      </c>
      <c r="C168" s="209">
        <v>4.1684598428189529E-2</v>
      </c>
      <c r="D168" s="209">
        <v>3.892874664275605E-2</v>
      </c>
      <c r="E168" s="209">
        <v>7.371946997732283E-2</v>
      </c>
      <c r="F168" s="209">
        <v>0.15909879813577535</v>
      </c>
      <c r="G168" s="211"/>
      <c r="H168" s="212"/>
      <c r="I168" s="212"/>
      <c r="J168" s="212"/>
      <c r="K168" s="213"/>
      <c r="M168" s="186"/>
      <c r="N168" s="186"/>
      <c r="O168" s="186"/>
      <c r="P168" s="186"/>
    </row>
    <row r="169" spans="1:16">
      <c r="A169" s="181" t="s">
        <v>135</v>
      </c>
      <c r="B169" s="209">
        <v>2.0606803808999999E-2</v>
      </c>
      <c r="C169" s="209">
        <v>0.13263095721105231</v>
      </c>
      <c r="D169" s="209">
        <v>0.17301132305501996</v>
      </c>
      <c r="E169" s="209">
        <v>0.21011104449581849</v>
      </c>
      <c r="F169" s="209">
        <v>0.36846530198985222</v>
      </c>
      <c r="G169" s="211">
        <v>0.10386437812593452</v>
      </c>
      <c r="H169" s="212">
        <v>7.8896283493349095E-2</v>
      </c>
      <c r="I169" s="212">
        <v>5.4595526256296045E-2</v>
      </c>
      <c r="J169" s="212">
        <v>3.9620586738793317E-2</v>
      </c>
      <c r="K169" s="213">
        <v>2.8483635181664413E-2</v>
      </c>
      <c r="M169" s="186"/>
      <c r="N169" s="186"/>
      <c r="O169" s="186"/>
      <c r="P169" s="186"/>
    </row>
    <row r="170" spans="1:16">
      <c r="A170" s="181" t="s">
        <v>136</v>
      </c>
      <c r="B170" s="209">
        <v>0</v>
      </c>
      <c r="C170" s="209">
        <v>0.13514213393961208</v>
      </c>
      <c r="D170" s="209">
        <v>0.26628651198509506</v>
      </c>
      <c r="E170" s="209">
        <v>0.41819551670999261</v>
      </c>
      <c r="F170" s="209">
        <v>1.0827508450564076</v>
      </c>
      <c r="G170" s="211"/>
      <c r="H170" s="212"/>
      <c r="I170" s="212"/>
      <c r="J170" s="212"/>
      <c r="K170" s="213"/>
      <c r="M170" s="186"/>
      <c r="N170" s="186"/>
      <c r="O170" s="186"/>
      <c r="P170" s="186"/>
    </row>
    <row r="171" spans="1:16">
      <c r="A171" s="181"/>
      <c r="B171" s="182"/>
      <c r="C171" s="182"/>
      <c r="D171" s="182"/>
      <c r="E171" s="182"/>
      <c r="F171" s="182"/>
      <c r="G171" s="211"/>
      <c r="H171" s="212"/>
      <c r="I171" s="212"/>
      <c r="J171" s="212"/>
      <c r="K171" s="213"/>
      <c r="M171" s="186"/>
      <c r="N171" s="186"/>
      <c r="O171" s="186"/>
      <c r="P171" s="186"/>
    </row>
    <row r="172" spans="1:16" ht="15.75" thickBot="1">
      <c r="A172" s="241" t="s">
        <v>10</v>
      </c>
      <c r="B172" s="242">
        <v>4.4291695783465306</v>
      </c>
      <c r="C172" s="247">
        <v>4.132790397665298</v>
      </c>
      <c r="D172" s="247">
        <v>3.6501223090048343</v>
      </c>
      <c r="E172" s="247">
        <v>3.2293203917086788</v>
      </c>
      <c r="F172" s="247">
        <v>3.0877315221168047</v>
      </c>
      <c r="G172" s="217">
        <v>6.7392976798696935E-4</v>
      </c>
      <c r="H172" s="218">
        <v>-1.5747655193639298E-2</v>
      </c>
      <c r="I172" s="218">
        <v>-2.4532493162332081E-2</v>
      </c>
      <c r="J172" s="218">
        <v>-2.4200157746800732E-2</v>
      </c>
      <c r="K172" s="219">
        <v>-2.239240351833538E-3</v>
      </c>
      <c r="M172" s="186"/>
      <c r="N172" s="186"/>
      <c r="O172" s="186"/>
      <c r="P172" s="186"/>
    </row>
    <row r="173" spans="1:16">
      <c r="A173" s="195"/>
      <c r="B173" s="171"/>
      <c r="C173" s="171"/>
      <c r="D173" s="171"/>
    </row>
    <row r="174" spans="1:16">
      <c r="B174" s="171"/>
      <c r="C174" s="171"/>
      <c r="D174" s="171"/>
    </row>
    <row r="175" spans="1:16" ht="16.5" thickBot="1">
      <c r="A175" s="91" t="s">
        <v>147</v>
      </c>
      <c r="B175" s="80"/>
      <c r="C175" s="80"/>
      <c r="D175" s="80"/>
      <c r="E175" s="80"/>
      <c r="F175" s="80"/>
      <c r="G175" s="80"/>
      <c r="H175" s="80"/>
      <c r="I175" s="80"/>
      <c r="J175" s="80"/>
      <c r="K175" s="80"/>
    </row>
    <row r="176" spans="1:16" ht="15.75" thickBot="1">
      <c r="A176" s="177" t="s">
        <v>51</v>
      </c>
      <c r="B176" s="178">
        <v>2000</v>
      </c>
      <c r="C176" s="178">
        <v>2020</v>
      </c>
      <c r="D176" s="178">
        <v>2025</v>
      </c>
      <c r="E176" s="178">
        <v>2030</v>
      </c>
      <c r="F176" s="178">
        <v>2050</v>
      </c>
      <c r="G176" s="197" t="s">
        <v>98</v>
      </c>
      <c r="H176" s="198" t="s">
        <v>99</v>
      </c>
      <c r="I176" s="198" t="s">
        <v>100</v>
      </c>
      <c r="J176" s="198" t="s">
        <v>101</v>
      </c>
      <c r="K176" s="199" t="s">
        <v>102</v>
      </c>
    </row>
    <row r="177" spans="1:20">
      <c r="A177" s="181" t="s">
        <v>103</v>
      </c>
      <c r="B177" s="209">
        <v>0.67875655589622275</v>
      </c>
      <c r="C177" s="209">
        <v>0.56698467124688645</v>
      </c>
      <c r="D177" s="209">
        <v>0.41349072896673383</v>
      </c>
      <c r="E177" s="209">
        <v>0.2783747952996008</v>
      </c>
      <c r="F177" s="209">
        <v>0.14231770688151879</v>
      </c>
      <c r="G177" s="203">
        <v>-6.2452325127548836E-3</v>
      </c>
      <c r="H177" s="204">
        <v>-1.7044673184611447E-2</v>
      </c>
      <c r="I177" s="204">
        <v>-6.1187438802784877E-2</v>
      </c>
      <c r="J177" s="204">
        <v>-7.608327939658166E-2</v>
      </c>
      <c r="K177" s="205">
        <v>-3.2988917577112642E-2</v>
      </c>
      <c r="M177" s="248"/>
      <c r="N177" s="248"/>
      <c r="O177" s="248"/>
      <c r="P177" s="248"/>
      <c r="Q177" s="248"/>
      <c r="R177" s="248"/>
      <c r="S177" s="248"/>
      <c r="T177" s="248"/>
    </row>
    <row r="178" spans="1:20">
      <c r="A178" s="181" t="s">
        <v>54</v>
      </c>
      <c r="B178" s="209">
        <v>0.95550701195492693</v>
      </c>
      <c r="C178" s="209">
        <v>0.83823992763478516</v>
      </c>
      <c r="D178" s="209">
        <v>0.64245054295487036</v>
      </c>
      <c r="E178" s="209">
        <v>0.5589352095883674</v>
      </c>
      <c r="F178" s="209">
        <v>0.38201068689249773</v>
      </c>
      <c r="G178" s="211">
        <v>-5.8463777549722096E-4</v>
      </c>
      <c r="H178" s="212">
        <v>-2.4137047881651941E-2</v>
      </c>
      <c r="I178" s="212">
        <v>-5.1812400269630299E-2</v>
      </c>
      <c r="J178" s="212">
        <v>-2.7466984642139591E-2</v>
      </c>
      <c r="K178" s="213">
        <v>-1.8849335751053742E-2</v>
      </c>
      <c r="M178" s="248"/>
      <c r="N178" s="248"/>
      <c r="O178" s="248"/>
      <c r="P178" s="248"/>
      <c r="Q178" s="248"/>
      <c r="R178" s="248"/>
      <c r="S178" s="248"/>
      <c r="T178" s="248"/>
    </row>
    <row r="179" spans="1:20">
      <c r="A179" s="181" t="s">
        <v>104</v>
      </c>
      <c r="B179" s="209">
        <v>0.82600000000000007</v>
      </c>
      <c r="C179" s="209">
        <v>1.2801854610800787</v>
      </c>
      <c r="D179" s="209">
        <v>1.6084817283664707</v>
      </c>
      <c r="E179" s="209">
        <v>1.7944935823414079</v>
      </c>
      <c r="F179" s="209">
        <v>1.9175419082714962</v>
      </c>
      <c r="G179" s="211">
        <v>2.0639238204596122E-2</v>
      </c>
      <c r="H179" s="212">
        <v>2.6695803050380995E-2</v>
      </c>
      <c r="I179" s="212">
        <v>4.6715482882137893E-2</v>
      </c>
      <c r="J179" s="212">
        <v>2.2127694242718876E-2</v>
      </c>
      <c r="K179" s="213">
        <v>3.3215669382815616E-3</v>
      </c>
      <c r="M179" s="248"/>
      <c r="N179" s="248"/>
      <c r="O179" s="248"/>
      <c r="P179" s="248"/>
      <c r="Q179" s="222"/>
      <c r="R179" s="248"/>
      <c r="S179" s="248"/>
      <c r="T179" s="248"/>
    </row>
    <row r="180" spans="1:20">
      <c r="A180" s="181"/>
      <c r="B180" s="182"/>
      <c r="C180" s="182"/>
      <c r="D180" s="182"/>
      <c r="E180" s="182"/>
      <c r="F180" s="243"/>
      <c r="G180" s="211"/>
      <c r="H180" s="212"/>
      <c r="I180" s="212"/>
      <c r="J180" s="212"/>
      <c r="K180" s="213"/>
    </row>
    <row r="181" spans="1:20" ht="15.75" thickBot="1">
      <c r="A181" s="241" t="s">
        <v>10</v>
      </c>
      <c r="B181" s="242">
        <v>2.4602635678511495</v>
      </c>
      <c r="C181" s="247">
        <v>2.6854100599617503</v>
      </c>
      <c r="D181" s="247">
        <v>2.6644230002880747</v>
      </c>
      <c r="E181" s="247">
        <v>2.6318035872293759</v>
      </c>
      <c r="F181" s="247">
        <v>2.4418703020455128</v>
      </c>
      <c r="G181" s="217">
        <v>5.899994469378278E-3</v>
      </c>
      <c r="H181" s="218">
        <v>-1.349732281475946E-4</v>
      </c>
      <c r="I181" s="218">
        <v>-1.5679524467334671E-3</v>
      </c>
      <c r="J181" s="218">
        <v>-2.4605953999589092E-3</v>
      </c>
      <c r="K181" s="219">
        <v>-3.7382514184234328E-3</v>
      </c>
    </row>
    <row r="182" spans="1:20">
      <c r="B182" s="171"/>
      <c r="C182" s="171"/>
      <c r="D182" s="171"/>
    </row>
    <row r="183" spans="1:20">
      <c r="B183" s="171"/>
      <c r="C183" s="171"/>
      <c r="D183" s="171"/>
    </row>
    <row r="184" spans="1:20" ht="16.5" thickBot="1">
      <c r="A184" s="91" t="s">
        <v>148</v>
      </c>
      <c r="B184" s="80"/>
      <c r="C184" s="80"/>
      <c r="D184" s="80"/>
      <c r="E184" s="80"/>
      <c r="F184" s="80"/>
      <c r="G184" s="80"/>
      <c r="H184" s="80"/>
      <c r="I184" s="80"/>
      <c r="J184" s="80"/>
      <c r="K184" s="80"/>
    </row>
    <row r="185" spans="1:20" ht="15.75" thickBot="1">
      <c r="A185" s="177"/>
      <c r="B185" s="178">
        <v>2000</v>
      </c>
      <c r="C185" s="178">
        <v>2020</v>
      </c>
      <c r="D185" s="178">
        <v>2025</v>
      </c>
      <c r="E185" s="178">
        <v>2030</v>
      </c>
      <c r="F185" s="178">
        <v>2050</v>
      </c>
      <c r="G185" s="197" t="s">
        <v>98</v>
      </c>
      <c r="H185" s="198" t="s">
        <v>99</v>
      </c>
      <c r="I185" s="198" t="s">
        <v>100</v>
      </c>
      <c r="J185" s="198" t="s">
        <v>101</v>
      </c>
      <c r="K185" s="199" t="s">
        <v>102</v>
      </c>
    </row>
    <row r="186" spans="1:20">
      <c r="A186" s="181" t="s">
        <v>149</v>
      </c>
      <c r="B186" s="249">
        <v>24.33355382834463</v>
      </c>
      <c r="C186" s="249">
        <v>29.486771451207698</v>
      </c>
      <c r="D186" s="249">
        <v>30.56320934088988</v>
      </c>
      <c r="E186" s="249">
        <v>31.676713168911213</v>
      </c>
      <c r="F186" s="249">
        <v>34.886850350703753</v>
      </c>
      <c r="G186" s="211">
        <v>1.0211294832557005E-2</v>
      </c>
      <c r="H186" s="212">
        <v>7.970163359137139E-3</v>
      </c>
      <c r="I186" s="212">
        <v>7.1968213529980396E-3</v>
      </c>
      <c r="J186" s="212">
        <v>7.1826391154925506E-3</v>
      </c>
      <c r="K186" s="213">
        <v>4.8380742114828568E-3</v>
      </c>
    </row>
    <row r="187" spans="1:20">
      <c r="A187" s="181" t="s">
        <v>150</v>
      </c>
      <c r="B187" s="250">
        <v>0.72677787849505027</v>
      </c>
      <c r="C187" s="250">
        <v>0.5885582574952769</v>
      </c>
      <c r="D187" s="250">
        <v>0.53079364805578111</v>
      </c>
      <c r="E187" s="250">
        <v>0.47158271606779512</v>
      </c>
      <c r="F187" s="250">
        <v>0.2872667690901376</v>
      </c>
      <c r="G187" s="211">
        <v>-9.0821706173750405E-3</v>
      </c>
      <c r="H187" s="212">
        <v>-1.4708755643135452E-2</v>
      </c>
      <c r="I187" s="212">
        <v>-2.0448549698030338E-2</v>
      </c>
      <c r="J187" s="212">
        <v>-2.3378159160086009E-2</v>
      </c>
      <c r="K187" s="213">
        <v>-2.4479555597915037E-2</v>
      </c>
    </row>
    <row r="188" spans="1:20">
      <c r="A188" s="181" t="s">
        <v>151</v>
      </c>
      <c r="B188" s="251">
        <v>2087.8712740325814</v>
      </c>
      <c r="C188" s="251">
        <v>2353.0712478637665</v>
      </c>
      <c r="D188" s="251">
        <v>2238.2941406678951</v>
      </c>
      <c r="E188" s="251">
        <v>2097.7632981649776</v>
      </c>
      <c r="F188" s="251">
        <v>1951.6980386195353</v>
      </c>
      <c r="G188" s="211">
        <v>1.2345793868838273E-2</v>
      </c>
      <c r="H188" s="212">
        <v>-1.2812555216551225E-2</v>
      </c>
      <c r="I188" s="212">
        <v>-9.9516231025180701E-3</v>
      </c>
      <c r="J188" s="212">
        <v>-1.2884741805356259E-2</v>
      </c>
      <c r="K188" s="213">
        <v>-3.6020917613875936E-3</v>
      </c>
    </row>
    <row r="189" spans="1:20" ht="15.75" thickBot="1">
      <c r="A189" s="190" t="s">
        <v>152</v>
      </c>
      <c r="B189" s="252">
        <v>4.7055972739865524E-2</v>
      </c>
      <c r="C189" s="252">
        <v>3.2499527630024838E-2</v>
      </c>
      <c r="D189" s="252">
        <v>2.8288528764723344E-2</v>
      </c>
      <c r="E189" s="252">
        <v>2.4256523315956641E-2</v>
      </c>
      <c r="F189" s="252">
        <v>1.2263101535418508E-2</v>
      </c>
      <c r="G189" s="217">
        <v>-1.6091354362357646E-2</v>
      </c>
      <c r="H189" s="218">
        <v>-2.5037013656187712E-2</v>
      </c>
      <c r="I189" s="218">
        <v>-2.7372236004291395E-2</v>
      </c>
      <c r="J189" s="218">
        <v>-3.0286060692249261E-2</v>
      </c>
      <c r="K189" s="219">
        <v>-3.3529530892992265E-2</v>
      </c>
    </row>
    <row r="190" spans="1:20">
      <c r="A190" s="238"/>
      <c r="E190" s="170"/>
    </row>
    <row r="191" spans="1:20">
      <c r="E191" s="170"/>
    </row>
    <row r="192" spans="1:20" ht="21">
      <c r="A192" s="78" t="s">
        <v>153</v>
      </c>
      <c r="B192" s="73"/>
      <c r="C192" s="73"/>
      <c r="D192" s="73"/>
      <c r="E192" s="73"/>
      <c r="F192" s="239"/>
      <c r="G192" s="239"/>
      <c r="H192" s="239"/>
      <c r="I192" s="239"/>
      <c r="J192" s="239"/>
      <c r="K192" s="239"/>
    </row>
    <row r="193" spans="1:12">
      <c r="E193" s="170"/>
    </row>
    <row r="194" spans="1:12" ht="16.5" thickBot="1">
      <c r="A194" s="91" t="s">
        <v>154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</row>
    <row r="195" spans="1:12" ht="15.75" thickBot="1">
      <c r="A195" s="235" t="s">
        <v>51</v>
      </c>
      <c r="B195" s="178">
        <v>2000</v>
      </c>
      <c r="C195" s="178">
        <v>2020</v>
      </c>
      <c r="D195" s="178">
        <v>2025</v>
      </c>
      <c r="E195" s="178">
        <v>2030</v>
      </c>
      <c r="F195" s="178">
        <v>2050</v>
      </c>
      <c r="G195" s="197" t="s">
        <v>98</v>
      </c>
      <c r="H195" s="198" t="s">
        <v>99</v>
      </c>
      <c r="I195" s="198" t="s">
        <v>100</v>
      </c>
      <c r="J195" s="198" t="s">
        <v>101</v>
      </c>
      <c r="K195" s="199" t="s">
        <v>102</v>
      </c>
    </row>
    <row r="196" spans="1:12">
      <c r="A196" s="181" t="s">
        <v>103</v>
      </c>
      <c r="B196" s="209">
        <v>3.7561</v>
      </c>
      <c r="C196" s="209">
        <v>1.4999354182290088</v>
      </c>
      <c r="D196" s="209">
        <v>0.91577378091033934</v>
      </c>
      <c r="E196" s="209">
        <v>0.4614827689525573</v>
      </c>
      <c r="F196" s="209">
        <v>3.3328085224007112E-2</v>
      </c>
      <c r="G196" s="203">
        <v>-3.2335560855585976E-2</v>
      </c>
      <c r="H196" s="204">
        <v>-8.1471283025754904E-2</v>
      </c>
      <c r="I196" s="204">
        <v>-9.3968850614089883E-2</v>
      </c>
      <c r="J196" s="204">
        <v>-0.12808638973734165</v>
      </c>
      <c r="K196" s="205">
        <v>-0.12313498369315445</v>
      </c>
      <c r="L196" s="248"/>
    </row>
    <row r="197" spans="1:12">
      <c r="A197" s="181" t="s">
        <v>54</v>
      </c>
      <c r="B197" s="209">
        <v>5.5961999999999996</v>
      </c>
      <c r="C197" s="209">
        <v>5.0141841483421405</v>
      </c>
      <c r="D197" s="209">
        <v>3.9253754708631132</v>
      </c>
      <c r="E197" s="209">
        <v>2.7924101130175507</v>
      </c>
      <c r="F197" s="209">
        <v>0.45020851625292024</v>
      </c>
      <c r="G197" s="211">
        <v>3.6368045657122483E-3</v>
      </c>
      <c r="H197" s="212">
        <v>-3.2320204463460733E-2</v>
      </c>
      <c r="I197" s="212">
        <v>-4.7782442557674054E-2</v>
      </c>
      <c r="J197" s="212">
        <v>-6.5843587022246575E-2</v>
      </c>
      <c r="K197" s="213">
        <v>-8.7208210057492241E-2</v>
      </c>
      <c r="L197" s="248"/>
    </row>
    <row r="198" spans="1:12">
      <c r="A198" s="181" t="s">
        <v>42</v>
      </c>
      <c r="B198" s="209">
        <v>0.15870000000000001</v>
      </c>
      <c r="C198" s="209">
        <v>0</v>
      </c>
      <c r="D198" s="209">
        <v>0</v>
      </c>
      <c r="E198" s="209">
        <v>0</v>
      </c>
      <c r="F198" s="209">
        <v>0</v>
      </c>
      <c r="G198" s="211">
        <v>-6.1317623639847718E-2</v>
      </c>
      <c r="H198" s="212">
        <v>-1</v>
      </c>
      <c r="I198" s="212" t="e">
        <v>#DIV/0!</v>
      </c>
      <c r="J198" s="212" t="e">
        <v>#DIV/0!</v>
      </c>
      <c r="K198" s="213" t="e">
        <v>#DIV/0!</v>
      </c>
      <c r="L198" s="248"/>
    </row>
    <row r="199" spans="1:12">
      <c r="A199" s="181" t="s">
        <v>104</v>
      </c>
      <c r="B199" s="209">
        <v>9.3300278041400002</v>
      </c>
      <c r="C199" s="209">
        <v>12.247274994977751</v>
      </c>
      <c r="D199" s="209">
        <v>11.638236194512082</v>
      </c>
      <c r="E199" s="209">
        <v>11.006572303064363</v>
      </c>
      <c r="F199" s="209">
        <v>9.3348831087369852</v>
      </c>
      <c r="G199" s="211">
        <v>1.6563012389721354E-2</v>
      </c>
      <c r="H199" s="212">
        <v>5.1442548788833697E-3</v>
      </c>
      <c r="I199" s="212">
        <v>-1.0149653412321769E-2</v>
      </c>
      <c r="J199" s="212">
        <v>-1.109861576364779E-2</v>
      </c>
      <c r="K199" s="213">
        <v>-8.2028872666444208E-3</v>
      </c>
      <c r="L199" s="248"/>
    </row>
    <row r="200" spans="1:12">
      <c r="A200" s="181" t="s">
        <v>105</v>
      </c>
      <c r="B200" s="209">
        <v>0.85539999999999994</v>
      </c>
      <c r="C200" s="209">
        <v>0.59950681383681492</v>
      </c>
      <c r="D200" s="209">
        <v>0.62608679865874795</v>
      </c>
      <c r="E200" s="209">
        <v>0.6489364458522886</v>
      </c>
      <c r="F200" s="209">
        <v>1.4277110119754055</v>
      </c>
      <c r="G200" s="211">
        <v>-3.0891919597692663E-2</v>
      </c>
      <c r="H200" s="212">
        <v>2.3312622964225982E-2</v>
      </c>
      <c r="I200" s="212">
        <v>8.7140839369357348E-3</v>
      </c>
      <c r="J200" s="212">
        <v>7.1949135337332493E-3</v>
      </c>
      <c r="K200" s="213">
        <v>4.0212114087618156E-2</v>
      </c>
      <c r="L200" s="248"/>
    </row>
    <row r="201" spans="1:12">
      <c r="A201" s="181" t="s">
        <v>134</v>
      </c>
      <c r="B201" s="182">
        <v>0.32080000000000003</v>
      </c>
      <c r="C201" s="182">
        <v>0.47141796818446802</v>
      </c>
      <c r="D201" s="182">
        <v>0.57957328619773529</v>
      </c>
      <c r="E201" s="182">
        <v>0.60781576438640272</v>
      </c>
      <c r="F201" s="182">
        <v>0.40500654890806143</v>
      </c>
      <c r="G201" s="211">
        <v>4.1228309505667582E-3</v>
      </c>
      <c r="H201" s="212">
        <v>6.6777455177402079E-2</v>
      </c>
      <c r="I201" s="212">
        <v>4.2174507148687645E-2</v>
      </c>
      <c r="J201" s="212">
        <v>9.5613600365422879E-3</v>
      </c>
      <c r="K201" s="213">
        <v>-2.0093802750761336E-2</v>
      </c>
      <c r="L201" s="248"/>
    </row>
    <row r="202" spans="1:12">
      <c r="A202" s="181" t="s">
        <v>135</v>
      </c>
      <c r="B202" s="182">
        <v>0</v>
      </c>
      <c r="C202" s="182">
        <v>0.27398793194875748</v>
      </c>
      <c r="D202" s="182">
        <v>0.41307977334996671</v>
      </c>
      <c r="E202" s="182">
        <v>0.47962513716076938</v>
      </c>
      <c r="F202" s="182">
        <v>0.38611314657298224</v>
      </c>
      <c r="G202" s="211"/>
      <c r="H202" s="212"/>
      <c r="I202" s="212"/>
      <c r="J202" s="212"/>
      <c r="K202" s="213"/>
      <c r="L202" s="248"/>
    </row>
    <row r="203" spans="1:12">
      <c r="A203" s="181" t="s">
        <v>136</v>
      </c>
      <c r="B203" s="182">
        <v>0</v>
      </c>
      <c r="C203" s="182">
        <v>1.0466780933681137</v>
      </c>
      <c r="D203" s="182">
        <v>1.4236480127691269</v>
      </c>
      <c r="E203" s="182">
        <v>1.7320243313100603</v>
      </c>
      <c r="F203" s="182">
        <v>1.8224684836634182</v>
      </c>
      <c r="G203" s="211"/>
      <c r="H203" s="212"/>
      <c r="I203" s="212"/>
      <c r="J203" s="212"/>
      <c r="K203" s="213"/>
      <c r="L203" s="248"/>
    </row>
    <row r="204" spans="1:12">
      <c r="A204" s="181"/>
      <c r="B204" s="182"/>
      <c r="C204" s="182"/>
      <c r="D204" s="182"/>
      <c r="E204" s="182"/>
      <c r="F204" s="182"/>
      <c r="G204" s="211"/>
      <c r="H204" s="212"/>
      <c r="I204" s="212"/>
      <c r="J204" s="212"/>
      <c r="K204" s="213"/>
    </row>
    <row r="205" spans="1:12" ht="15.75" thickBot="1">
      <c r="A205" s="190" t="s">
        <v>10</v>
      </c>
      <c r="B205" s="226">
        <v>20.017227804139996</v>
      </c>
      <c r="C205" s="226">
        <v>21.152985368887055</v>
      </c>
      <c r="D205" s="226">
        <v>19.521773317261111</v>
      </c>
      <c r="E205" s="226">
        <v>17.728866863743995</v>
      </c>
      <c r="F205" s="226">
        <v>13.85971890133378</v>
      </c>
      <c r="G205" s="217">
        <v>6.1939804284143474E-3</v>
      </c>
      <c r="H205" s="218">
        <v>-7.459120426147603E-3</v>
      </c>
      <c r="I205" s="218">
        <v>-1.5922008030237689E-2</v>
      </c>
      <c r="J205" s="218">
        <v>-1.9082816168849881E-2</v>
      </c>
      <c r="K205" s="219">
        <v>-1.2234912067208059E-2</v>
      </c>
    </row>
    <row r="206" spans="1:12">
      <c r="A206" s="195"/>
      <c r="B206" s="171"/>
      <c r="C206" s="171"/>
      <c r="D206" s="171"/>
    </row>
    <row r="207" spans="1:12">
      <c r="A207" s="195"/>
      <c r="B207" s="171"/>
      <c r="C207" s="171"/>
      <c r="D207" s="171"/>
    </row>
    <row r="208" spans="1:12" ht="16.5" thickBot="1">
      <c r="A208" s="91" t="s">
        <v>155</v>
      </c>
      <c r="B208" s="80"/>
      <c r="C208" s="80"/>
      <c r="D208" s="80"/>
      <c r="E208" s="80"/>
      <c r="F208" s="80"/>
      <c r="G208" s="80"/>
      <c r="H208" s="80"/>
      <c r="I208" s="80"/>
      <c r="J208" s="80"/>
      <c r="K208" s="80"/>
    </row>
    <row r="209" spans="1:13" ht="15.75" thickBot="1">
      <c r="A209" s="235" t="s">
        <v>51</v>
      </c>
      <c r="B209" s="178">
        <v>2000</v>
      </c>
      <c r="C209" s="178">
        <v>2020</v>
      </c>
      <c r="D209" s="178">
        <v>2025</v>
      </c>
      <c r="E209" s="178">
        <v>2030</v>
      </c>
      <c r="F209" s="178">
        <v>2050</v>
      </c>
      <c r="G209" s="197" t="s">
        <v>98</v>
      </c>
      <c r="H209" s="198" t="s">
        <v>99</v>
      </c>
      <c r="I209" s="198" t="s">
        <v>100</v>
      </c>
      <c r="J209" s="198" t="s">
        <v>101</v>
      </c>
      <c r="K209" s="199" t="s">
        <v>102</v>
      </c>
    </row>
    <row r="210" spans="1:13">
      <c r="A210" s="181" t="s">
        <v>138</v>
      </c>
      <c r="B210" s="209">
        <v>9.3037991407357321</v>
      </c>
      <c r="C210" s="209">
        <v>8.8111494611042218</v>
      </c>
      <c r="D210" s="209">
        <v>7.7609912080261276</v>
      </c>
      <c r="E210" s="209">
        <v>6.6626634496136381</v>
      </c>
      <c r="F210" s="209">
        <v>4.5884891463066495</v>
      </c>
      <c r="G210" s="203">
        <v>3.4474917456241982E-3</v>
      </c>
      <c r="H210" s="204">
        <v>-2.0982413481280271E-2</v>
      </c>
      <c r="I210" s="204">
        <v>-2.5062164954301025E-2</v>
      </c>
      <c r="J210" s="204">
        <v>-3.0057170045617587E-2</v>
      </c>
      <c r="K210" s="205">
        <v>-1.8475619668650411E-2</v>
      </c>
      <c r="M210" s="186"/>
    </row>
    <row r="211" spans="1:13">
      <c r="A211" s="181" t="s">
        <v>156</v>
      </c>
      <c r="B211" s="182">
        <v>3.8242762748856345</v>
      </c>
      <c r="C211" s="182">
        <v>3.4189914694173242</v>
      </c>
      <c r="D211" s="182">
        <v>3.406880100048773</v>
      </c>
      <c r="E211" s="182">
        <v>3.3021092786222539</v>
      </c>
      <c r="F211" s="182">
        <v>2.5825866572536436</v>
      </c>
      <c r="G211" s="211">
        <v>-1.1735115266409246E-2</v>
      </c>
      <c r="H211" s="212">
        <v>1.3093803528589243E-2</v>
      </c>
      <c r="I211" s="212">
        <v>-7.0948215431976269E-4</v>
      </c>
      <c r="J211" s="212">
        <v>-6.2276286723228491E-3</v>
      </c>
      <c r="K211" s="213">
        <v>-1.2213302864828357E-2</v>
      </c>
      <c r="M211" s="186"/>
    </row>
    <row r="212" spans="1:13">
      <c r="A212" s="181" t="s">
        <v>143</v>
      </c>
      <c r="B212" s="209">
        <v>0.26720797829915388</v>
      </c>
      <c r="C212" s="253">
        <v>0.52851811348477384</v>
      </c>
      <c r="D212" s="253">
        <v>0.51609148663286786</v>
      </c>
      <c r="E212" s="253">
        <v>0.5232467957589515</v>
      </c>
      <c r="F212" s="253">
        <v>0.54711698805678899</v>
      </c>
      <c r="G212" s="211">
        <v>4.3801381524881888E-2</v>
      </c>
      <c r="H212" s="212">
        <v>7.8328013950903497E-3</v>
      </c>
      <c r="I212" s="212">
        <v>-4.7473015071414215E-3</v>
      </c>
      <c r="J212" s="212">
        <v>2.7576329212564143E-3</v>
      </c>
      <c r="K212" s="213">
        <v>2.2329600556985074E-3</v>
      </c>
      <c r="M212" s="186"/>
    </row>
    <row r="213" spans="1:13">
      <c r="A213" s="181" t="s">
        <v>142</v>
      </c>
      <c r="B213" s="209">
        <v>6.621944410219478</v>
      </c>
      <c r="C213" s="209">
        <v>8.3943263248807334</v>
      </c>
      <c r="D213" s="209">
        <v>7.837810522553343</v>
      </c>
      <c r="E213" s="209">
        <v>7.2408473397491493</v>
      </c>
      <c r="F213" s="209">
        <v>6.1415261097166978</v>
      </c>
      <c r="G213" s="211">
        <v>1.6394039767257285E-2</v>
      </c>
      <c r="H213" s="212">
        <v>-1.3490152641688624E-3</v>
      </c>
      <c r="I213" s="212">
        <v>-1.3625622233366275E-2</v>
      </c>
      <c r="J213" s="212">
        <v>-1.5719398022254749E-2</v>
      </c>
      <c r="K213" s="213">
        <v>-8.1994482386018586E-3</v>
      </c>
      <c r="M213" s="186"/>
    </row>
    <row r="214" spans="1:13">
      <c r="A214" s="181"/>
      <c r="B214" s="182"/>
      <c r="C214" s="182"/>
      <c r="D214" s="182"/>
      <c r="E214" s="182"/>
      <c r="F214" s="182"/>
      <c r="G214" s="211"/>
      <c r="H214" s="212"/>
      <c r="I214" s="212"/>
      <c r="J214" s="212"/>
      <c r="K214" s="213"/>
      <c r="M214" s="186"/>
    </row>
    <row r="215" spans="1:13" ht="15.75" thickBot="1">
      <c r="A215" s="190" t="s">
        <v>10</v>
      </c>
      <c r="B215" s="226">
        <v>20.017227804139999</v>
      </c>
      <c r="C215" s="226">
        <v>21.152985368887052</v>
      </c>
      <c r="D215" s="226">
        <v>19.521773317261111</v>
      </c>
      <c r="E215" s="226">
        <v>17.728866863743992</v>
      </c>
      <c r="F215" s="226">
        <v>13.85971890133378</v>
      </c>
      <c r="G215" s="217">
        <v>6.1939804284143474E-3</v>
      </c>
      <c r="H215" s="218">
        <v>-7.459120426147714E-3</v>
      </c>
      <c r="I215" s="218">
        <v>-1.5922008030237689E-2</v>
      </c>
      <c r="J215" s="218">
        <v>-1.9082816168849881E-2</v>
      </c>
      <c r="K215" s="219">
        <v>-1.2234912067208059E-2</v>
      </c>
      <c r="M215" s="186"/>
    </row>
    <row r="216" spans="1:13">
      <c r="A216" s="195"/>
      <c r="B216" s="171"/>
      <c r="C216" s="254"/>
      <c r="D216" s="254"/>
      <c r="E216" s="254"/>
      <c r="F216" s="254"/>
      <c r="M216" s="186"/>
    </row>
    <row r="217" spans="1:13">
      <c r="A217" s="195"/>
      <c r="B217" s="171"/>
      <c r="C217" s="171"/>
      <c r="D217" s="254"/>
      <c r="E217" s="255"/>
      <c r="F217" s="254"/>
      <c r="M217" s="186"/>
    </row>
    <row r="218" spans="1:13" ht="16.5" thickBot="1">
      <c r="A218" s="91" t="s">
        <v>157</v>
      </c>
      <c r="B218" s="80"/>
      <c r="C218" s="80"/>
      <c r="D218" s="256"/>
      <c r="E218" s="256"/>
      <c r="F218" s="256"/>
      <c r="G218" s="80"/>
      <c r="H218" s="80"/>
      <c r="I218" s="80"/>
      <c r="J218" s="80"/>
      <c r="K218" s="80"/>
      <c r="M218" s="186"/>
    </row>
    <row r="219" spans="1:13" ht="15.75" thickBot="1">
      <c r="A219" s="235" t="s">
        <v>51</v>
      </c>
      <c r="B219" s="178">
        <v>2000</v>
      </c>
      <c r="C219" s="178">
        <v>2020</v>
      </c>
      <c r="D219" s="178">
        <v>2025</v>
      </c>
      <c r="E219" s="178">
        <v>2030</v>
      </c>
      <c r="F219" s="178">
        <v>2050</v>
      </c>
      <c r="G219" s="197" t="s">
        <v>98</v>
      </c>
      <c r="H219" s="198" t="s">
        <v>99</v>
      </c>
      <c r="I219" s="198" t="s">
        <v>100</v>
      </c>
      <c r="J219" s="198" t="s">
        <v>101</v>
      </c>
      <c r="K219" s="199" t="s">
        <v>102</v>
      </c>
      <c r="M219" s="186"/>
    </row>
    <row r="220" spans="1:13">
      <c r="A220" s="181" t="s">
        <v>103</v>
      </c>
      <c r="B220" s="182">
        <v>3.7561</v>
      </c>
      <c r="C220" s="182">
        <v>1.4999354182290088</v>
      </c>
      <c r="D220" s="182">
        <v>0.91577378091033934</v>
      </c>
      <c r="E220" s="182">
        <v>0.4614827689525573</v>
      </c>
      <c r="F220" s="182">
        <v>3.3328085224007112E-2</v>
      </c>
      <c r="G220" s="203">
        <v>-3.2335560855585976E-2</v>
      </c>
      <c r="H220" s="204">
        <v>-8.1471283025754904E-2</v>
      </c>
      <c r="I220" s="204">
        <v>-9.3968850614089883E-2</v>
      </c>
      <c r="J220" s="204">
        <v>-0.12808638973734165</v>
      </c>
      <c r="K220" s="205">
        <v>-0.12313498369315445</v>
      </c>
      <c r="M220" s="186"/>
    </row>
    <row r="221" spans="1:13">
      <c r="A221" s="181" t="s">
        <v>54</v>
      </c>
      <c r="B221" s="182">
        <v>5.5961999999999996</v>
      </c>
      <c r="C221" s="182">
        <v>5.0141841483421405</v>
      </c>
      <c r="D221" s="182">
        <v>3.9253754708631132</v>
      </c>
      <c r="E221" s="182">
        <v>2.7924101130175507</v>
      </c>
      <c r="F221" s="182">
        <v>0.45020851625292024</v>
      </c>
      <c r="G221" s="211">
        <v>3.6368045657122483E-3</v>
      </c>
      <c r="H221" s="212">
        <v>-3.2320204463460733E-2</v>
      </c>
      <c r="I221" s="212">
        <v>-4.7782442557674054E-2</v>
      </c>
      <c r="J221" s="212">
        <v>-6.5843587022246575E-2</v>
      </c>
      <c r="K221" s="213">
        <v>-8.7208210057492241E-2</v>
      </c>
      <c r="M221" s="186"/>
    </row>
    <row r="222" spans="1:13">
      <c r="A222" s="181" t="s">
        <v>42</v>
      </c>
      <c r="B222" s="182">
        <v>0.15870000000000001</v>
      </c>
      <c r="C222" s="182">
        <v>0</v>
      </c>
      <c r="D222" s="182">
        <v>0</v>
      </c>
      <c r="E222" s="182">
        <v>0</v>
      </c>
      <c r="F222" s="182">
        <v>0</v>
      </c>
      <c r="G222" s="211">
        <v>-6.1317623639847718E-2</v>
      </c>
      <c r="H222" s="212">
        <v>-1</v>
      </c>
      <c r="I222" s="212" t="e">
        <v>#DIV/0!</v>
      </c>
      <c r="J222" s="212" t="e">
        <v>#DIV/0!</v>
      </c>
      <c r="K222" s="213" t="e">
        <v>#DIV/0!</v>
      </c>
      <c r="M222" s="186"/>
    </row>
    <row r="223" spans="1:13">
      <c r="A223" s="181" t="s">
        <v>104</v>
      </c>
      <c r="B223" s="182">
        <v>2.4408754156213677</v>
      </c>
      <c r="C223" s="182">
        <v>3.3244305566122438</v>
      </c>
      <c r="D223" s="182">
        <v>3.2843341853258705</v>
      </c>
      <c r="E223" s="182">
        <v>3.2424781675562633</v>
      </c>
      <c r="F223" s="182">
        <v>2.6462400109634983</v>
      </c>
      <c r="G223" s="211">
        <v>1.3338673160219194E-2</v>
      </c>
      <c r="H223" s="212">
        <v>2.2281445010654322E-2</v>
      </c>
      <c r="I223" s="212">
        <v>-2.4239475209221206E-3</v>
      </c>
      <c r="J223" s="212">
        <v>-2.5619214854888384E-3</v>
      </c>
      <c r="K223" s="213">
        <v>-1.0108469259847097E-2</v>
      </c>
      <c r="M223" s="186"/>
    </row>
    <row r="224" spans="1:13">
      <c r="A224" s="181" t="s">
        <v>105</v>
      </c>
      <c r="B224" s="182">
        <v>0.85539999999999994</v>
      </c>
      <c r="C224" s="182">
        <v>0.59950681383681492</v>
      </c>
      <c r="D224" s="182">
        <v>0.62608679865874795</v>
      </c>
      <c r="E224" s="182">
        <v>0.6489364458522886</v>
      </c>
      <c r="F224" s="182">
        <v>1.4277110119754055</v>
      </c>
      <c r="G224" s="211">
        <v>-3.0891919597692663E-2</v>
      </c>
      <c r="H224" s="212">
        <v>2.3312622964225982E-2</v>
      </c>
      <c r="I224" s="212">
        <v>8.7140839369357348E-3</v>
      </c>
      <c r="J224" s="212">
        <v>7.1949135337332493E-3</v>
      </c>
      <c r="K224" s="213">
        <v>4.0212114087618156E-2</v>
      </c>
      <c r="M224" s="186"/>
    </row>
    <row r="225" spans="1:13">
      <c r="A225" s="181" t="s">
        <v>134</v>
      </c>
      <c r="B225" s="182">
        <v>0.32080000000000003</v>
      </c>
      <c r="C225" s="182">
        <v>0.47141796818446802</v>
      </c>
      <c r="D225" s="182">
        <v>0.57957328619773529</v>
      </c>
      <c r="E225" s="182">
        <v>0.60781576438640272</v>
      </c>
      <c r="F225" s="182">
        <v>0.40500654890806143</v>
      </c>
      <c r="G225" s="211">
        <v>4.1228309505667582E-3</v>
      </c>
      <c r="H225" s="212">
        <v>6.6777455177402079E-2</v>
      </c>
      <c r="I225" s="212">
        <v>4.2174507148687645E-2</v>
      </c>
      <c r="J225" s="212">
        <v>9.5613600365422879E-3</v>
      </c>
      <c r="K225" s="213">
        <v>-2.0093802750761336E-2</v>
      </c>
      <c r="M225" s="186"/>
    </row>
    <row r="226" spans="1:13">
      <c r="A226" s="181" t="s">
        <v>135</v>
      </c>
      <c r="B226" s="182">
        <v>0</v>
      </c>
      <c r="C226" s="182">
        <v>0.27398793194875748</v>
      </c>
      <c r="D226" s="182">
        <v>0.41307977334996671</v>
      </c>
      <c r="E226" s="182">
        <v>0.47962513716076938</v>
      </c>
      <c r="F226" s="182">
        <v>0.38611314657298224</v>
      </c>
      <c r="G226" s="211"/>
      <c r="H226" s="212"/>
      <c r="I226" s="212"/>
      <c r="J226" s="212"/>
      <c r="K226" s="213"/>
      <c r="M226" s="186"/>
    </row>
    <row r="227" spans="1:13">
      <c r="A227" s="181" t="s">
        <v>136</v>
      </c>
      <c r="B227" s="182">
        <v>0</v>
      </c>
      <c r="C227" s="182">
        <v>1.0466780933681137</v>
      </c>
      <c r="D227" s="182">
        <v>1.4236480127691269</v>
      </c>
      <c r="E227" s="182">
        <v>1.7320243313100603</v>
      </c>
      <c r="F227" s="182">
        <v>1.8224684836634182</v>
      </c>
      <c r="G227" s="211"/>
      <c r="H227" s="212"/>
      <c r="I227" s="212"/>
      <c r="J227" s="212"/>
      <c r="K227" s="213"/>
      <c r="M227" s="186"/>
    </row>
    <row r="228" spans="1:13">
      <c r="A228" s="181"/>
      <c r="B228" s="182"/>
      <c r="C228" s="182"/>
      <c r="D228" s="182"/>
      <c r="E228" s="182"/>
      <c r="F228" s="182"/>
      <c r="G228" s="211"/>
      <c r="H228" s="212"/>
      <c r="I228" s="212"/>
      <c r="J228" s="212"/>
      <c r="K228" s="213"/>
      <c r="M228" s="186"/>
    </row>
    <row r="229" spans="1:13" ht="15.75" thickBot="1">
      <c r="A229" s="190" t="s">
        <v>10</v>
      </c>
      <c r="B229" s="226">
        <v>13.128075415621366</v>
      </c>
      <c r="C229" s="226">
        <v>12.230140930521546</v>
      </c>
      <c r="D229" s="226">
        <v>11.167871308074899</v>
      </c>
      <c r="E229" s="226">
        <v>9.9647727282358929</v>
      </c>
      <c r="F229" s="226">
        <v>7.1710758035602931</v>
      </c>
      <c r="G229" s="217">
        <v>-6.5136556964595638E-4</v>
      </c>
      <c r="H229" s="218">
        <v>-1.2140889079191863E-2</v>
      </c>
      <c r="I229" s="218">
        <v>-1.8008366046744384E-2</v>
      </c>
      <c r="J229" s="218">
        <v>-2.2539087618029474E-2</v>
      </c>
      <c r="K229" s="219">
        <v>-1.631546027045383E-2</v>
      </c>
      <c r="M229" s="186"/>
    </row>
    <row r="230" spans="1:13">
      <c r="A230" s="195"/>
      <c r="B230" s="171"/>
      <c r="C230" s="171"/>
      <c r="D230" s="171"/>
      <c r="M230" s="186"/>
    </row>
    <row r="231" spans="1:13">
      <c r="A231" s="195"/>
      <c r="B231" s="171"/>
      <c r="C231" s="171"/>
      <c r="D231" s="171"/>
      <c r="M231" s="186"/>
    </row>
    <row r="232" spans="1:13" ht="16.5" thickBot="1">
      <c r="A232" s="91" t="s">
        <v>158</v>
      </c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M232" s="186"/>
    </row>
    <row r="233" spans="1:13" ht="15.75" thickBot="1">
      <c r="A233" s="235" t="s">
        <v>51</v>
      </c>
      <c r="B233" s="178">
        <v>2000</v>
      </c>
      <c r="C233" s="178">
        <v>2020</v>
      </c>
      <c r="D233" s="178">
        <v>2025</v>
      </c>
      <c r="E233" s="178">
        <v>2030</v>
      </c>
      <c r="F233" s="178">
        <v>2050</v>
      </c>
      <c r="G233" s="197" t="s">
        <v>98</v>
      </c>
      <c r="H233" s="198" t="s">
        <v>99</v>
      </c>
      <c r="I233" s="198" t="s">
        <v>100</v>
      </c>
      <c r="J233" s="198" t="s">
        <v>101</v>
      </c>
      <c r="K233" s="199" t="s">
        <v>102</v>
      </c>
      <c r="M233" s="257"/>
    </row>
    <row r="234" spans="1:13">
      <c r="A234" s="181" t="s">
        <v>103</v>
      </c>
      <c r="B234" s="209">
        <v>2.6271374019358529</v>
      </c>
      <c r="C234" s="209">
        <v>1.2925689660478921</v>
      </c>
      <c r="D234" s="209">
        <v>0.81365554390397421</v>
      </c>
      <c r="E234" s="209">
        <v>0.38417309673559524</v>
      </c>
      <c r="F234" s="209">
        <v>1.2978195519191616E-3</v>
      </c>
      <c r="G234" s="203">
        <v>-1.9968336343000548E-2</v>
      </c>
      <c r="H234" s="204">
        <v>-7.8121121001402227E-2</v>
      </c>
      <c r="I234" s="204">
        <v>-8.8414575245205684E-2</v>
      </c>
      <c r="J234" s="204">
        <v>-0.13936843176079083</v>
      </c>
      <c r="K234" s="205">
        <v>-0.24762497942105766</v>
      </c>
      <c r="L234" s="258"/>
      <c r="M234" s="257"/>
    </row>
    <row r="235" spans="1:13">
      <c r="A235" s="181" t="s">
        <v>54</v>
      </c>
      <c r="B235" s="209">
        <v>3.9701595313874058</v>
      </c>
      <c r="C235" s="209">
        <v>4.1711191196282513</v>
      </c>
      <c r="D235" s="209">
        <v>3.2873587229148398</v>
      </c>
      <c r="E235" s="209">
        <v>2.2846596246074227</v>
      </c>
      <c r="F235" s="209">
        <v>0.2818801532956044</v>
      </c>
      <c r="G235" s="211">
        <v>1.3333021631106279E-2</v>
      </c>
      <c r="H235" s="212">
        <v>-2.941775822344106E-2</v>
      </c>
      <c r="I235" s="212">
        <v>-4.6503943962651673E-2</v>
      </c>
      <c r="J235" s="212">
        <v>-7.0188567381903266E-2</v>
      </c>
      <c r="K235" s="213">
        <v>-9.9337357347846988E-2</v>
      </c>
      <c r="L235" s="258"/>
      <c r="M235" s="257"/>
    </row>
    <row r="236" spans="1:13">
      <c r="A236" s="181" t="s">
        <v>42</v>
      </c>
      <c r="B236" s="209">
        <v>0.11470512934855193</v>
      </c>
      <c r="C236" s="209">
        <v>0</v>
      </c>
      <c r="D236" s="209">
        <v>0</v>
      </c>
      <c r="E236" s="209">
        <v>0</v>
      </c>
      <c r="F236" s="209">
        <v>0</v>
      </c>
      <c r="G236" s="211">
        <v>-1</v>
      </c>
      <c r="H236" s="212" t="e">
        <v>#DIV/0!</v>
      </c>
      <c r="I236" s="212" t="e">
        <v>#DIV/0!</v>
      </c>
      <c r="J236" s="212" t="e">
        <v>#DIV/0!</v>
      </c>
      <c r="K236" s="213" t="e">
        <v>#DIV/0!</v>
      </c>
      <c r="L236" s="258"/>
      <c r="M236" s="257"/>
    </row>
    <row r="237" spans="1:13">
      <c r="A237" s="181" t="s">
        <v>104</v>
      </c>
      <c r="B237" s="209">
        <v>1.7416372605000001</v>
      </c>
      <c r="C237" s="209">
        <v>1.5251722268210117</v>
      </c>
      <c r="D237" s="209">
        <v>1.483250277268523</v>
      </c>
      <c r="E237" s="209">
        <v>1.4942634265064132</v>
      </c>
      <c r="F237" s="209">
        <v>1.1630055070505922</v>
      </c>
      <c r="G237" s="211">
        <v>-8.6740227800810032E-3</v>
      </c>
      <c r="H237" s="212">
        <v>-4.0799066763319569E-4</v>
      </c>
      <c r="I237" s="212">
        <v>-5.5587976312836407E-3</v>
      </c>
      <c r="J237" s="212">
        <v>1.4806112322043319E-3</v>
      </c>
      <c r="K237" s="213">
        <v>-1.2453099610837959E-2</v>
      </c>
      <c r="L237" s="258"/>
      <c r="M237" s="257"/>
    </row>
    <row r="238" spans="1:13">
      <c r="A238" s="181" t="s">
        <v>105</v>
      </c>
      <c r="B238" s="209">
        <v>0.61828129795404607</v>
      </c>
      <c r="C238" s="209">
        <v>0.47706793056668984</v>
      </c>
      <c r="D238" s="209">
        <v>0.48585607223277549</v>
      </c>
      <c r="E238" s="209">
        <v>0.5345206090639244</v>
      </c>
      <c r="F238" s="209">
        <v>1.3293672002893107</v>
      </c>
      <c r="G238" s="211">
        <v>-2.1907494487042212E-2</v>
      </c>
      <c r="H238" s="212">
        <v>1.4703197900608922E-2</v>
      </c>
      <c r="I238" s="212">
        <v>3.6573798572989702E-3</v>
      </c>
      <c r="J238" s="212">
        <v>1.9274980373501727E-2</v>
      </c>
      <c r="K238" s="213">
        <v>4.6607940178492013E-2</v>
      </c>
      <c r="L238" s="258"/>
      <c r="M238" s="257"/>
    </row>
    <row r="239" spans="1:13">
      <c r="A239" s="181" t="s">
        <v>134</v>
      </c>
      <c r="B239" s="209">
        <v>0.23187851960987504</v>
      </c>
      <c r="C239" s="209">
        <v>0.47141796818446802</v>
      </c>
      <c r="D239" s="209">
        <v>0.57957328619773529</v>
      </c>
      <c r="E239" s="209">
        <v>0.60781576438640272</v>
      </c>
      <c r="F239" s="209">
        <v>0.40500654890806143</v>
      </c>
      <c r="G239" s="211">
        <v>2.6089155966032784E-2</v>
      </c>
      <c r="H239" s="212">
        <v>6.6777455177402079E-2</v>
      </c>
      <c r="I239" s="212">
        <v>4.2174507148687645E-2</v>
      </c>
      <c r="J239" s="212">
        <v>9.5613600365422879E-3</v>
      </c>
      <c r="K239" s="213">
        <v>-2.0093802750761336E-2</v>
      </c>
      <c r="L239" s="258"/>
      <c r="M239" s="257"/>
    </row>
    <row r="240" spans="1:13">
      <c r="A240" s="181" t="s">
        <v>135</v>
      </c>
      <c r="B240" s="209">
        <v>0</v>
      </c>
      <c r="C240" s="209">
        <v>9.8601218835455459E-2</v>
      </c>
      <c r="D240" s="209">
        <v>0.13582199694526742</v>
      </c>
      <c r="E240" s="209">
        <v>0.15372765584619141</v>
      </c>
      <c r="F240" s="209">
        <v>0.11641782052141147</v>
      </c>
      <c r="G240" s="211"/>
      <c r="H240" s="212"/>
      <c r="I240" s="212"/>
      <c r="J240" s="212"/>
      <c r="K240" s="213"/>
      <c r="L240" s="259"/>
      <c r="M240" s="257"/>
    </row>
    <row r="241" spans="1:13">
      <c r="A241" s="181" t="s">
        <v>136</v>
      </c>
      <c r="B241" s="209">
        <v>0</v>
      </c>
      <c r="C241" s="209">
        <v>0.77520203102045482</v>
      </c>
      <c r="D241" s="209">
        <v>0.97547530856301168</v>
      </c>
      <c r="E241" s="209">
        <v>1.2035032724676886</v>
      </c>
      <c r="F241" s="209">
        <v>1.2915140966897503</v>
      </c>
      <c r="G241" s="211"/>
      <c r="H241" s="212"/>
      <c r="I241" s="212"/>
      <c r="J241" s="212"/>
      <c r="K241" s="213"/>
      <c r="L241" s="259"/>
      <c r="M241" s="257"/>
    </row>
    <row r="242" spans="1:13">
      <c r="A242" s="181"/>
      <c r="B242" s="182"/>
      <c r="C242" s="182"/>
      <c r="D242" s="182"/>
      <c r="E242" s="182"/>
      <c r="F242" s="182"/>
      <c r="G242" s="211"/>
      <c r="H242" s="212"/>
      <c r="I242" s="212"/>
      <c r="J242" s="212"/>
      <c r="K242" s="213"/>
      <c r="M242" s="186"/>
    </row>
    <row r="243" spans="1:13" ht="15.75" thickBot="1">
      <c r="A243" s="190" t="s">
        <v>10</v>
      </c>
      <c r="B243" s="226">
        <v>9.3037991407357321</v>
      </c>
      <c r="C243" s="226">
        <v>8.8111494611042218</v>
      </c>
      <c r="D243" s="226">
        <v>7.7609912080261276</v>
      </c>
      <c r="E243" s="226">
        <v>6.6626634496136381</v>
      </c>
      <c r="F243" s="226">
        <v>4.5884891463066495</v>
      </c>
      <c r="G243" s="217">
        <v>3.4474917456241982E-3</v>
      </c>
      <c r="H243" s="218">
        <v>-2.0982413481280271E-2</v>
      </c>
      <c r="I243" s="218">
        <v>-2.5062164954301025E-2</v>
      </c>
      <c r="J243" s="218">
        <v>-3.0057170045617587E-2</v>
      </c>
      <c r="K243" s="219">
        <v>-1.8475619668650411E-2</v>
      </c>
      <c r="M243" s="186"/>
    </row>
    <row r="244" spans="1:13">
      <c r="A244" s="195"/>
      <c r="B244" s="171"/>
      <c r="C244" s="171"/>
      <c r="D244" s="171"/>
      <c r="F244" s="245"/>
      <c r="M244" s="186"/>
    </row>
    <row r="245" spans="1:13">
      <c r="A245" s="195"/>
      <c r="B245" s="171"/>
      <c r="C245" s="171"/>
      <c r="D245" s="171"/>
      <c r="M245" s="186"/>
    </row>
    <row r="246" spans="1:13" ht="16.5" thickBot="1">
      <c r="A246" s="91" t="s">
        <v>159</v>
      </c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M246" s="186"/>
    </row>
    <row r="247" spans="1:13" ht="15.75" thickBot="1">
      <c r="A247" s="235" t="s">
        <v>51</v>
      </c>
      <c r="B247" s="178">
        <v>2000</v>
      </c>
      <c r="C247" s="178">
        <v>2020</v>
      </c>
      <c r="D247" s="178">
        <v>2025</v>
      </c>
      <c r="E247" s="178">
        <v>2030</v>
      </c>
      <c r="F247" s="178">
        <v>2050</v>
      </c>
      <c r="G247" s="197" t="s">
        <v>98</v>
      </c>
      <c r="H247" s="198" t="s">
        <v>99</v>
      </c>
      <c r="I247" s="198" t="s">
        <v>100</v>
      </c>
      <c r="J247" s="198" t="s">
        <v>101</v>
      </c>
      <c r="K247" s="199" t="s">
        <v>102</v>
      </c>
      <c r="M247" s="186"/>
    </row>
    <row r="248" spans="1:13">
      <c r="A248" s="181" t="s">
        <v>103</v>
      </c>
      <c r="B248" s="209">
        <v>1.1289625980641464</v>
      </c>
      <c r="C248" s="209">
        <v>0.20736645218111671</v>
      </c>
      <c r="D248" s="209">
        <v>0.10211823700636513</v>
      </c>
      <c r="E248" s="209">
        <v>7.7309672216962055E-2</v>
      </c>
      <c r="F248" s="209">
        <v>3.203026567208795E-2</v>
      </c>
      <c r="G248" s="203">
        <v>-7.4610028539812023E-2</v>
      </c>
      <c r="H248" s="204">
        <v>-0.1008390809533678</v>
      </c>
      <c r="I248" s="204">
        <v>-0.13209345749852719</v>
      </c>
      <c r="J248" s="204">
        <v>-5.4141644411357603E-2</v>
      </c>
      <c r="K248" s="205">
        <v>-4.3100482826194386E-2</v>
      </c>
      <c r="M248" s="186"/>
    </row>
    <row r="249" spans="1:13">
      <c r="A249" s="181" t="s">
        <v>54</v>
      </c>
      <c r="B249" s="209">
        <v>1.6260404686125933</v>
      </c>
      <c r="C249" s="209">
        <v>0.84306502871388922</v>
      </c>
      <c r="D249" s="209">
        <v>0.63801674794827345</v>
      </c>
      <c r="E249" s="209">
        <v>0.50775048841012804</v>
      </c>
      <c r="F249" s="209">
        <v>0.16832836295731585</v>
      </c>
      <c r="G249" s="211">
        <v>-2.7717402091364196E-2</v>
      </c>
      <c r="H249" s="212">
        <v>-4.5955995368462066E-2</v>
      </c>
      <c r="I249" s="212">
        <v>-5.4211125776998381E-2</v>
      </c>
      <c r="J249" s="212">
        <v>-4.4647478608088487E-2</v>
      </c>
      <c r="K249" s="213">
        <v>-5.3707610105795056E-2</v>
      </c>
      <c r="M249" s="186"/>
    </row>
    <row r="250" spans="1:13">
      <c r="A250" s="181" t="s">
        <v>42</v>
      </c>
      <c r="B250" s="209">
        <v>4.3994870651448061E-2</v>
      </c>
      <c r="C250" s="209">
        <v>0</v>
      </c>
      <c r="D250" s="209">
        <v>0</v>
      </c>
      <c r="E250" s="209">
        <v>0</v>
      </c>
      <c r="F250" s="209">
        <v>0</v>
      </c>
      <c r="G250" s="211">
        <v>2.2500799424380657E-2</v>
      </c>
      <c r="H250" s="212">
        <v>-1</v>
      </c>
      <c r="I250" s="212" t="e">
        <v>#DIV/0!</v>
      </c>
      <c r="J250" s="212" t="e">
        <v>#DIV/0!</v>
      </c>
      <c r="K250" s="213" t="e">
        <v>#DIV/0!</v>
      </c>
      <c r="M250" s="186"/>
    </row>
    <row r="251" spans="1:13">
      <c r="A251" s="181" t="s">
        <v>104</v>
      </c>
      <c r="B251" s="182">
        <v>0.69923815512136756</v>
      </c>
      <c r="C251" s="209">
        <v>1.7992583297912321</v>
      </c>
      <c r="D251" s="209">
        <v>1.8010839080573475</v>
      </c>
      <c r="E251" s="209">
        <v>1.7482147410498501</v>
      </c>
      <c r="F251" s="209">
        <v>1.483234503912906</v>
      </c>
      <c r="G251" s="211">
        <v>4.9789590454425658E-2</v>
      </c>
      <c r="H251" s="212">
        <v>4.4207707641105154E-2</v>
      </c>
      <c r="I251" s="212">
        <v>2.0284333531717103E-4</v>
      </c>
      <c r="J251" s="212">
        <v>-5.9409892249479013E-3</v>
      </c>
      <c r="K251" s="213">
        <v>-8.1848175086691732E-3</v>
      </c>
      <c r="M251" s="186"/>
    </row>
    <row r="252" spans="1:13">
      <c r="A252" s="181" t="s">
        <v>105</v>
      </c>
      <c r="B252" s="209">
        <v>0.23711870204595384</v>
      </c>
      <c r="C252" s="209">
        <v>0.12243888327012509</v>
      </c>
      <c r="D252" s="209">
        <v>0.14023072642597245</v>
      </c>
      <c r="E252" s="209">
        <v>0.1144158367883642</v>
      </c>
      <c r="F252" s="209">
        <v>9.8343811686094851E-2</v>
      </c>
      <c r="G252" s="211">
        <v>-6.2010550714744039E-2</v>
      </c>
      <c r="H252" s="212">
        <v>6.168785676802746E-2</v>
      </c>
      <c r="I252" s="212">
        <v>2.7506942147243807E-2</v>
      </c>
      <c r="J252" s="212">
        <v>-3.9873201842772321E-2</v>
      </c>
      <c r="K252" s="213">
        <v>-7.5399251345754648E-3</v>
      </c>
      <c r="M252" s="186"/>
    </row>
    <row r="253" spans="1:13">
      <c r="A253" s="181" t="s">
        <v>134</v>
      </c>
      <c r="B253" s="209">
        <v>8.8921480390124985E-2</v>
      </c>
      <c r="C253" s="209">
        <v>0</v>
      </c>
      <c r="D253" s="209">
        <v>0</v>
      </c>
      <c r="E253" s="209">
        <v>0</v>
      </c>
      <c r="F253" s="209">
        <v>0</v>
      </c>
      <c r="G253" s="211">
        <v>-1</v>
      </c>
      <c r="H253" s="212" t="e">
        <v>#DIV/0!</v>
      </c>
      <c r="I253" s="212" t="e">
        <v>#DIV/0!</v>
      </c>
      <c r="J253" s="212" t="e">
        <v>#DIV/0!</v>
      </c>
      <c r="K253" s="213" t="e">
        <v>#DIV/0!</v>
      </c>
      <c r="M253" s="186"/>
    </row>
    <row r="254" spans="1:13">
      <c r="A254" s="181" t="s">
        <v>135</v>
      </c>
      <c r="B254" s="209">
        <v>0</v>
      </c>
      <c r="C254" s="209">
        <v>0.17538671311330201</v>
      </c>
      <c r="D254" s="209">
        <v>0.27725777640469929</v>
      </c>
      <c r="E254" s="209">
        <v>0.32589748131457796</v>
      </c>
      <c r="F254" s="209">
        <v>0.26969532605157076</v>
      </c>
      <c r="G254" s="211"/>
      <c r="H254" s="212"/>
      <c r="I254" s="212"/>
      <c r="J254" s="212"/>
      <c r="K254" s="213"/>
      <c r="M254" s="186"/>
    </row>
    <row r="255" spans="1:13">
      <c r="A255" s="181" t="s">
        <v>136</v>
      </c>
      <c r="B255" s="209">
        <v>0</v>
      </c>
      <c r="C255" s="209">
        <v>0.27147606234765886</v>
      </c>
      <c r="D255" s="209">
        <v>0.44817270420611521</v>
      </c>
      <c r="E255" s="209">
        <v>0.52852105884237166</v>
      </c>
      <c r="F255" s="209">
        <v>0.53095438697366792</v>
      </c>
      <c r="G255" s="211"/>
      <c r="H255" s="212"/>
      <c r="I255" s="212"/>
      <c r="J255" s="212"/>
      <c r="K255" s="213"/>
      <c r="M255" s="186"/>
    </row>
    <row r="256" spans="1:13">
      <c r="A256" s="181"/>
      <c r="B256" s="182"/>
      <c r="C256" s="182"/>
      <c r="D256" s="243"/>
      <c r="E256" s="182"/>
      <c r="F256" s="182"/>
      <c r="G256" s="211" t="e">
        <v>#DIV/0!</v>
      </c>
      <c r="H256" s="212" t="e">
        <v>#DIV/0!</v>
      </c>
      <c r="I256" s="212" t="e">
        <v>#DIV/0!</v>
      </c>
      <c r="J256" s="212" t="e">
        <v>#DIV/0!</v>
      </c>
      <c r="K256" s="213" t="e">
        <v>#DIV/0!</v>
      </c>
      <c r="M256" s="186"/>
    </row>
    <row r="257" spans="1:13" ht="15.75" thickBot="1">
      <c r="A257" s="190" t="s">
        <v>10</v>
      </c>
      <c r="B257" s="226">
        <v>3.8242762748856345</v>
      </c>
      <c r="C257" s="226">
        <v>3.4189914694173242</v>
      </c>
      <c r="D257" s="226">
        <v>3.406880100048773</v>
      </c>
      <c r="E257" s="226">
        <v>3.3021092786222539</v>
      </c>
      <c r="F257" s="226">
        <v>2.5825866572536436</v>
      </c>
      <c r="G257" s="217">
        <v>-1.1735115266409246E-2</v>
      </c>
      <c r="H257" s="218">
        <v>1.3093803528589243E-2</v>
      </c>
      <c r="I257" s="218">
        <v>-7.0948215431976269E-4</v>
      </c>
      <c r="J257" s="218">
        <v>-6.2276286723228491E-3</v>
      </c>
      <c r="K257" s="219">
        <v>-1.2213302864828357E-2</v>
      </c>
      <c r="M257" s="186"/>
    </row>
    <row r="258" spans="1:13">
      <c r="A258" s="195"/>
      <c r="B258" s="171"/>
      <c r="C258" s="171"/>
      <c r="D258" s="171"/>
    </row>
    <row r="259" spans="1:13">
      <c r="A259" s="195"/>
      <c r="B259" s="171"/>
      <c r="C259" s="171"/>
      <c r="D259" s="171"/>
    </row>
    <row r="260" spans="1:13" ht="16.5" thickBot="1">
      <c r="A260" s="91" t="s">
        <v>160</v>
      </c>
      <c r="B260" s="80"/>
      <c r="C260" s="80"/>
      <c r="D260" s="80"/>
      <c r="E260" s="80"/>
      <c r="F260" s="80"/>
      <c r="G260" s="80"/>
      <c r="H260" s="80"/>
      <c r="I260" s="80"/>
      <c r="J260" s="80"/>
      <c r="K260" s="80"/>
    </row>
    <row r="261" spans="1:13" ht="15.75" thickBot="1">
      <c r="A261" s="177"/>
      <c r="B261" s="178">
        <v>2000</v>
      </c>
      <c r="C261" s="178">
        <v>2020</v>
      </c>
      <c r="D261" s="178">
        <v>2025</v>
      </c>
      <c r="E261" s="178">
        <v>2030</v>
      </c>
      <c r="F261" s="178">
        <v>2050</v>
      </c>
      <c r="G261" s="197" t="s">
        <v>98</v>
      </c>
      <c r="H261" s="198" t="s">
        <v>99</v>
      </c>
      <c r="I261" s="198" t="s">
        <v>100</v>
      </c>
      <c r="J261" s="198" t="s">
        <v>101</v>
      </c>
      <c r="K261" s="199" t="s">
        <v>102</v>
      </c>
    </row>
    <row r="262" spans="1:13">
      <c r="A262" s="181" t="s">
        <v>161</v>
      </c>
      <c r="B262" s="250">
        <v>1.4720925580653493E-2</v>
      </c>
      <c r="C262" s="250">
        <v>1.1715774520708567E-2</v>
      </c>
      <c r="D262" s="250">
        <v>1.0146302275750297E-2</v>
      </c>
      <c r="E262" s="250">
        <v>8.5924304405191488E-3</v>
      </c>
      <c r="F262" s="250">
        <v>4.751226240245562E-3</v>
      </c>
      <c r="G262" s="211">
        <v>-7.2581463688579095E-3</v>
      </c>
      <c r="H262" s="212">
        <v>-2.3531626519421089E-2</v>
      </c>
      <c r="I262" s="212">
        <v>-2.8355585747873335E-2</v>
      </c>
      <c r="J262" s="212">
        <v>-3.2698980077977446E-2</v>
      </c>
      <c r="K262" s="213">
        <v>-2.918945662625505E-2</v>
      </c>
    </row>
    <row r="263" spans="1:13">
      <c r="A263" s="181" t="s">
        <v>162</v>
      </c>
      <c r="B263" s="260">
        <v>17.813600000000001</v>
      </c>
      <c r="C263" s="209">
        <v>20.667077912216154</v>
      </c>
      <c r="D263" s="209">
        <v>21.028815173946828</v>
      </c>
      <c r="E263" s="209">
        <v>21.396893568966835</v>
      </c>
      <c r="F263" s="209">
        <v>22.74711701186752</v>
      </c>
      <c r="G263" s="211">
        <v>8.3572001738927426E-3</v>
      </c>
      <c r="H263" s="212">
        <v>4.7598327296394238E-3</v>
      </c>
      <c r="I263" s="212">
        <v>3.4763592025344181E-3</v>
      </c>
      <c r="J263" s="212">
        <v>3.4764494492369735E-3</v>
      </c>
      <c r="K263" s="213">
        <v>3.064318527203902E-3</v>
      </c>
    </row>
    <row r="264" spans="1:13">
      <c r="A264" s="181" t="s">
        <v>163</v>
      </c>
      <c r="B264" s="261">
        <v>1.123704798813266</v>
      </c>
      <c r="C264" s="261">
        <v>1.0235111832807136</v>
      </c>
      <c r="D264" s="261">
        <v>0.92833443804514326</v>
      </c>
      <c r="E264" s="261">
        <v>0.82857199838845796</v>
      </c>
      <c r="F264" s="261">
        <v>0.60929562608320664</v>
      </c>
      <c r="G264" s="211">
        <v>-2.145291118172632E-3</v>
      </c>
      <c r="H264" s="212">
        <v>-1.2161068503894756E-2</v>
      </c>
      <c r="I264" s="212">
        <v>-1.9331165158876451E-2</v>
      </c>
      <c r="J264" s="212">
        <v>-2.2481111171536283E-2</v>
      </c>
      <c r="K264" s="213">
        <v>-1.5252492100283011E-2</v>
      </c>
    </row>
    <row r="265" spans="1:13" ht="15.75" thickBot="1">
      <c r="A265" s="190" t="s">
        <v>164</v>
      </c>
      <c r="B265" s="262">
        <v>6091.3135672827621</v>
      </c>
      <c r="C265" s="262">
        <v>6891.9180929491022</v>
      </c>
      <c r="D265" s="262">
        <v>6436.5341471956854</v>
      </c>
      <c r="E265" s="262">
        <v>5982.4775718982764</v>
      </c>
      <c r="F265" s="262">
        <v>4772.6791266766377</v>
      </c>
      <c r="G265" s="217">
        <v>8.1378029674539221E-3</v>
      </c>
      <c r="H265" s="218">
        <v>3.8260103232778953E-4</v>
      </c>
      <c r="I265" s="218">
        <v>-1.357880780139642E-2</v>
      </c>
      <c r="J265" s="218">
        <v>-1.4524571275075115E-2</v>
      </c>
      <c r="K265" s="219">
        <v>-1.12327849627748E-2</v>
      </c>
    </row>
    <row r="266" spans="1:13">
      <c r="A266" s="238"/>
      <c r="E266" s="170"/>
    </row>
    <row r="267" spans="1:13">
      <c r="E267" s="170"/>
      <c r="F267" s="212"/>
      <c r="G267" s="212"/>
      <c r="H267" s="212"/>
    </row>
    <row r="268" spans="1:13" ht="21">
      <c r="A268" s="78" t="s">
        <v>165</v>
      </c>
      <c r="B268" s="73"/>
      <c r="C268" s="73"/>
      <c r="D268" s="73"/>
      <c r="E268" s="73"/>
      <c r="F268" s="239"/>
      <c r="G268" s="239"/>
      <c r="H268" s="239"/>
      <c r="I268" s="239"/>
      <c r="J268" s="239"/>
      <c r="K268" s="239"/>
    </row>
    <row r="269" spans="1:13" ht="21">
      <c r="A269" s="172"/>
      <c r="D269" s="196"/>
      <c r="E269" s="170"/>
      <c r="F269" s="170"/>
    </row>
    <row r="270" spans="1:13" ht="16.5" thickBot="1">
      <c r="A270" s="91" t="s">
        <v>166</v>
      </c>
      <c r="B270" s="81"/>
      <c r="C270" s="81"/>
      <c r="D270" s="81"/>
      <c r="E270" s="81"/>
      <c r="F270" s="80"/>
      <c r="G270" s="80"/>
      <c r="H270" s="80"/>
      <c r="I270" s="80"/>
      <c r="J270" s="80"/>
      <c r="K270" s="80"/>
    </row>
    <row r="271" spans="1:13" ht="15.75" thickBot="1">
      <c r="A271" s="177"/>
      <c r="B271" s="178">
        <v>2000</v>
      </c>
      <c r="C271" s="178">
        <v>2020</v>
      </c>
      <c r="D271" s="178">
        <v>2025</v>
      </c>
      <c r="E271" s="178">
        <v>2030</v>
      </c>
      <c r="F271" s="178">
        <v>2050</v>
      </c>
      <c r="G271" s="197" t="s">
        <v>98</v>
      </c>
      <c r="H271" s="198" t="s">
        <v>99</v>
      </c>
      <c r="I271" s="198" t="s">
        <v>100</v>
      </c>
      <c r="J271" s="198" t="s">
        <v>101</v>
      </c>
      <c r="K271" s="199" t="s">
        <v>102</v>
      </c>
    </row>
    <row r="272" spans="1:13">
      <c r="A272" s="263" t="s">
        <v>167</v>
      </c>
      <c r="B272" s="264"/>
      <c r="C272" s="264"/>
      <c r="D272" s="264"/>
      <c r="E272" s="264"/>
      <c r="F272" s="264"/>
      <c r="G272" s="265"/>
      <c r="H272" s="266"/>
      <c r="I272" s="266"/>
      <c r="J272" s="266"/>
      <c r="K272" s="267"/>
    </row>
    <row r="273" spans="1:14">
      <c r="A273" s="181" t="s">
        <v>168</v>
      </c>
      <c r="B273" s="268">
        <v>687.75139082118562</v>
      </c>
      <c r="C273" s="268">
        <v>736.86472396822205</v>
      </c>
      <c r="D273" s="268">
        <v>732.23441232682694</v>
      </c>
      <c r="E273" s="268">
        <v>742.89450397264022</v>
      </c>
      <c r="F273" s="268">
        <v>815.82122751667885</v>
      </c>
      <c r="G273" s="211">
        <v>3.9283024521541421E-3</v>
      </c>
      <c r="H273" s="212">
        <v>2.03562936676982E-3</v>
      </c>
      <c r="I273" s="212">
        <v>-1.2599311509894351E-3</v>
      </c>
      <c r="J273" s="212">
        <v>2.8948520036853331E-3</v>
      </c>
      <c r="K273" s="213">
        <v>4.6930379180274429E-3</v>
      </c>
    </row>
    <row r="274" spans="1:14">
      <c r="A274" s="181" t="s">
        <v>169</v>
      </c>
      <c r="B274" s="268">
        <v>55.897287896679252</v>
      </c>
      <c r="C274" s="268">
        <v>82.08586207956202</v>
      </c>
      <c r="D274" s="268">
        <v>86.297139713864055</v>
      </c>
      <c r="E274" s="268">
        <v>92.414884905488719</v>
      </c>
      <c r="F274" s="268">
        <v>121.79036470159761</v>
      </c>
      <c r="G274" s="211">
        <v>1.6242320283317069E-2</v>
      </c>
      <c r="H274" s="212">
        <v>2.8924942901046524E-2</v>
      </c>
      <c r="I274" s="212">
        <v>1.0056359931976733E-2</v>
      </c>
      <c r="J274" s="212">
        <v>1.3792572609656606E-2</v>
      </c>
      <c r="K274" s="213">
        <v>1.3896328033659699E-2</v>
      </c>
    </row>
    <row r="275" spans="1:14">
      <c r="A275" s="181" t="s">
        <v>170</v>
      </c>
      <c r="B275" s="268">
        <v>80.924999999999997</v>
      </c>
      <c r="C275" s="268">
        <v>114.04164472797071</v>
      </c>
      <c r="D275" s="268">
        <v>123.70485770027287</v>
      </c>
      <c r="E275" s="268">
        <v>132.47934995950087</v>
      </c>
      <c r="F275" s="268">
        <v>187.42889571060383</v>
      </c>
      <c r="G275" s="211">
        <v>1.7200000000000104E-2</v>
      </c>
      <c r="H275" s="212">
        <v>1.760000000000006E-2</v>
      </c>
      <c r="I275" s="212">
        <v>1.639999999999997E-2</v>
      </c>
      <c r="J275" s="212">
        <v>1.3800000000000034E-2</v>
      </c>
      <c r="K275" s="213">
        <v>1.7500000000000071E-2</v>
      </c>
    </row>
    <row r="276" spans="1:14">
      <c r="A276" s="181" t="s">
        <v>171</v>
      </c>
      <c r="B276" s="268">
        <v>15.128</v>
      </c>
      <c r="C276" s="268">
        <v>14.008528</v>
      </c>
      <c r="D276" s="268">
        <v>15.236921600000002</v>
      </c>
      <c r="E276" s="268">
        <v>15.9797064</v>
      </c>
      <c r="F276" s="268">
        <v>16.0387056</v>
      </c>
      <c r="G276" s="211">
        <v>-3.8416054578340741E-3</v>
      </c>
      <c r="H276" s="212">
        <v>-3.8218767042812463E-3</v>
      </c>
      <c r="I276" s="212">
        <v>1.6953150482852175E-2</v>
      </c>
      <c r="J276" s="212">
        <v>9.5650619982303731E-3</v>
      </c>
      <c r="K276" s="213">
        <v>1.842836643781709E-4</v>
      </c>
    </row>
    <row r="277" spans="1:14">
      <c r="A277" s="181"/>
      <c r="B277" s="268"/>
      <c r="C277" s="268"/>
      <c r="D277" s="268"/>
      <c r="E277" s="268"/>
      <c r="F277" s="268"/>
      <c r="G277" s="211"/>
      <c r="H277" s="212"/>
      <c r="I277" s="212"/>
      <c r="J277" s="212"/>
      <c r="K277" s="213"/>
    </row>
    <row r="278" spans="1:14">
      <c r="A278" s="181"/>
      <c r="B278" s="268"/>
      <c r="C278" s="268"/>
      <c r="D278" s="268"/>
      <c r="E278" s="268"/>
      <c r="F278" s="268"/>
      <c r="G278" s="211"/>
      <c r="H278" s="212"/>
      <c r="I278" s="212"/>
      <c r="J278" s="212"/>
      <c r="K278" s="213"/>
    </row>
    <row r="279" spans="1:14">
      <c r="A279" s="263" t="s">
        <v>172</v>
      </c>
      <c r="B279" s="269"/>
      <c r="C279" s="269"/>
      <c r="D279" s="269"/>
      <c r="E279" s="269"/>
      <c r="F279" s="270"/>
      <c r="G279" s="211"/>
      <c r="H279" s="212"/>
      <c r="I279" s="212"/>
      <c r="J279" s="212"/>
      <c r="K279" s="213"/>
    </row>
    <row r="280" spans="1:14">
      <c r="A280" s="181" t="s">
        <v>173</v>
      </c>
      <c r="B280" s="268">
        <v>276.81829985708532</v>
      </c>
      <c r="C280" s="268">
        <v>306.60600535469604</v>
      </c>
      <c r="D280" s="268">
        <v>315.81597618092042</v>
      </c>
      <c r="E280" s="268">
        <v>327.66328392764575</v>
      </c>
      <c r="F280" s="268">
        <v>395.61353246394816</v>
      </c>
      <c r="G280" s="211">
        <v>1.1061824031974865E-3</v>
      </c>
      <c r="H280" s="212">
        <v>1.7271182297544874E-2</v>
      </c>
      <c r="I280" s="212">
        <v>5.9367806257755174E-3</v>
      </c>
      <c r="J280" s="212">
        <v>7.3925545281789962E-3</v>
      </c>
      <c r="K280" s="213">
        <v>9.4670970691075329E-3</v>
      </c>
    </row>
    <row r="281" spans="1:14">
      <c r="A281" s="181" t="s">
        <v>170</v>
      </c>
      <c r="B281" s="268">
        <v>57.725999999999999</v>
      </c>
      <c r="C281" s="268">
        <v>37.705319680602123</v>
      </c>
      <c r="D281" s="268">
        <v>38.503810606116687</v>
      </c>
      <c r="E281" s="268">
        <v>39.574377037568901</v>
      </c>
      <c r="F281" s="268">
        <v>43.551850725682037</v>
      </c>
      <c r="G281" s="211">
        <v>-3.4200000000000008E-2</v>
      </c>
      <c r="H281" s="212">
        <v>1.9400000000000084E-2</v>
      </c>
      <c r="I281" s="212">
        <v>4.1999999999999815E-3</v>
      </c>
      <c r="J281" s="212">
        <v>5.5000000000000604E-3</v>
      </c>
      <c r="K281" s="213">
        <v>4.7999999999999154E-3</v>
      </c>
    </row>
    <row r="282" spans="1:14">
      <c r="A282" s="181" t="s">
        <v>174</v>
      </c>
      <c r="B282" s="268">
        <v>7.2610000000000001</v>
      </c>
      <c r="C282" s="268">
        <v>7.9101591675526466</v>
      </c>
      <c r="D282" s="268">
        <v>7.7726969910686963</v>
      </c>
      <c r="E282" s="268">
        <v>8.0926323605670127</v>
      </c>
      <c r="F282" s="209">
        <v>8.7652451574738421</v>
      </c>
      <c r="G282" s="211">
        <v>1.8000000000000238E-3</v>
      </c>
      <c r="H282" s="212">
        <v>1.1800000000000033E-2</v>
      </c>
      <c r="I282" s="212">
        <v>-3.4999999999999476E-3</v>
      </c>
      <c r="J282" s="212">
        <v>8.0999999999999961E-3</v>
      </c>
      <c r="K282" s="213">
        <v>4.0000000000000036E-3</v>
      </c>
      <c r="N282" s="271"/>
    </row>
    <row r="283" spans="1:14">
      <c r="A283" s="181"/>
      <c r="B283" s="268"/>
      <c r="C283" s="268"/>
      <c r="D283" s="268"/>
      <c r="E283" s="268"/>
      <c r="F283" s="268"/>
      <c r="G283" s="211"/>
      <c r="H283" s="212"/>
      <c r="I283" s="212"/>
      <c r="J283" s="212"/>
      <c r="K283" s="213"/>
    </row>
    <row r="284" spans="1:14">
      <c r="A284" s="181" t="s">
        <v>175</v>
      </c>
      <c r="B284" s="268">
        <v>397.56713730341966</v>
      </c>
      <c r="C284" s="268">
        <v>448.6238806503635</v>
      </c>
      <c r="D284" s="268">
        <v>442.9998259585135</v>
      </c>
      <c r="E284" s="268">
        <v>432.99790404653504</v>
      </c>
      <c r="F284" s="268">
        <v>431.24073766607404</v>
      </c>
      <c r="G284" s="211">
        <v>7.2979366165732973E-3</v>
      </c>
      <c r="H284" s="212">
        <v>2.3526637143203022E-3</v>
      </c>
      <c r="I284" s="212">
        <v>-2.519915114473914E-3</v>
      </c>
      <c r="J284" s="212">
        <v>-4.5568837004187346E-3</v>
      </c>
      <c r="K284" s="213">
        <v>-2.0329919254025164E-4</v>
      </c>
    </row>
    <row r="285" spans="1:14" ht="15.75" thickBot="1">
      <c r="A285" s="241"/>
      <c r="B285" s="272"/>
      <c r="C285" s="272"/>
      <c r="D285" s="272"/>
      <c r="E285" s="272"/>
      <c r="F285" s="272"/>
      <c r="G285" s="217"/>
      <c r="H285" s="218"/>
      <c r="I285" s="218"/>
      <c r="J285" s="218"/>
      <c r="K285" s="219"/>
    </row>
    <row r="286" spans="1:14">
      <c r="A286" s="195"/>
      <c r="B286" s="273"/>
      <c r="C286" s="273"/>
      <c r="D286" s="273"/>
      <c r="E286" s="273"/>
      <c r="F286" s="273"/>
    </row>
    <row r="287" spans="1:14">
      <c r="A287" s="195"/>
      <c r="B287" s="273"/>
      <c r="C287" s="274"/>
      <c r="D287" s="274"/>
      <c r="E287" s="274"/>
      <c r="F287" s="274"/>
    </row>
    <row r="288" spans="1:14" ht="16.5" thickBot="1">
      <c r="A288" s="91" t="s">
        <v>176</v>
      </c>
      <c r="B288" s="80"/>
      <c r="C288" s="80"/>
      <c r="D288" s="80"/>
      <c r="E288" s="80"/>
      <c r="F288" s="80"/>
      <c r="G288" s="80"/>
      <c r="H288" s="80"/>
      <c r="I288" s="80"/>
      <c r="J288" s="80"/>
      <c r="K288" s="80"/>
    </row>
    <row r="289" spans="1:12" ht="15.75" thickBot="1">
      <c r="A289" s="177" t="s">
        <v>51</v>
      </c>
      <c r="B289" s="178">
        <v>2000</v>
      </c>
      <c r="C289" s="178">
        <v>2020</v>
      </c>
      <c r="D289" s="178">
        <v>2025</v>
      </c>
      <c r="E289" s="178">
        <v>2030</v>
      </c>
      <c r="F289" s="178">
        <v>2050</v>
      </c>
      <c r="G289" s="197" t="s">
        <v>98</v>
      </c>
      <c r="H289" s="198" t="s">
        <v>99</v>
      </c>
      <c r="I289" s="198" t="s">
        <v>100</v>
      </c>
      <c r="J289" s="198" t="s">
        <v>101</v>
      </c>
      <c r="K289" s="199" t="s">
        <v>102</v>
      </c>
    </row>
    <row r="290" spans="1:12">
      <c r="A290" s="181" t="s">
        <v>177</v>
      </c>
      <c r="B290" s="209">
        <v>13.997119781533799</v>
      </c>
      <c r="C290" s="209">
        <v>7.5967524367214434</v>
      </c>
      <c r="D290" s="209">
        <v>7.9367541993999904</v>
      </c>
      <c r="E290" s="209">
        <v>7.3616921669801201</v>
      </c>
      <c r="F290" s="209">
        <v>0.70284517859871498</v>
      </c>
      <c r="G290" s="203">
        <v>-4.8560460379067139E-2</v>
      </c>
      <c r="H290" s="204">
        <v>2.7482116744335539E-2</v>
      </c>
      <c r="I290" s="204">
        <v>8.7951632835900906E-3</v>
      </c>
      <c r="J290" s="204">
        <v>-1.4930336626109986E-2</v>
      </c>
      <c r="K290" s="205">
        <v>-0.1108109603663463</v>
      </c>
      <c r="L290" s="206"/>
    </row>
    <row r="291" spans="1:12">
      <c r="A291" s="181" t="s">
        <v>178</v>
      </c>
      <c r="B291" s="209">
        <v>26.535790998485542</v>
      </c>
      <c r="C291" s="209">
        <v>30.791747936576474</v>
      </c>
      <c r="D291" s="209">
        <v>25.653803520011174</v>
      </c>
      <c r="E291" s="209">
        <v>20.956568236101596</v>
      </c>
      <c r="F291" s="209">
        <v>2.7528416383164336</v>
      </c>
      <c r="G291" s="211">
        <v>1.4687516164497039E-2</v>
      </c>
      <c r="H291" s="212">
        <v>-1.3894208811641939E-2</v>
      </c>
      <c r="I291" s="212">
        <v>-3.5852489404619825E-2</v>
      </c>
      <c r="J291" s="212">
        <v>-3.9640846091020476E-2</v>
      </c>
      <c r="K291" s="213">
        <v>-9.6510617718959413E-2</v>
      </c>
      <c r="L291" s="206"/>
    </row>
    <row r="292" spans="1:12">
      <c r="A292" s="181" t="s">
        <v>179</v>
      </c>
      <c r="B292" s="209">
        <v>1.783802992</v>
      </c>
      <c r="C292" s="209">
        <v>1.4795186667792544</v>
      </c>
      <c r="D292" s="209">
        <v>1.530024051708708</v>
      </c>
      <c r="E292" s="209">
        <v>1.5684339680142472</v>
      </c>
      <c r="F292" s="209">
        <v>1.5127612269015085</v>
      </c>
      <c r="G292" s="211">
        <v>-1.2369884935951925E-2</v>
      </c>
      <c r="H292" s="212">
        <v>-6.5069060666167466E-5</v>
      </c>
      <c r="I292" s="212">
        <v>6.7359140300744524E-3</v>
      </c>
      <c r="J292" s="212">
        <v>4.9711541088124367E-3</v>
      </c>
      <c r="K292" s="213">
        <v>-1.8054203114803435E-3</v>
      </c>
      <c r="L292" s="206"/>
    </row>
    <row r="293" spans="1:12">
      <c r="A293" s="181" t="s">
        <v>180</v>
      </c>
      <c r="B293" s="209">
        <v>0.20852249504211356</v>
      </c>
      <c r="C293" s="209">
        <v>0.12568131335823352</v>
      </c>
      <c r="D293" s="209">
        <v>0.1313426898913192</v>
      </c>
      <c r="E293" s="209">
        <v>-1.6390543817852597E-3</v>
      </c>
      <c r="F293" s="209">
        <v>1.1109676647870722E-3</v>
      </c>
      <c r="G293" s="211">
        <v>-3.6118422355186475E-2</v>
      </c>
      <c r="H293" s="212">
        <v>9.1425539228615627E-3</v>
      </c>
      <c r="I293" s="212">
        <v>8.8510241075989704E-3</v>
      </c>
      <c r="J293" s="212">
        <v>-1.4161381109390099</v>
      </c>
      <c r="K293" s="213" t="e">
        <v>#NUM!</v>
      </c>
      <c r="L293" s="206"/>
    </row>
    <row r="294" spans="1:12">
      <c r="A294" s="181" t="s">
        <v>181</v>
      </c>
      <c r="B294" s="209">
        <v>0</v>
      </c>
      <c r="C294" s="209">
        <v>0.17718839974083389</v>
      </c>
      <c r="D294" s="209">
        <v>0.45902890397400081</v>
      </c>
      <c r="E294" s="209">
        <v>0.93047307809883106</v>
      </c>
      <c r="F294" s="209">
        <v>3.6028639370370201</v>
      </c>
      <c r="G294" s="211"/>
      <c r="H294" s="212">
        <v>0.16081011856725658</v>
      </c>
      <c r="I294" s="212">
        <v>0.20970910495476347</v>
      </c>
      <c r="J294" s="212">
        <v>0.15178854719978596</v>
      </c>
      <c r="K294" s="213">
        <v>7.0033076020741269E-2</v>
      </c>
      <c r="L294" s="206"/>
    </row>
    <row r="295" spans="1:12">
      <c r="A295" s="181" t="s">
        <v>104</v>
      </c>
      <c r="B295" s="209">
        <v>0.80670000000000019</v>
      </c>
      <c r="C295" s="209">
        <v>1.2132873417692334</v>
      </c>
      <c r="D295" s="209">
        <v>2.0656497694386395</v>
      </c>
      <c r="E295" s="209">
        <v>3.1050811964351928</v>
      </c>
      <c r="F295" s="209">
        <v>8.1245524383179717</v>
      </c>
      <c r="G295" s="211">
        <v>6.7135895005314694E-3</v>
      </c>
      <c r="H295" s="212">
        <v>6.3487840029791798E-2</v>
      </c>
      <c r="I295" s="212">
        <v>0.11229146425059078</v>
      </c>
      <c r="J295" s="212">
        <v>8.4933837645329913E-2</v>
      </c>
      <c r="K295" s="213">
        <v>4.92677488585469E-2</v>
      </c>
      <c r="L295" s="206"/>
    </row>
    <row r="296" spans="1:12">
      <c r="A296" s="181" t="s">
        <v>109</v>
      </c>
      <c r="B296" s="209">
        <v>0</v>
      </c>
      <c r="C296" s="209">
        <v>0</v>
      </c>
      <c r="D296" s="209">
        <v>0</v>
      </c>
      <c r="E296" s="209">
        <v>0</v>
      </c>
      <c r="F296" s="209">
        <v>8.5984522785898534E-2</v>
      </c>
      <c r="G296" s="211"/>
      <c r="H296" s="212"/>
      <c r="I296" s="212"/>
      <c r="J296" s="212"/>
      <c r="K296" s="213"/>
      <c r="L296" s="206"/>
    </row>
    <row r="297" spans="1:12">
      <c r="A297" s="181"/>
      <c r="B297" s="182"/>
      <c r="C297" s="182"/>
      <c r="D297" s="182"/>
      <c r="E297" s="182"/>
      <c r="F297" s="182"/>
      <c r="G297" s="211"/>
      <c r="H297" s="212"/>
      <c r="I297" s="212"/>
      <c r="J297" s="212"/>
      <c r="K297" s="213"/>
    </row>
    <row r="298" spans="1:12" ht="15.75" thickBot="1">
      <c r="A298" s="190" t="s">
        <v>10</v>
      </c>
      <c r="B298" s="226">
        <v>43.331936267061451</v>
      </c>
      <c r="C298" s="226">
        <v>41.384176094945474</v>
      </c>
      <c r="D298" s="226">
        <v>37.776603134423837</v>
      </c>
      <c r="E298" s="226">
        <v>33.920609591248201</v>
      </c>
      <c r="F298" s="226">
        <v>16.782959909622335</v>
      </c>
      <c r="G298" s="217">
        <v>-1.7114473081362158E-3</v>
      </c>
      <c r="H298" s="218">
        <v>-4.0512974285620285E-3</v>
      </c>
      <c r="I298" s="218">
        <v>-1.8076355074965966E-2</v>
      </c>
      <c r="J298" s="218">
        <v>-2.1303243667912919E-2</v>
      </c>
      <c r="K298" s="219">
        <v>-3.4571210691747067E-2</v>
      </c>
      <c r="L298" s="186"/>
    </row>
    <row r="299" spans="1:12">
      <c r="A299" s="195"/>
      <c r="B299" s="171"/>
      <c r="C299" s="171"/>
      <c r="D299" s="254"/>
      <c r="E299" s="254"/>
      <c r="L299" s="222"/>
    </row>
    <row r="300" spans="1:12">
      <c r="A300" s="195"/>
      <c r="B300" s="171"/>
      <c r="C300" s="171"/>
      <c r="D300" s="254"/>
      <c r="E300" s="254"/>
    </row>
    <row r="301" spans="1:12" ht="16.5" thickBot="1">
      <c r="A301" s="91" t="s">
        <v>182</v>
      </c>
      <c r="B301" s="80"/>
      <c r="C301" s="80"/>
      <c r="D301" s="275"/>
      <c r="E301" s="275"/>
      <c r="F301" s="275"/>
      <c r="G301" s="80"/>
      <c r="H301" s="80"/>
      <c r="I301" s="80"/>
      <c r="J301" s="80"/>
      <c r="K301" s="80"/>
    </row>
    <row r="302" spans="1:12" ht="15.75" thickBot="1">
      <c r="A302" s="177" t="s">
        <v>51</v>
      </c>
      <c r="B302" s="178">
        <v>2000</v>
      </c>
      <c r="C302" s="178">
        <v>2020</v>
      </c>
      <c r="D302" s="178">
        <v>2025</v>
      </c>
      <c r="E302" s="178">
        <v>2030</v>
      </c>
      <c r="F302" s="178">
        <v>2050</v>
      </c>
      <c r="G302" s="197" t="s">
        <v>98</v>
      </c>
      <c r="H302" s="198" t="s">
        <v>99</v>
      </c>
      <c r="I302" s="198" t="s">
        <v>100</v>
      </c>
      <c r="J302" s="198" t="s">
        <v>101</v>
      </c>
      <c r="K302" s="199" t="s">
        <v>102</v>
      </c>
    </row>
    <row r="303" spans="1:12">
      <c r="A303" s="181" t="s">
        <v>183</v>
      </c>
      <c r="B303" s="182">
        <v>39.905836568061453</v>
      </c>
      <c r="C303" s="182">
        <v>38.380587442549967</v>
      </c>
      <c r="D303" s="182">
        <v>34.722891807419558</v>
      </c>
      <c r="E303" s="182">
        <v>30.817366953640541</v>
      </c>
      <c r="F303" s="182">
        <v>13.822431129824748</v>
      </c>
      <c r="G303" s="203">
        <v>-1.0591228097824867E-3</v>
      </c>
      <c r="H303" s="204">
        <v>-4.6044738636766835E-3</v>
      </c>
      <c r="I303" s="204">
        <v>-1.9831245959978649E-2</v>
      </c>
      <c r="J303" s="204">
        <v>-2.358165916746735E-2</v>
      </c>
      <c r="K303" s="205">
        <v>-3.929633997209192E-2</v>
      </c>
    </row>
    <row r="304" spans="1:12">
      <c r="A304" s="181" t="s">
        <v>184</v>
      </c>
      <c r="B304" s="209">
        <v>1.1697000000000002</v>
      </c>
      <c r="C304" s="209">
        <v>1.0772329466562085</v>
      </c>
      <c r="D304" s="209">
        <v>1.1257957226916904</v>
      </c>
      <c r="E304" s="209">
        <v>1.1633620850321045</v>
      </c>
      <c r="F304" s="209">
        <v>1.231147369555037</v>
      </c>
      <c r="G304" s="211">
        <v>-9.3887516254735903E-3</v>
      </c>
      <c r="H304" s="212">
        <v>1.1899222699643497E-2</v>
      </c>
      <c r="I304" s="212">
        <v>8.8578864839432558E-3</v>
      </c>
      <c r="J304" s="212">
        <v>6.5864091148477577E-3</v>
      </c>
      <c r="K304" s="213">
        <v>2.8356324809348799E-3</v>
      </c>
    </row>
    <row r="305" spans="1:13">
      <c r="A305" s="181" t="s">
        <v>185</v>
      </c>
      <c r="B305" s="209">
        <v>0.47259670699999995</v>
      </c>
      <c r="C305" s="209">
        <v>0.44683703896004329</v>
      </c>
      <c r="D305" s="209">
        <v>0.39789155260387177</v>
      </c>
      <c r="E305" s="209">
        <v>0.37144658456130919</v>
      </c>
      <c r="F305" s="209">
        <v>0.21662018334104061</v>
      </c>
      <c r="G305" s="211">
        <v>-1.6759290797919713E-3</v>
      </c>
      <c r="H305" s="212">
        <v>-6.1586392630241793E-3</v>
      </c>
      <c r="I305" s="212">
        <v>-2.2935777745134667E-2</v>
      </c>
      <c r="J305" s="212">
        <v>-1.3660717152266577E-2</v>
      </c>
      <c r="K305" s="213">
        <v>-2.660272192627311E-2</v>
      </c>
    </row>
    <row r="306" spans="1:13">
      <c r="A306" s="181" t="s">
        <v>186</v>
      </c>
      <c r="B306" s="209">
        <v>1.783802992</v>
      </c>
      <c r="C306" s="209">
        <v>1.4795186667792544</v>
      </c>
      <c r="D306" s="209">
        <v>1.530024051708708</v>
      </c>
      <c r="E306" s="209">
        <v>1.5684339680142472</v>
      </c>
      <c r="F306" s="209">
        <v>1.5127612269015085</v>
      </c>
      <c r="G306" s="211">
        <v>-1.2369884935951925E-2</v>
      </c>
      <c r="H306" s="212">
        <v>-6.5069060666167466E-5</v>
      </c>
      <c r="I306" s="212">
        <v>6.7359140300744524E-3</v>
      </c>
      <c r="J306" s="212">
        <v>4.9711541088124367E-3</v>
      </c>
      <c r="K306" s="213">
        <v>-1.8054203114803435E-3</v>
      </c>
    </row>
    <row r="307" spans="1:13">
      <c r="A307" s="181"/>
      <c r="B307" s="182"/>
      <c r="C307" s="182"/>
      <c r="D307" s="182"/>
      <c r="E307" s="182"/>
      <c r="F307" s="182"/>
      <c r="G307" s="211"/>
      <c r="H307" s="212"/>
      <c r="I307" s="212"/>
      <c r="J307" s="212"/>
      <c r="K307" s="213"/>
    </row>
    <row r="308" spans="1:13" ht="15.75" thickBot="1">
      <c r="A308" s="241" t="s">
        <v>10</v>
      </c>
      <c r="B308" s="226">
        <v>43.331936267061451</v>
      </c>
      <c r="C308" s="226">
        <v>41.384176094945474</v>
      </c>
      <c r="D308" s="226">
        <v>37.77660313442383</v>
      </c>
      <c r="E308" s="226">
        <v>33.920609591248201</v>
      </c>
      <c r="F308" s="226">
        <v>16.782959909622335</v>
      </c>
      <c r="G308" s="217">
        <v>-1.7114473081362158E-3</v>
      </c>
      <c r="H308" s="218">
        <v>-4.0512974285620285E-3</v>
      </c>
      <c r="I308" s="218">
        <v>-1.8076355074965966E-2</v>
      </c>
      <c r="J308" s="218">
        <v>-2.1303243667912808E-2</v>
      </c>
      <c r="K308" s="219">
        <v>-3.4571210691747067E-2</v>
      </c>
    </row>
    <row r="309" spans="1:13">
      <c r="A309" s="195"/>
      <c r="B309" s="276"/>
      <c r="C309" s="171"/>
      <c r="D309" s="171"/>
    </row>
    <row r="310" spans="1:13">
      <c r="A310" s="195"/>
      <c r="B310" s="276"/>
      <c r="C310" s="171"/>
      <c r="D310" s="171"/>
    </row>
    <row r="311" spans="1:13" ht="16.5" thickBot="1">
      <c r="A311" s="91" t="s">
        <v>187</v>
      </c>
      <c r="B311" s="277"/>
      <c r="C311" s="80"/>
      <c r="D311" s="80"/>
      <c r="E311" s="80"/>
      <c r="F311" s="80"/>
      <c r="G311" s="80"/>
      <c r="H311" s="80"/>
      <c r="I311" s="80"/>
      <c r="J311" s="80"/>
      <c r="K311" s="80"/>
    </row>
    <row r="312" spans="1:13" ht="15.75" thickBot="1">
      <c r="A312" s="177" t="s">
        <v>51</v>
      </c>
      <c r="B312" s="178">
        <v>2000</v>
      </c>
      <c r="C312" s="178">
        <v>2020</v>
      </c>
      <c r="D312" s="178">
        <v>2025</v>
      </c>
      <c r="E312" s="178">
        <v>2030</v>
      </c>
      <c r="F312" s="178">
        <v>2050</v>
      </c>
      <c r="G312" s="197" t="s">
        <v>98</v>
      </c>
      <c r="H312" s="198" t="s">
        <v>99</v>
      </c>
      <c r="I312" s="198" t="s">
        <v>100</v>
      </c>
      <c r="J312" s="198" t="s">
        <v>101</v>
      </c>
      <c r="K312" s="199" t="s">
        <v>102</v>
      </c>
    </row>
    <row r="313" spans="1:13">
      <c r="A313" s="263" t="s">
        <v>188</v>
      </c>
      <c r="B313" s="182">
        <v>24.027286900070735</v>
      </c>
      <c r="C313" s="182">
        <v>22.669323216049587</v>
      </c>
      <c r="D313" s="182">
        <v>20.099431800399458</v>
      </c>
      <c r="E313" s="182">
        <v>17.114729421604906</v>
      </c>
      <c r="F313" s="182">
        <v>5.4108673334362987</v>
      </c>
      <c r="G313" s="203">
        <v>-1.6696791447358139E-3</v>
      </c>
      <c r="H313" s="204">
        <v>-6.6004028423241046E-3</v>
      </c>
      <c r="I313" s="204">
        <v>-2.3776978330879994E-2</v>
      </c>
      <c r="J313" s="204">
        <v>-3.1639086548690742E-2</v>
      </c>
      <c r="K313" s="205">
        <v>-5.5950335102449733E-2</v>
      </c>
      <c r="M313" s="248"/>
    </row>
    <row r="314" spans="1:13">
      <c r="A314" s="181" t="s">
        <v>177</v>
      </c>
      <c r="B314" s="209">
        <v>13.39859269494649</v>
      </c>
      <c r="C314" s="209">
        <v>7.1420440176120765</v>
      </c>
      <c r="D314" s="209">
        <v>7.5510246343567768</v>
      </c>
      <c r="E314" s="209">
        <v>7.0493412936793911</v>
      </c>
      <c r="F314" s="209">
        <v>0.69666280639901523</v>
      </c>
      <c r="G314" s="211">
        <v>-5.0921821341770257E-2</v>
      </c>
      <c r="H314" s="212">
        <v>3.1446491688119638E-2</v>
      </c>
      <c r="I314" s="212">
        <v>1.1199096554230348E-2</v>
      </c>
      <c r="J314" s="212">
        <v>-1.3655720677873573E-2</v>
      </c>
      <c r="K314" s="213">
        <v>-0.10927487174323569</v>
      </c>
    </row>
    <row r="315" spans="1:13">
      <c r="A315" s="181" t="s">
        <v>178</v>
      </c>
      <c r="B315" s="209">
        <v>10.470294291485542</v>
      </c>
      <c r="C315" s="209">
        <v>15.307326654560326</v>
      </c>
      <c r="D315" s="209">
        <v>11.752123581760772</v>
      </c>
      <c r="E315" s="209">
        <v>8.7753135908489099</v>
      </c>
      <c r="F315" s="209">
        <v>0.54710495232365219</v>
      </c>
      <c r="G315" s="211">
        <v>3.3517742695645003E-2</v>
      </c>
      <c r="H315" s="212">
        <v>-2.2685635126629244E-2</v>
      </c>
      <c r="I315" s="212">
        <v>-5.148675456623053E-2</v>
      </c>
      <c r="J315" s="212">
        <v>-5.6744689180459829E-2</v>
      </c>
      <c r="K315" s="213">
        <v>-0.12955687383007697</v>
      </c>
    </row>
    <row r="316" spans="1:13">
      <c r="A316" s="181" t="s">
        <v>180</v>
      </c>
      <c r="B316" s="209">
        <v>0.15839991363870282</v>
      </c>
      <c r="C316" s="209">
        <v>0.1315280240125852</v>
      </c>
      <c r="D316" s="209">
        <v>0.13487994983720197</v>
      </c>
      <c r="E316" s="209">
        <v>5.0098788547381715E-4</v>
      </c>
      <c r="F316" s="209">
        <v>-1.3025685022319245E-4</v>
      </c>
      <c r="G316" s="211">
        <v>-1.3210630531568235E-2</v>
      </c>
      <c r="H316" s="212">
        <v>2.7190924149946838E-3</v>
      </c>
      <c r="I316" s="212">
        <v>5.0457236189127563E-3</v>
      </c>
      <c r="J316" s="212">
        <v>-0.67343024104122451</v>
      </c>
      <c r="K316" s="213" t="e">
        <v>#NUM!</v>
      </c>
    </row>
    <row r="317" spans="1:13">
      <c r="A317" s="181" t="s">
        <v>181</v>
      </c>
      <c r="B317" s="209">
        <v>0</v>
      </c>
      <c r="C317" s="209">
        <v>0</v>
      </c>
      <c r="D317" s="209">
        <v>0</v>
      </c>
      <c r="E317" s="209">
        <v>0</v>
      </c>
      <c r="F317" s="209">
        <v>0</v>
      </c>
      <c r="G317" s="211"/>
      <c r="H317" s="212"/>
      <c r="I317" s="212"/>
      <c r="J317" s="212"/>
      <c r="K317" s="213"/>
    </row>
    <row r="318" spans="1:13">
      <c r="A318" s="181" t="s">
        <v>109</v>
      </c>
      <c r="B318" s="209">
        <v>0</v>
      </c>
      <c r="C318" s="209">
        <v>0</v>
      </c>
      <c r="D318" s="209">
        <v>0</v>
      </c>
      <c r="E318" s="209">
        <v>0</v>
      </c>
      <c r="F318" s="209">
        <v>0</v>
      </c>
      <c r="G318" s="211"/>
      <c r="H318" s="212"/>
      <c r="I318" s="212"/>
      <c r="J318" s="212"/>
      <c r="K318" s="213"/>
    </row>
    <row r="319" spans="1:13">
      <c r="A319" s="181" t="s">
        <v>104</v>
      </c>
      <c r="B319" s="209">
        <v>0</v>
      </c>
      <c r="C319" s="209">
        <v>8.8424519864598664E-2</v>
      </c>
      <c r="D319" s="209">
        <v>0.66140363444470751</v>
      </c>
      <c r="E319" s="209">
        <v>1.2895735491911335</v>
      </c>
      <c r="F319" s="209">
        <v>4.1672298315638541</v>
      </c>
      <c r="G319" s="211"/>
      <c r="H319" s="212"/>
      <c r="I319" s="212"/>
      <c r="J319" s="212"/>
      <c r="K319" s="213"/>
    </row>
    <row r="320" spans="1:13">
      <c r="A320" s="181"/>
      <c r="B320" s="182"/>
      <c r="C320" s="182"/>
      <c r="D320" s="182"/>
      <c r="E320" s="182"/>
      <c r="F320" s="244"/>
      <c r="G320" s="211"/>
      <c r="H320" s="212"/>
      <c r="I320" s="212"/>
      <c r="J320" s="212"/>
      <c r="K320" s="213"/>
    </row>
    <row r="321" spans="1:11">
      <c r="A321" s="263" t="s">
        <v>189</v>
      </c>
      <c r="B321" s="182">
        <v>14.86224967499072</v>
      </c>
      <c r="C321" s="182">
        <v>14.222377683676331</v>
      </c>
      <c r="D321" s="182">
        <v>13.205309382739225</v>
      </c>
      <c r="E321" s="182">
        <v>12.385410509510248</v>
      </c>
      <c r="F321" s="182">
        <v>7.4779451697917185</v>
      </c>
      <c r="G321" s="211">
        <v>-2.2478373250710559E-3</v>
      </c>
      <c r="H321" s="212">
        <v>-2.0483570847040777E-3</v>
      </c>
      <c r="I321" s="212">
        <v>-1.4729965365314568E-2</v>
      </c>
      <c r="J321" s="212">
        <v>-1.273812775691141E-2</v>
      </c>
      <c r="K321" s="213">
        <v>-2.4912490022039324E-2</v>
      </c>
    </row>
    <row r="322" spans="1:11">
      <c r="A322" s="181" t="s">
        <v>177</v>
      </c>
      <c r="B322" s="209">
        <v>0.25552709358730952</v>
      </c>
      <c r="C322" s="209">
        <v>-2.9806784461639351E-2</v>
      </c>
      <c r="D322" s="209">
        <v>-1.8033104599291742E-2</v>
      </c>
      <c r="E322" s="209">
        <v>-1.0659262413274266E-2</v>
      </c>
      <c r="F322" s="209">
        <v>6.1823721996996997E-3</v>
      </c>
      <c r="G322" s="211"/>
      <c r="H322" s="212"/>
      <c r="I322" s="212"/>
      <c r="J322" s="212"/>
      <c r="K322" s="213"/>
    </row>
    <row r="323" spans="1:11">
      <c r="A323" s="181" t="s">
        <v>178</v>
      </c>
      <c r="B323" s="209">
        <v>14.5566</v>
      </c>
      <c r="C323" s="209">
        <v>14.059503679053124</v>
      </c>
      <c r="D323" s="209">
        <v>12.588420029470544</v>
      </c>
      <c r="E323" s="209">
        <v>10.988847813814505</v>
      </c>
      <c r="F323" s="209">
        <v>1.9155549180991991</v>
      </c>
      <c r="G323" s="211">
        <v>-8.9652551095531496E-4</v>
      </c>
      <c r="H323" s="212">
        <v>-4.2493456744144842E-3</v>
      </c>
      <c r="I323" s="212">
        <v>-2.1861739114521272E-2</v>
      </c>
      <c r="J323" s="212">
        <v>-2.6813251452596498E-2</v>
      </c>
      <c r="K323" s="213">
        <v>-8.3637892367373845E-2</v>
      </c>
    </row>
    <row r="324" spans="1:11">
      <c r="A324" s="181" t="s">
        <v>180</v>
      </c>
      <c r="B324" s="209">
        <v>5.0122581403410749E-2</v>
      </c>
      <c r="C324" s="209">
        <v>-5.8467106543516889E-3</v>
      </c>
      <c r="D324" s="209">
        <v>-3.5372599458827715E-3</v>
      </c>
      <c r="E324" s="209">
        <v>-2.1400422672590768E-3</v>
      </c>
      <c r="F324" s="209">
        <v>1.2412245150102647E-3</v>
      </c>
      <c r="G324" s="211"/>
      <c r="H324" s="212"/>
      <c r="I324" s="212"/>
      <c r="J324" s="212"/>
      <c r="K324" s="213"/>
    </row>
    <row r="325" spans="1:11">
      <c r="A325" s="181" t="s">
        <v>181</v>
      </c>
      <c r="B325" s="209">
        <v>0</v>
      </c>
      <c r="C325" s="209">
        <v>0.14075633870386173</v>
      </c>
      <c r="D325" s="209">
        <v>0.40559760229326686</v>
      </c>
      <c r="E325" s="209">
        <v>0.86469514683149262</v>
      </c>
      <c r="F325" s="209">
        <v>3.1713207480369392</v>
      </c>
      <c r="G325" s="211"/>
      <c r="H325" s="212"/>
      <c r="I325" s="212"/>
      <c r="J325" s="212"/>
      <c r="K325" s="213"/>
    </row>
    <row r="326" spans="1:11">
      <c r="A326" s="181" t="s">
        <v>109</v>
      </c>
      <c r="B326" s="209">
        <v>0</v>
      </c>
      <c r="C326" s="209">
        <v>0</v>
      </c>
      <c r="D326" s="209">
        <v>0</v>
      </c>
      <c r="E326" s="209">
        <v>0</v>
      </c>
      <c r="F326" s="209">
        <v>4.2992261392949267E-2</v>
      </c>
      <c r="G326" s="211"/>
      <c r="H326" s="212"/>
      <c r="I326" s="212"/>
      <c r="J326" s="212"/>
      <c r="K326" s="213"/>
    </row>
    <row r="327" spans="1:11">
      <c r="A327" s="181" t="s">
        <v>104</v>
      </c>
      <c r="B327" s="209">
        <v>0</v>
      </c>
      <c r="C327" s="209">
        <v>5.7771161035336138E-2</v>
      </c>
      <c r="D327" s="209">
        <v>0.23286211552059005</v>
      </c>
      <c r="E327" s="209">
        <v>0.54466685354478217</v>
      </c>
      <c r="F327" s="209">
        <v>2.340653645547921</v>
      </c>
      <c r="G327" s="211"/>
      <c r="H327" s="212"/>
      <c r="I327" s="212"/>
      <c r="J327" s="212"/>
      <c r="K327" s="213"/>
    </row>
    <row r="328" spans="1:11">
      <c r="A328" s="181"/>
      <c r="B328" s="182"/>
      <c r="C328" s="182"/>
      <c r="D328" s="182"/>
      <c r="E328" s="182"/>
      <c r="F328" s="244"/>
      <c r="G328" s="211"/>
      <c r="H328" s="212"/>
      <c r="I328" s="212"/>
      <c r="J328" s="212"/>
      <c r="K328" s="213"/>
    </row>
    <row r="329" spans="1:11">
      <c r="A329" s="263" t="s">
        <v>190</v>
      </c>
      <c r="B329" s="182">
        <v>0.67330000000000001</v>
      </c>
      <c r="C329" s="182">
        <v>0.96311178453607604</v>
      </c>
      <c r="D329" s="182">
        <v>0.93186884520443769</v>
      </c>
      <c r="E329" s="182">
        <v>0.87043822266048954</v>
      </c>
      <c r="F329" s="182">
        <v>0.64480174357798292</v>
      </c>
      <c r="G329" s="211">
        <v>2.0273786312048125E-2</v>
      </c>
      <c r="H329" s="212">
        <v>1.1447699192846272E-2</v>
      </c>
      <c r="I329" s="212">
        <v>-6.573778312624845E-3</v>
      </c>
      <c r="J329" s="212">
        <v>-1.3546467813731922E-2</v>
      </c>
      <c r="K329" s="213">
        <v>-1.4890714964200025E-2</v>
      </c>
    </row>
    <row r="330" spans="1:11">
      <c r="A330" s="181" t="s">
        <v>177</v>
      </c>
      <c r="B330" s="209">
        <v>0</v>
      </c>
      <c r="C330" s="209">
        <v>0</v>
      </c>
      <c r="D330" s="209">
        <v>0</v>
      </c>
      <c r="E330" s="209">
        <v>0</v>
      </c>
      <c r="F330" s="209">
        <v>0</v>
      </c>
      <c r="G330" s="211"/>
      <c r="H330" s="212"/>
      <c r="I330" s="212"/>
      <c r="J330" s="212"/>
      <c r="K330" s="213"/>
    </row>
    <row r="331" spans="1:11">
      <c r="A331" s="181" t="s">
        <v>178</v>
      </c>
      <c r="B331" s="253">
        <v>0.67330000000000001</v>
      </c>
      <c r="C331" s="209">
        <v>0.92413851077096154</v>
      </c>
      <c r="D331" s="209">
        <v>0.86835197973851841</v>
      </c>
      <c r="E331" s="209">
        <v>0.78216143938249383</v>
      </c>
      <c r="F331" s="209">
        <v>0.2179750401132351</v>
      </c>
      <c r="G331" s="211">
        <v>1.8895344811516779E-2</v>
      </c>
      <c r="H331" s="212">
        <v>7.2028750151427179E-3</v>
      </c>
      <c r="I331" s="212">
        <v>-1.2375747645057444E-2</v>
      </c>
      <c r="J331" s="212">
        <v>-2.0690154917806236E-2</v>
      </c>
      <c r="K331" s="213">
        <v>-6.1886213821090941E-2</v>
      </c>
    </row>
    <row r="332" spans="1:11">
      <c r="A332" s="181" t="s">
        <v>180</v>
      </c>
      <c r="B332" s="209">
        <v>0</v>
      </c>
      <c r="C332" s="209">
        <v>0</v>
      </c>
      <c r="D332" s="209">
        <v>0</v>
      </c>
      <c r="E332" s="209">
        <v>0</v>
      </c>
      <c r="F332" s="209">
        <v>0</v>
      </c>
      <c r="G332" s="211"/>
      <c r="H332" s="212"/>
      <c r="I332" s="212"/>
      <c r="J332" s="212"/>
      <c r="K332" s="213"/>
    </row>
    <row r="333" spans="1:11">
      <c r="A333" s="181" t="s">
        <v>181</v>
      </c>
      <c r="B333" s="209">
        <v>0</v>
      </c>
      <c r="C333" s="253">
        <v>3.6432061036972156E-2</v>
      </c>
      <c r="D333" s="209">
        <v>5.3431301680733942E-2</v>
      </c>
      <c r="E333" s="209">
        <v>6.5777931267338413E-2</v>
      </c>
      <c r="F333" s="209">
        <v>0.28712973343938736</v>
      </c>
      <c r="G333" s="211"/>
      <c r="H333" s="212">
        <v>0.1480817000629886</v>
      </c>
      <c r="I333" s="212">
        <v>7.959882378385208E-2</v>
      </c>
      <c r="J333" s="212">
        <v>4.2453978710176532E-2</v>
      </c>
      <c r="K333" s="213">
        <v>7.6464960445029595E-2</v>
      </c>
    </row>
    <row r="334" spans="1:11">
      <c r="A334" s="181" t="s">
        <v>109</v>
      </c>
      <c r="B334" s="209">
        <v>0</v>
      </c>
      <c r="C334" s="209">
        <v>0</v>
      </c>
      <c r="D334" s="209">
        <v>0</v>
      </c>
      <c r="E334" s="209">
        <v>0</v>
      </c>
      <c r="F334" s="209">
        <v>0</v>
      </c>
      <c r="G334" s="211"/>
      <c r="H334" s="212"/>
      <c r="I334" s="212"/>
      <c r="J334" s="212"/>
      <c r="K334" s="213"/>
    </row>
    <row r="335" spans="1:11">
      <c r="A335" s="181" t="s">
        <v>104</v>
      </c>
      <c r="B335" s="209">
        <v>0</v>
      </c>
      <c r="C335" s="209">
        <v>2.541212728142353E-3</v>
      </c>
      <c r="D335" s="209">
        <v>1.0085563785185377E-2</v>
      </c>
      <c r="E335" s="209">
        <v>2.2498852010657308E-2</v>
      </c>
      <c r="F335" s="209">
        <v>0.13969697002536055</v>
      </c>
      <c r="G335" s="211"/>
      <c r="H335" s="212"/>
      <c r="I335" s="212"/>
      <c r="J335" s="212"/>
      <c r="K335" s="213"/>
    </row>
    <row r="336" spans="1:11">
      <c r="A336" s="181"/>
      <c r="B336" s="182"/>
      <c r="C336" s="182"/>
      <c r="D336" s="182"/>
      <c r="E336" s="182"/>
      <c r="F336" s="244"/>
      <c r="G336" s="211"/>
      <c r="H336" s="212"/>
      <c r="I336" s="212"/>
      <c r="J336" s="212"/>
      <c r="K336" s="213"/>
    </row>
    <row r="337" spans="1:11">
      <c r="A337" s="263" t="s">
        <v>191</v>
      </c>
      <c r="B337" s="253">
        <v>0.342999993</v>
      </c>
      <c r="C337" s="253">
        <v>0.52577475828797016</v>
      </c>
      <c r="D337" s="253">
        <v>0.48628177907643327</v>
      </c>
      <c r="E337" s="253">
        <v>0.44678879986489639</v>
      </c>
      <c r="F337" s="253">
        <v>0.28881688301874892</v>
      </c>
      <c r="G337" s="211">
        <v>3.3865411086703379E-2</v>
      </c>
      <c r="H337" s="212">
        <v>-1.4380909674792552E-2</v>
      </c>
      <c r="I337" s="212">
        <v>-1.5495619379813697E-2</v>
      </c>
      <c r="J337" s="212">
        <v>-1.6797767177459955E-2</v>
      </c>
      <c r="K337" s="213">
        <v>-2.1578437916988991E-2</v>
      </c>
    </row>
    <row r="338" spans="1:11">
      <c r="A338" s="181" t="s">
        <v>192</v>
      </c>
      <c r="B338" s="253">
        <v>0.342999993</v>
      </c>
      <c r="C338" s="253">
        <v>0.48451520357100597</v>
      </c>
      <c r="D338" s="253">
        <v>0.40376266964250501</v>
      </c>
      <c r="E338" s="253">
        <v>0.323010135714004</v>
      </c>
      <c r="F338" s="253">
        <v>0</v>
      </c>
      <c r="G338" s="211"/>
      <c r="H338" s="212"/>
      <c r="I338" s="212"/>
      <c r="J338" s="212"/>
      <c r="K338" s="213"/>
    </row>
    <row r="339" spans="1:11">
      <c r="A339" s="181" t="s">
        <v>104</v>
      </c>
      <c r="B339" s="253">
        <v>0</v>
      </c>
      <c r="C339" s="253">
        <v>4.1259554716964186E-2</v>
      </c>
      <c r="D339" s="253">
        <v>8.2519109433928262E-2</v>
      </c>
      <c r="E339" s="253">
        <v>0.12377866415089239</v>
      </c>
      <c r="F339" s="253">
        <v>0.28881688301874892</v>
      </c>
      <c r="G339" s="211"/>
      <c r="H339" s="212"/>
      <c r="I339" s="212"/>
      <c r="J339" s="212"/>
      <c r="K339" s="213"/>
    </row>
    <row r="340" spans="1:11">
      <c r="A340" s="181"/>
      <c r="B340" s="182"/>
      <c r="C340" s="182"/>
      <c r="D340" s="182"/>
      <c r="E340" s="182"/>
      <c r="F340" s="244"/>
      <c r="G340" s="211"/>
      <c r="H340" s="212"/>
      <c r="I340" s="212"/>
      <c r="J340" s="212"/>
      <c r="K340" s="213"/>
    </row>
    <row r="341" spans="1:11" ht="15.75" thickBot="1">
      <c r="A341" s="241" t="s">
        <v>193</v>
      </c>
      <c r="B341" s="226">
        <v>39.905836568061453</v>
      </c>
      <c r="C341" s="226">
        <v>38.380587442549967</v>
      </c>
      <c r="D341" s="226">
        <v>34.722891807419558</v>
      </c>
      <c r="E341" s="226">
        <v>30.817366953640541</v>
      </c>
      <c r="F341" s="226">
        <v>13.822431129824748</v>
      </c>
      <c r="G341" s="217">
        <v>-1.0591228097824867E-3</v>
      </c>
      <c r="H341" s="218">
        <v>-4.6044738636766835E-3</v>
      </c>
      <c r="I341" s="218">
        <v>-1.9831245959978649E-2</v>
      </c>
      <c r="J341" s="218">
        <v>-2.358165916746735E-2</v>
      </c>
      <c r="K341" s="219">
        <v>-3.929633997209192E-2</v>
      </c>
    </row>
    <row r="342" spans="1:11">
      <c r="A342" s="195"/>
      <c r="B342" s="276"/>
      <c r="C342" s="171"/>
      <c r="D342" s="171"/>
    </row>
    <row r="343" spans="1:11">
      <c r="A343" s="278"/>
      <c r="B343" s="276"/>
      <c r="C343" s="171"/>
      <c r="D343" s="171"/>
    </row>
    <row r="344" spans="1:11" ht="16.5" thickBot="1">
      <c r="A344" s="91" t="s">
        <v>194</v>
      </c>
      <c r="B344" s="277"/>
      <c r="C344" s="80"/>
      <c r="D344" s="80"/>
      <c r="E344" s="80"/>
      <c r="F344" s="80"/>
      <c r="G344" s="80"/>
      <c r="H344" s="80"/>
      <c r="I344" s="80"/>
      <c r="J344" s="80"/>
      <c r="K344" s="80"/>
    </row>
    <row r="345" spans="1:11" ht="15.75" thickBot="1">
      <c r="A345" s="177"/>
      <c r="B345" s="178">
        <v>2000</v>
      </c>
      <c r="C345" s="178">
        <v>2020</v>
      </c>
      <c r="D345" s="178">
        <v>2025</v>
      </c>
      <c r="E345" s="178">
        <v>2030</v>
      </c>
      <c r="F345" s="178">
        <v>2050</v>
      </c>
      <c r="G345" s="197" t="s">
        <v>98</v>
      </c>
      <c r="H345" s="198" t="s">
        <v>99</v>
      </c>
      <c r="I345" s="198" t="s">
        <v>100</v>
      </c>
      <c r="J345" s="198" t="s">
        <v>101</v>
      </c>
      <c r="K345" s="199" t="s">
        <v>102</v>
      </c>
    </row>
    <row r="346" spans="1:11">
      <c r="A346" s="279" t="s">
        <v>195</v>
      </c>
      <c r="B346" s="280">
        <v>29.760983773998959</v>
      </c>
      <c r="C346" s="201">
        <v>34.690412563685413</v>
      </c>
      <c r="D346" s="201">
        <v>35.603432606124514</v>
      </c>
      <c r="E346" s="201">
        <v>36.435851335195295</v>
      </c>
      <c r="F346" s="281">
        <v>41.278678652849216</v>
      </c>
      <c r="G346" s="203">
        <v>9.2768512208549758E-3</v>
      </c>
      <c r="H346" s="204">
        <v>2.9551187070533391E-3</v>
      </c>
      <c r="I346" s="204">
        <v>5.2092614552610161E-3</v>
      </c>
      <c r="J346" s="204">
        <v>4.6329313905344449E-3</v>
      </c>
      <c r="K346" s="205">
        <v>6.2591518631291976E-3</v>
      </c>
    </row>
    <row r="347" spans="1:11" ht="15.75" thickBot="1">
      <c r="A347" s="190" t="s">
        <v>196</v>
      </c>
      <c r="B347" s="282">
        <v>2.4457815549611052E-2</v>
      </c>
      <c r="C347" s="237">
        <v>1.8256579952815374E-2</v>
      </c>
      <c r="D347" s="237">
        <v>1.5622868880674981E-2</v>
      </c>
      <c r="E347" s="237">
        <v>1.3086146029216225E-2</v>
      </c>
      <c r="F347" s="283">
        <v>4.6216559616605512E-3</v>
      </c>
      <c r="G347" s="217">
        <v>-1.2768442303100258E-2</v>
      </c>
      <c r="H347" s="218">
        <v>-1.9735527037358369E-2</v>
      </c>
      <c r="I347" s="218">
        <v>-3.0677546546349133E-2</v>
      </c>
      <c r="J347" s="218">
        <v>-3.4815820067358616E-2</v>
      </c>
      <c r="K347" s="219">
        <v>-5.0709154984180382E-2</v>
      </c>
    </row>
    <row r="348" spans="1:11">
      <c r="A348" s="238"/>
      <c r="B348" s="276"/>
      <c r="C348" s="171"/>
      <c r="D348" s="171"/>
    </row>
    <row r="349" spans="1:11" ht="15.75">
      <c r="A349" s="284"/>
    </row>
    <row r="350" spans="1:11" ht="21">
      <c r="A350" s="78" t="s">
        <v>197</v>
      </c>
      <c r="B350" s="73"/>
      <c r="C350" s="73"/>
      <c r="D350" s="73"/>
      <c r="E350" s="73"/>
      <c r="F350" s="239"/>
      <c r="G350" s="239"/>
      <c r="H350" s="239"/>
      <c r="I350" s="239"/>
      <c r="J350" s="239"/>
      <c r="K350" s="239"/>
    </row>
    <row r="351" spans="1:11">
      <c r="E351" s="170"/>
    </row>
    <row r="352" spans="1:11" ht="16.5" thickBot="1">
      <c r="A352" s="91" t="s">
        <v>198</v>
      </c>
      <c r="B352" s="80"/>
      <c r="C352" s="80"/>
      <c r="D352" s="80"/>
      <c r="E352" s="80"/>
      <c r="F352" s="80"/>
      <c r="G352" s="80"/>
      <c r="H352" s="80"/>
      <c r="I352" s="80"/>
      <c r="J352" s="80"/>
      <c r="K352" s="80"/>
    </row>
    <row r="353" spans="1:11" ht="15.75" thickBot="1">
      <c r="A353" s="235" t="s">
        <v>51</v>
      </c>
      <c r="B353" s="178">
        <v>2000</v>
      </c>
      <c r="C353" s="178">
        <v>2020</v>
      </c>
      <c r="D353" s="178">
        <v>2025</v>
      </c>
      <c r="E353" s="178">
        <v>2030</v>
      </c>
      <c r="F353" s="178">
        <v>2050</v>
      </c>
      <c r="G353" s="197" t="s">
        <v>98</v>
      </c>
      <c r="H353" s="198" t="s">
        <v>99</v>
      </c>
      <c r="I353" s="198" t="s">
        <v>100</v>
      </c>
      <c r="J353" s="198" t="s">
        <v>101</v>
      </c>
      <c r="K353" s="199" t="s">
        <v>102</v>
      </c>
    </row>
    <row r="354" spans="1:11">
      <c r="A354" s="181" t="s">
        <v>103</v>
      </c>
      <c r="B354" s="209">
        <v>3.48</v>
      </c>
      <c r="C354" s="209">
        <v>3.02362860179693</v>
      </c>
      <c r="D354" s="209">
        <v>2.65</v>
      </c>
      <c r="E354" s="209">
        <v>2.28816075231342</v>
      </c>
      <c r="F354" s="209">
        <v>0.21812059733714201</v>
      </c>
      <c r="G354" s="203">
        <v>-2.1192749945424527E-3</v>
      </c>
      <c r="H354" s="204">
        <v>-2.1515527030530501E-2</v>
      </c>
      <c r="I354" s="204">
        <v>-2.6034696614973707E-2</v>
      </c>
      <c r="J354" s="204">
        <v>-2.8935379084694013E-2</v>
      </c>
      <c r="K354" s="205">
        <v>-0.1108797382107628</v>
      </c>
    </row>
    <row r="355" spans="1:11">
      <c r="A355" s="181" t="s">
        <v>54</v>
      </c>
      <c r="B355" s="209">
        <v>0.29509000000000002</v>
      </c>
      <c r="C355" s="209">
        <v>0.345557554491078</v>
      </c>
      <c r="D355" s="209">
        <v>0.41</v>
      </c>
      <c r="E355" s="209">
        <v>0.47763215046268398</v>
      </c>
      <c r="F355" s="209">
        <v>0.69442453716561003</v>
      </c>
      <c r="G355" s="211">
        <v>-2.5471521119387774E-2</v>
      </c>
      <c r="H355" s="212">
        <v>0.1151404629217756</v>
      </c>
      <c r="I355" s="212">
        <v>3.4791119493878142E-2</v>
      </c>
      <c r="J355" s="212">
        <v>3.1007772048435189E-2</v>
      </c>
      <c r="K355" s="213">
        <v>1.8888300141020276E-2</v>
      </c>
    </row>
    <row r="356" spans="1:11">
      <c r="A356" s="181" t="s">
        <v>42</v>
      </c>
      <c r="B356" s="209">
        <v>0</v>
      </c>
      <c r="C356" s="209">
        <v>0</v>
      </c>
      <c r="D356" s="209">
        <v>0</v>
      </c>
      <c r="E356" s="209">
        <v>0</v>
      </c>
      <c r="F356" s="209">
        <v>0</v>
      </c>
      <c r="G356" s="211"/>
      <c r="H356" s="212"/>
      <c r="I356" s="212"/>
      <c r="J356" s="212"/>
      <c r="K356" s="213"/>
    </row>
    <row r="357" spans="1:11">
      <c r="A357" s="181" t="s">
        <v>104</v>
      </c>
      <c r="B357" s="209">
        <v>0.51178999999999997</v>
      </c>
      <c r="C357" s="209">
        <v>0.77750449760492502</v>
      </c>
      <c r="D357" s="209">
        <v>0.73170616791472998</v>
      </c>
      <c r="E357" s="209">
        <v>0.77565894251492096</v>
      </c>
      <c r="F357" s="209">
        <v>0.708817452060579</v>
      </c>
      <c r="G357" s="211">
        <v>2.5486351829053122E-2</v>
      </c>
      <c r="H357" s="212">
        <v>8.1672110616808347E-3</v>
      </c>
      <c r="I357" s="212">
        <v>-1.2068663444770866E-2</v>
      </c>
      <c r="J357" s="212">
        <v>1.1735100919725738E-2</v>
      </c>
      <c r="K357" s="213">
        <v>-4.4956091372805318E-3</v>
      </c>
    </row>
    <row r="358" spans="1:11">
      <c r="A358" s="181" t="s">
        <v>105</v>
      </c>
      <c r="B358" s="209">
        <v>0</v>
      </c>
      <c r="C358" s="209">
        <v>0</v>
      </c>
      <c r="D358" s="209">
        <v>0</v>
      </c>
      <c r="E358" s="209">
        <v>0</v>
      </c>
      <c r="F358" s="209">
        <v>0</v>
      </c>
      <c r="G358" s="211"/>
      <c r="H358" s="212"/>
      <c r="I358" s="212"/>
      <c r="J358" s="212"/>
      <c r="K358" s="213"/>
    </row>
    <row r="359" spans="1:11">
      <c r="A359" s="181" t="s">
        <v>134</v>
      </c>
      <c r="B359" s="209">
        <v>7.0879999999999999E-2</v>
      </c>
      <c r="C359" s="209">
        <v>0.172778777245539</v>
      </c>
      <c r="D359" s="209">
        <v>0.19</v>
      </c>
      <c r="E359" s="209">
        <v>0.23881607523134199</v>
      </c>
      <c r="F359" s="209">
        <v>0.21917958954438899</v>
      </c>
      <c r="G359" s="211">
        <v>5.554891447930288E-2</v>
      </c>
      <c r="H359" s="212">
        <v>1.6150995791948342E-2</v>
      </c>
      <c r="I359" s="212">
        <v>1.9184102850383855E-2</v>
      </c>
      <c r="J359" s="212">
        <v>4.679584744416565E-2</v>
      </c>
      <c r="K359" s="213">
        <v>-4.2809235424272618E-3</v>
      </c>
    </row>
    <row r="360" spans="1:11">
      <c r="A360" s="181" t="s">
        <v>136</v>
      </c>
      <c r="B360" s="209">
        <v>0</v>
      </c>
      <c r="C360" s="209">
        <v>0</v>
      </c>
      <c r="D360" s="209">
        <v>0.05</v>
      </c>
      <c r="E360" s="209">
        <v>0.1</v>
      </c>
      <c r="F360" s="209">
        <v>0.44138721696761302</v>
      </c>
      <c r="G360" s="211"/>
      <c r="H360" s="212"/>
      <c r="I360" s="212"/>
      <c r="J360" s="212"/>
      <c r="K360" s="213"/>
    </row>
    <row r="361" spans="1:11">
      <c r="A361" s="181"/>
      <c r="B361" s="182"/>
      <c r="C361" s="182"/>
      <c r="D361" s="182"/>
      <c r="E361" s="182"/>
      <c r="F361" s="182"/>
      <c r="G361" s="211"/>
      <c r="H361" s="212"/>
      <c r="I361" s="212"/>
      <c r="J361" s="212"/>
      <c r="K361" s="213"/>
    </row>
    <row r="362" spans="1:11" ht="15.75" thickBot="1">
      <c r="A362" s="190" t="s">
        <v>10</v>
      </c>
      <c r="B362" s="226">
        <v>4.3577599999999999</v>
      </c>
      <c r="C362" s="226">
        <v>4.3194694311384723</v>
      </c>
      <c r="D362" s="226">
        <v>4.0317061679147299</v>
      </c>
      <c r="E362" s="226">
        <v>3.8802679205223671</v>
      </c>
      <c r="F362" s="226">
        <v>2.281929393075333</v>
      </c>
      <c r="G362" s="217">
        <v>1.8400208256650341E-3</v>
      </c>
      <c r="H362" s="218">
        <v>-7.2536715970948906E-3</v>
      </c>
      <c r="I362" s="218">
        <v>-1.3693957837460968E-2</v>
      </c>
      <c r="J362" s="218">
        <v>-7.6278491989812958E-3</v>
      </c>
      <c r="K362" s="219">
        <v>-2.6194945385892621E-2</v>
      </c>
    </row>
    <row r="363" spans="1:11" ht="15.75">
      <c r="A363" s="284"/>
    </row>
    <row r="364" spans="1:11" ht="15.75">
      <c r="A364" s="284"/>
    </row>
    <row r="365" spans="1:11" ht="21">
      <c r="A365" s="78" t="s">
        <v>199</v>
      </c>
      <c r="B365" s="73"/>
      <c r="C365" s="73"/>
      <c r="D365" s="73"/>
      <c r="E365" s="73"/>
      <c r="F365" s="239"/>
      <c r="G365" s="239"/>
      <c r="H365" s="239"/>
      <c r="I365" s="239"/>
      <c r="J365" s="239"/>
      <c r="K365" s="239"/>
    </row>
    <row r="366" spans="1:11">
      <c r="E366" s="170"/>
    </row>
    <row r="367" spans="1:11" ht="16.5" thickBot="1">
      <c r="A367" s="91" t="s">
        <v>200</v>
      </c>
      <c r="B367" s="80"/>
      <c r="C367" s="80"/>
      <c r="D367" s="80"/>
      <c r="E367" s="80"/>
      <c r="F367" s="80"/>
      <c r="G367" s="80"/>
      <c r="H367" s="80"/>
      <c r="I367" s="80"/>
      <c r="J367" s="80"/>
      <c r="K367" s="80"/>
    </row>
    <row r="368" spans="1:11" ht="15.75" thickBot="1">
      <c r="A368" s="235" t="s">
        <v>51</v>
      </c>
      <c r="B368" s="178">
        <v>2000</v>
      </c>
      <c r="C368" s="178">
        <v>2020</v>
      </c>
      <c r="D368" s="178">
        <v>2025</v>
      </c>
      <c r="E368" s="178">
        <v>2030</v>
      </c>
      <c r="F368" s="178">
        <v>2050</v>
      </c>
      <c r="G368" s="197" t="s">
        <v>98</v>
      </c>
      <c r="H368" s="198" t="s">
        <v>99</v>
      </c>
      <c r="I368" s="198" t="s">
        <v>100</v>
      </c>
      <c r="J368" s="198" t="s">
        <v>101</v>
      </c>
      <c r="K368" s="199" t="s">
        <v>102</v>
      </c>
    </row>
    <row r="369" spans="1:12">
      <c r="A369" s="181" t="s">
        <v>103</v>
      </c>
      <c r="B369" s="209">
        <v>22.800202114011181</v>
      </c>
      <c r="C369" s="209">
        <v>12.923454105444872</v>
      </c>
      <c r="D369" s="209">
        <v>9.5895397047905817</v>
      </c>
      <c r="E369" s="209">
        <v>5.7819887111288741</v>
      </c>
      <c r="F369" s="209">
        <v>0.56322748731722927</v>
      </c>
      <c r="G369" s="203">
        <v>-2.4663538264336649E-2</v>
      </c>
      <c r="H369" s="204">
        <v>-3.7890281959203409E-2</v>
      </c>
      <c r="I369" s="204">
        <v>-5.7928574077792616E-2</v>
      </c>
      <c r="J369" s="204">
        <v>-9.6234215255071476E-2</v>
      </c>
      <c r="K369" s="205">
        <v>-0.10991736125585239</v>
      </c>
    </row>
    <row r="370" spans="1:12">
      <c r="A370" s="181" t="s">
        <v>201</v>
      </c>
      <c r="B370" s="209">
        <v>42.525236267061452</v>
      </c>
      <c r="C370" s="209">
        <v>39.993700353435408</v>
      </c>
      <c r="D370" s="209">
        <v>35.251924461011193</v>
      </c>
      <c r="E370" s="209">
        <v>29.885055316714176</v>
      </c>
      <c r="F370" s="209">
        <v>4.9695590114814445</v>
      </c>
      <c r="G370" s="211"/>
      <c r="H370" s="212"/>
      <c r="I370" s="212"/>
      <c r="J370" s="212"/>
      <c r="K370" s="213"/>
    </row>
    <row r="371" spans="1:12">
      <c r="A371" s="181" t="s">
        <v>202</v>
      </c>
      <c r="B371" s="182">
        <v>32.847868625078455</v>
      </c>
      <c r="C371" s="182">
        <v>30.174638004964748</v>
      </c>
      <c r="D371" s="182">
        <v>27.065278972896436</v>
      </c>
      <c r="E371" s="182">
        <v>23.258694581457057</v>
      </c>
      <c r="F371" s="182">
        <v>7.1296876763004962</v>
      </c>
      <c r="G371" s="211">
        <v>-3.5564265792484839E-3</v>
      </c>
      <c r="H371" s="212">
        <v>-6.2689883644609923E-3</v>
      </c>
      <c r="I371" s="212">
        <v>-2.1515190497548575E-2</v>
      </c>
      <c r="J371" s="212">
        <v>-2.9859655615526393E-2</v>
      </c>
      <c r="K371" s="213">
        <v>-5.740689525726772E-2</v>
      </c>
    </row>
    <row r="372" spans="1:12">
      <c r="A372" s="181" t="s">
        <v>203</v>
      </c>
      <c r="B372" s="182">
        <v>0</v>
      </c>
      <c r="C372" s="182">
        <v>0.17718839974083389</v>
      </c>
      <c r="D372" s="182">
        <v>0.45902890397400081</v>
      </c>
      <c r="E372" s="182">
        <v>0.93047307809883106</v>
      </c>
      <c r="F372" s="182">
        <v>3.6028639370370201</v>
      </c>
      <c r="G372" s="211"/>
      <c r="H372" s="212"/>
      <c r="I372" s="212"/>
      <c r="J372" s="212"/>
      <c r="K372" s="213"/>
    </row>
    <row r="373" spans="1:12">
      <c r="A373" s="181" t="s">
        <v>42</v>
      </c>
      <c r="B373" s="182">
        <v>6.7202903804985699</v>
      </c>
      <c r="C373" s="182">
        <v>3.3198094170969599</v>
      </c>
      <c r="D373" s="182">
        <v>2.5423677932736588</v>
      </c>
      <c r="E373" s="182">
        <v>2.1404310060694471</v>
      </c>
      <c r="F373" s="182">
        <v>0.74476022441954859</v>
      </c>
      <c r="G373" s="211">
        <v>-2.6318420143024879E-2</v>
      </c>
      <c r="H373" s="212">
        <v>-5.920682005832234E-2</v>
      </c>
      <c r="I373" s="212">
        <v>-5.1963528653960478E-2</v>
      </c>
      <c r="J373" s="212">
        <v>-3.3832174138232918E-2</v>
      </c>
      <c r="K373" s="213">
        <v>-5.1416072065252116E-2</v>
      </c>
    </row>
    <row r="374" spans="1:12">
      <c r="A374" s="181" t="s">
        <v>104</v>
      </c>
      <c r="B374" s="182">
        <v>32.608098341652791</v>
      </c>
      <c r="C374" s="182">
        <v>37.447955077623732</v>
      </c>
      <c r="D374" s="182">
        <v>37.021432694702263</v>
      </c>
      <c r="E374" s="182">
        <v>36.727079284167004</v>
      </c>
      <c r="F374" s="182">
        <v>45.016078268538166</v>
      </c>
      <c r="G374" s="211">
        <v>9.1907997532998387E-3</v>
      </c>
      <c r="H374" s="212">
        <v>2.3184906988826803E-4</v>
      </c>
      <c r="I374" s="212">
        <v>-2.2883971074457721E-3</v>
      </c>
      <c r="J374" s="212">
        <v>-1.5952599823521041E-3</v>
      </c>
      <c r="K374" s="213">
        <v>1.0227213217079756E-2</v>
      </c>
    </row>
    <row r="375" spans="1:12">
      <c r="A375" s="181" t="s">
        <v>105</v>
      </c>
      <c r="B375" s="182">
        <v>3.6136280543802326</v>
      </c>
      <c r="C375" s="182">
        <v>3.8148615628395968</v>
      </c>
      <c r="D375" s="182">
        <v>4.2081695732746223</v>
      </c>
      <c r="E375" s="182">
        <v>4.4932148754867605</v>
      </c>
      <c r="F375" s="182">
        <v>4.2797913311968934</v>
      </c>
      <c r="G375" s="211">
        <v>1.0317444304028811E-3</v>
      </c>
      <c r="H375" s="212">
        <v>7.7748522900427108E-3</v>
      </c>
      <c r="I375" s="212">
        <v>1.9818509083845637E-2</v>
      </c>
      <c r="J375" s="212">
        <v>1.3194424429338492E-2</v>
      </c>
      <c r="K375" s="213">
        <v>-2.430252115850462E-3</v>
      </c>
      <c r="L375" s="285"/>
    </row>
    <row r="376" spans="1:12">
      <c r="A376" s="181" t="s">
        <v>106</v>
      </c>
      <c r="B376" s="209">
        <v>8.2636079446488786</v>
      </c>
      <c r="C376" s="209">
        <v>7.4792340395840489</v>
      </c>
      <c r="D376" s="209">
        <v>8.1936096524261401</v>
      </c>
      <c r="E376" s="209">
        <v>9.2879951420401436</v>
      </c>
      <c r="F376" s="209">
        <v>6.2547065010281511</v>
      </c>
      <c r="G376" s="211">
        <v>-1.5285416543815544E-2</v>
      </c>
      <c r="H376" s="212">
        <v>2.6612089801718586E-2</v>
      </c>
      <c r="I376" s="212">
        <v>1.8412284594735873E-2</v>
      </c>
      <c r="J376" s="212">
        <v>2.5390623734395268E-2</v>
      </c>
      <c r="K376" s="213">
        <v>-1.9575291367223024E-2</v>
      </c>
      <c r="L376" s="285"/>
    </row>
    <row r="377" spans="1:12">
      <c r="A377" s="181" t="s">
        <v>135</v>
      </c>
      <c r="B377" s="209">
        <v>2.0606803808999999E-2</v>
      </c>
      <c r="C377" s="209">
        <v>0.40661888915980982</v>
      </c>
      <c r="D377" s="209">
        <v>0.58609109640498669</v>
      </c>
      <c r="E377" s="209">
        <v>0.6897361816565879</v>
      </c>
      <c r="F377" s="209">
        <v>0.7545784485628344</v>
      </c>
      <c r="G377" s="211"/>
      <c r="H377" s="212"/>
      <c r="I377" s="212"/>
      <c r="J377" s="212"/>
      <c r="K377" s="213"/>
      <c r="L377" s="285"/>
    </row>
    <row r="378" spans="1:12">
      <c r="A378" s="181" t="s">
        <v>136</v>
      </c>
      <c r="B378" s="209">
        <v>0</v>
      </c>
      <c r="C378" s="209">
        <v>1.5762339690403815</v>
      </c>
      <c r="D378" s="209">
        <v>2.3973967126256399</v>
      </c>
      <c r="E378" s="209">
        <v>3.2469417094936275</v>
      </c>
      <c r="F378" s="209">
        <v>5.6245793298238835</v>
      </c>
      <c r="G378" s="211"/>
      <c r="H378" s="212"/>
      <c r="I378" s="212"/>
      <c r="J378" s="212"/>
      <c r="K378" s="213"/>
      <c r="L378" s="285"/>
    </row>
    <row r="379" spans="1:12">
      <c r="A379" s="181" t="s">
        <v>109</v>
      </c>
      <c r="B379" s="209">
        <v>0</v>
      </c>
      <c r="C379" s="209">
        <v>0</v>
      </c>
      <c r="D379" s="209">
        <v>0</v>
      </c>
      <c r="E379" s="209">
        <v>0</v>
      </c>
      <c r="F379" s="209">
        <v>8.5984522785898534E-2</v>
      </c>
      <c r="G379" s="211"/>
      <c r="H379" s="212"/>
      <c r="I379" s="212"/>
      <c r="J379" s="212"/>
      <c r="K379" s="213"/>
      <c r="L379" s="285"/>
    </row>
    <row r="380" spans="1:12">
      <c r="A380" s="181"/>
      <c r="B380" s="182"/>
      <c r="C380" s="182"/>
      <c r="D380" s="182"/>
      <c r="E380" s="182"/>
      <c r="F380" s="182"/>
      <c r="G380" s="211"/>
      <c r="H380" s="212"/>
      <c r="I380" s="212"/>
      <c r="J380" s="212"/>
      <c r="K380" s="213"/>
      <c r="L380" s="285"/>
    </row>
    <row r="381" spans="1:12" ht="15.75" thickBot="1">
      <c r="A381" s="190" t="s">
        <v>10</v>
      </c>
      <c r="B381" s="226">
        <v>149.39953853114051</v>
      </c>
      <c r="C381" s="226">
        <v>137.31369381893037</v>
      </c>
      <c r="D381" s="226">
        <v>127.3148395653795</v>
      </c>
      <c r="E381" s="226">
        <v>116.44160988631251</v>
      </c>
      <c r="F381" s="226">
        <v>79.025816738491571</v>
      </c>
      <c r="G381" s="217">
        <v>-3.5825120954279255E-3</v>
      </c>
      <c r="H381" s="218">
        <v>-6.0857999820592701E-3</v>
      </c>
      <c r="I381" s="218">
        <v>-1.5007246590185708E-2</v>
      </c>
      <c r="J381" s="218">
        <v>-1.7696175741339082E-2</v>
      </c>
      <c r="K381" s="219">
        <v>-1.919416792153894E-2</v>
      </c>
    </row>
    <row r="382" spans="1:12">
      <c r="A382" s="286"/>
      <c r="E382" s="287"/>
      <c r="F382" s="287"/>
      <c r="G382" s="287"/>
    </row>
    <row r="383" spans="1:12">
      <c r="A383" s="288"/>
      <c r="E383" s="287"/>
      <c r="F383" s="287"/>
      <c r="G383" s="287"/>
    </row>
    <row r="384" spans="1:12" ht="16.5" thickBot="1">
      <c r="A384" s="91" t="s">
        <v>204</v>
      </c>
      <c r="B384" s="80"/>
      <c r="C384" s="80"/>
      <c r="D384" s="80"/>
      <c r="E384" s="80"/>
      <c r="F384" s="80"/>
      <c r="G384" s="80"/>
      <c r="H384" s="80"/>
      <c r="I384" s="80"/>
      <c r="J384" s="80"/>
      <c r="K384" s="80"/>
    </row>
    <row r="385" spans="1:11" ht="15.75" thickBot="1">
      <c r="A385" s="235" t="s">
        <v>51</v>
      </c>
      <c r="B385" s="178">
        <v>2000</v>
      </c>
      <c r="C385" s="178">
        <v>2020</v>
      </c>
      <c r="D385" s="178">
        <v>2025</v>
      </c>
      <c r="E385" s="178">
        <v>2030</v>
      </c>
      <c r="F385" s="178">
        <v>2050</v>
      </c>
      <c r="G385" s="197" t="s">
        <v>98</v>
      </c>
      <c r="H385" s="198" t="s">
        <v>99</v>
      </c>
      <c r="I385" s="198" t="s">
        <v>100</v>
      </c>
      <c r="J385" s="198" t="s">
        <v>101</v>
      </c>
      <c r="K385" s="199" t="s">
        <v>102</v>
      </c>
    </row>
    <row r="386" spans="1:11">
      <c r="A386" s="289" t="s">
        <v>78</v>
      </c>
      <c r="B386" s="182">
        <v>38.915922087477441</v>
      </c>
      <c r="C386" s="182">
        <v>31.308711078110491</v>
      </c>
      <c r="D386" s="182">
        <v>29.635626821361569</v>
      </c>
      <c r="E386" s="182">
        <v>27.499902680015332</v>
      </c>
      <c r="F386" s="182">
        <v>22.436954513361478</v>
      </c>
      <c r="G386" s="203">
        <v>-1.3273030719028855E-2</v>
      </c>
      <c r="H386" s="204">
        <v>-3.4098804545312777E-3</v>
      </c>
      <c r="I386" s="204">
        <v>-1.0923722377949918E-2</v>
      </c>
      <c r="J386" s="204">
        <v>-1.484762675992457E-2</v>
      </c>
      <c r="K386" s="205">
        <v>-1.0122078981262161E-2</v>
      </c>
    </row>
    <row r="387" spans="1:11">
      <c r="A387" s="289" t="s">
        <v>80</v>
      </c>
      <c r="B387" s="182">
        <v>42.776692372461667</v>
      </c>
      <c r="C387" s="182">
        <v>39.148351845848893</v>
      </c>
      <c r="D387" s="182">
        <v>36.349130124418281</v>
      </c>
      <c r="E387" s="182">
        <v>33.411962830782613</v>
      </c>
      <c r="F387" s="182">
        <v>23.664254021098639</v>
      </c>
      <c r="G387" s="211">
        <v>-2.7444237679368211E-3</v>
      </c>
      <c r="H387" s="212">
        <v>-9.437605874686672E-3</v>
      </c>
      <c r="I387" s="212">
        <v>-1.4728075072347302E-2</v>
      </c>
      <c r="J387" s="212">
        <v>-1.6710065541940655E-2</v>
      </c>
      <c r="K387" s="213">
        <v>-1.7099532918173233E-2</v>
      </c>
    </row>
    <row r="388" spans="1:11">
      <c r="A388" s="289" t="s">
        <v>81</v>
      </c>
      <c r="B388" s="182">
        <v>20.017227804139996</v>
      </c>
      <c r="C388" s="182">
        <v>21.152985368887055</v>
      </c>
      <c r="D388" s="182">
        <v>19.521773317261111</v>
      </c>
      <c r="E388" s="182">
        <v>17.728866863743995</v>
      </c>
      <c r="F388" s="182">
        <v>13.85971890133378</v>
      </c>
      <c r="G388" s="211">
        <v>6.1939804284143474E-3</v>
      </c>
      <c r="H388" s="212">
        <v>-7.459120426147603E-3</v>
      </c>
      <c r="I388" s="212">
        <v>-1.5922008030237689E-2</v>
      </c>
      <c r="J388" s="212">
        <v>-1.9082816168849881E-2</v>
      </c>
      <c r="K388" s="213">
        <v>-1.2234912067208059E-2</v>
      </c>
    </row>
    <row r="389" spans="1:11">
      <c r="A389" s="289" t="s">
        <v>82</v>
      </c>
      <c r="B389" s="182">
        <v>4.3577599999999999</v>
      </c>
      <c r="C389" s="182">
        <v>4.3194694311384723</v>
      </c>
      <c r="D389" s="182">
        <v>4.0317061679147299</v>
      </c>
      <c r="E389" s="182">
        <v>3.8802679205223671</v>
      </c>
      <c r="F389" s="182">
        <v>2.281929393075333</v>
      </c>
      <c r="G389" s="211">
        <v>1.8400208256650341E-3</v>
      </c>
      <c r="H389" s="212">
        <v>-7.2536715970948906E-3</v>
      </c>
      <c r="I389" s="212">
        <v>-1.3693957837460968E-2</v>
      </c>
      <c r="J389" s="212">
        <v>-7.6278491989812958E-3</v>
      </c>
      <c r="K389" s="213">
        <v>-2.6194945385892621E-2</v>
      </c>
    </row>
    <row r="390" spans="1:11">
      <c r="A390" s="289" t="s">
        <v>79</v>
      </c>
      <c r="B390" s="182">
        <v>43.331936267061451</v>
      </c>
      <c r="C390" s="182">
        <v>41.384176094945474</v>
      </c>
      <c r="D390" s="182">
        <v>37.77660313442383</v>
      </c>
      <c r="E390" s="182">
        <v>33.920609591248201</v>
      </c>
      <c r="F390" s="182">
        <v>16.782959909622335</v>
      </c>
      <c r="G390" s="211">
        <v>-1.7114473081362158E-3</v>
      </c>
      <c r="H390" s="212">
        <v>-4.0512974285620285E-3</v>
      </c>
      <c r="I390" s="212">
        <v>-1.8076355074965966E-2</v>
      </c>
      <c r="J390" s="212">
        <v>-2.1303243667912808E-2</v>
      </c>
      <c r="K390" s="213">
        <v>-3.4571210691747067E-2</v>
      </c>
    </row>
    <row r="391" spans="1:11">
      <c r="A391" s="289"/>
      <c r="B391" s="182"/>
      <c r="C391" s="182"/>
      <c r="D391" s="182"/>
      <c r="E391" s="182"/>
      <c r="F391" s="182"/>
      <c r="G391" s="211"/>
      <c r="H391" s="212"/>
      <c r="I391" s="212"/>
      <c r="J391" s="212"/>
      <c r="K391" s="213"/>
    </row>
    <row r="392" spans="1:11" ht="15.75" thickBot="1">
      <c r="A392" s="290" t="s">
        <v>10</v>
      </c>
      <c r="B392" s="226">
        <v>149.39953853114054</v>
      </c>
      <c r="C392" s="226">
        <v>137.3136938189304</v>
      </c>
      <c r="D392" s="226">
        <v>127.31483956537951</v>
      </c>
      <c r="E392" s="226">
        <v>116.44160988631251</v>
      </c>
      <c r="F392" s="226">
        <v>79.025816738491557</v>
      </c>
      <c r="G392" s="217">
        <v>-3.5825120954279255E-3</v>
      </c>
      <c r="H392" s="218">
        <v>-6.0857999820591591E-3</v>
      </c>
      <c r="I392" s="218">
        <v>-1.5007246590185708E-2</v>
      </c>
      <c r="J392" s="218">
        <v>-1.7696175741339082E-2</v>
      </c>
      <c r="K392" s="219">
        <v>-1.919416792153894E-2</v>
      </c>
    </row>
    <row r="393" spans="1:11" ht="15.75">
      <c r="A393" s="284"/>
    </row>
    <row r="394" spans="1:11" ht="15.75">
      <c r="A394" s="284"/>
    </row>
    <row r="395" spans="1:11" ht="16.5" thickBot="1">
      <c r="A395" s="91" t="s">
        <v>205</v>
      </c>
      <c r="B395" s="277"/>
      <c r="C395" s="80"/>
      <c r="D395" s="80"/>
      <c r="E395" s="80"/>
      <c r="F395" s="80"/>
      <c r="G395" s="80"/>
      <c r="H395" s="80"/>
      <c r="I395" s="80"/>
      <c r="J395" s="80"/>
      <c r="K395" s="80"/>
    </row>
    <row r="396" spans="1:11" ht="15.75" thickBot="1">
      <c r="A396" s="177"/>
      <c r="B396" s="178">
        <v>2000</v>
      </c>
      <c r="C396" s="178">
        <v>2020</v>
      </c>
      <c r="D396" s="178">
        <v>2025</v>
      </c>
      <c r="E396" s="178">
        <v>2030</v>
      </c>
      <c r="F396" s="178">
        <v>2050</v>
      </c>
      <c r="G396" s="197" t="s">
        <v>98</v>
      </c>
      <c r="H396" s="198" t="s">
        <v>99</v>
      </c>
      <c r="I396" s="198" t="s">
        <v>100</v>
      </c>
      <c r="J396" s="198" t="s">
        <v>101</v>
      </c>
      <c r="K396" s="199" t="s">
        <v>102</v>
      </c>
    </row>
    <row r="397" spans="1:11">
      <c r="A397" s="181" t="s">
        <v>196</v>
      </c>
      <c r="B397" s="291">
        <v>8.4325480727922203E-2</v>
      </c>
      <c r="C397" s="291">
        <v>6.0575772345215169E-2</v>
      </c>
      <c r="D397" s="291">
        <v>5.265224715987242E-2</v>
      </c>
      <c r="E397" s="291">
        <v>4.4921713648756446E-2</v>
      </c>
      <c r="F397" s="291">
        <v>2.1761962074707864E-2</v>
      </c>
      <c r="G397" s="211">
        <v>-1.4618783268674718E-2</v>
      </c>
      <c r="H397" s="212">
        <v>-2.1737990184502287E-2</v>
      </c>
      <c r="I397" s="212">
        <v>-2.764782444752989E-2</v>
      </c>
      <c r="J397" s="212">
        <v>-3.1258553859877525E-2</v>
      </c>
      <c r="K397" s="213">
        <v>-3.5589152259137946E-2</v>
      </c>
    </row>
    <row r="398" spans="1:11">
      <c r="A398" s="181" t="s">
        <v>206</v>
      </c>
      <c r="B398" s="268">
        <v>214.04976557185552</v>
      </c>
      <c r="C398" s="268">
        <v>192.12900424277692</v>
      </c>
      <c r="D398" s="268">
        <v>178.06182507702849</v>
      </c>
      <c r="E398" s="268">
        <v>164.78368899653216</v>
      </c>
      <c r="F398" s="268">
        <v>144.17050777866757</v>
      </c>
      <c r="G398" s="211">
        <v>-1.98694799483079E-3</v>
      </c>
      <c r="H398" s="212">
        <v>-1.5519831656577554E-2</v>
      </c>
      <c r="I398" s="212">
        <v>-1.5092198101798626E-2</v>
      </c>
      <c r="J398" s="212">
        <v>-1.537993867855858E-2</v>
      </c>
      <c r="K398" s="213">
        <v>-6.6595739495622919E-3</v>
      </c>
    </row>
    <row r="399" spans="1:11">
      <c r="A399" s="181" t="s">
        <v>150</v>
      </c>
      <c r="B399" s="253">
        <v>2.5383047084702253</v>
      </c>
      <c r="C399" s="253">
        <v>2.0905896887559474</v>
      </c>
      <c r="D399" s="253">
        <v>1.9028940581530103</v>
      </c>
      <c r="E399" s="253">
        <v>1.7110907815790266</v>
      </c>
      <c r="F399" s="253">
        <v>1.1025037736349335</v>
      </c>
      <c r="G399" s="211">
        <v>-9.4269338035228856E-3</v>
      </c>
      <c r="H399" s="212">
        <v>-1.0341261228513532E-2</v>
      </c>
      <c r="I399" s="212">
        <v>-1.8638172082507065E-2</v>
      </c>
      <c r="J399" s="212">
        <v>-2.102480410428953E-2</v>
      </c>
      <c r="K399" s="213">
        <v>-2.1737622229799247E-2</v>
      </c>
    </row>
    <row r="400" spans="1:11" ht="15.75" thickBot="1">
      <c r="A400" s="190" t="s">
        <v>151</v>
      </c>
      <c r="B400" s="292">
        <v>6443.1714246733154</v>
      </c>
      <c r="C400" s="292">
        <v>6630.751860527027</v>
      </c>
      <c r="D400" s="292">
        <v>6435.2958743457202</v>
      </c>
      <c r="E400" s="292">
        <v>6276.6940148632757</v>
      </c>
      <c r="F400" s="292">
        <v>7303.9613030838946</v>
      </c>
      <c r="G400" s="217">
        <v>3.2714570186680447E-3</v>
      </c>
      <c r="H400" s="218">
        <v>-4.0506613028475913E-3</v>
      </c>
      <c r="I400" s="218">
        <v>-5.9662074064421589E-3</v>
      </c>
      <c r="J400" s="218">
        <v>-4.9784478039357483E-3</v>
      </c>
      <c r="K400" s="219">
        <v>7.6074625245969862E-3</v>
      </c>
    </row>
    <row r="401" spans="1:1" ht="15.75">
      <c r="A401" s="284"/>
    </row>
    <row r="402" spans="1:1" ht="15.75">
      <c r="A402" s="284"/>
    </row>
    <row r="427" spans="2:13"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M427" s="293"/>
    </row>
    <row r="428" spans="2:13"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M428" s="207"/>
    </row>
    <row r="429" spans="2:13"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M429" s="206"/>
    </row>
    <row r="541" spans="2:11"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</row>
    <row r="542" spans="2:11"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</row>
    <row r="543" spans="2:11"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</row>
    <row r="544" spans="2:11"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</row>
    <row r="545" spans="2:11"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</row>
    <row r="546" spans="2:11"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</row>
    <row r="547" spans="2:11"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</row>
    <row r="548" spans="2:11"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</row>
    <row r="549" spans="2:11"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</row>
    <row r="550" spans="2:11"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</row>
    <row r="551" spans="2:11"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</row>
    <row r="552" spans="2:11"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</row>
    <row r="553" spans="2:11"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</row>
    <row r="554" spans="2:11"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</row>
    <row r="555" spans="2:11"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</row>
    <row r="556" spans="2:11"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</row>
    <row r="557" spans="2:11"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</row>
    <row r="558" spans="2:11"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</row>
    <row r="559" spans="2:11"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</row>
    <row r="560" spans="2:11"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</row>
    <row r="561" spans="1:77"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</row>
    <row r="562" spans="1:77"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</row>
    <row r="563" spans="1:77"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</row>
    <row r="564" spans="1:77">
      <c r="A564" s="171"/>
      <c r="B564" s="171"/>
      <c r="C564" s="171"/>
      <c r="D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1"/>
      <c r="AT564" s="171"/>
      <c r="AU564" s="171"/>
      <c r="AV564" s="171"/>
      <c r="AW564" s="171"/>
      <c r="AX564" s="171"/>
      <c r="AY564" s="171"/>
      <c r="AZ564" s="171"/>
      <c r="BA564" s="171"/>
      <c r="BB564" s="171"/>
      <c r="BC564" s="171"/>
      <c r="BD564" s="171"/>
      <c r="BE564" s="171"/>
      <c r="BF564" s="171"/>
      <c r="BG564" s="171"/>
      <c r="BH564" s="171"/>
      <c r="BI564" s="171"/>
      <c r="BJ564" s="171"/>
      <c r="BK564" s="171"/>
      <c r="BL564" s="171"/>
      <c r="BM564" s="171"/>
      <c r="BN564" s="171"/>
      <c r="BO564" s="171"/>
      <c r="BP564" s="171"/>
      <c r="BQ564" s="171"/>
      <c r="BR564" s="171"/>
      <c r="BS564" s="171"/>
      <c r="BT564" s="171"/>
      <c r="BU564" s="171"/>
      <c r="BV564" s="171"/>
      <c r="BW564" s="171"/>
      <c r="BX564" s="171"/>
      <c r="BY564" s="171"/>
    </row>
    <row r="565" spans="1:77">
      <c r="A565" s="171"/>
      <c r="B565" s="171"/>
      <c r="C565" s="171"/>
      <c r="D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1"/>
      <c r="AT565" s="171"/>
      <c r="AU565" s="171"/>
      <c r="AV565" s="171"/>
      <c r="AW565" s="171"/>
      <c r="AX565" s="171"/>
      <c r="AY565" s="171"/>
      <c r="AZ565" s="171"/>
      <c r="BA565" s="171"/>
      <c r="BB565" s="171"/>
      <c r="BC565" s="171"/>
      <c r="BD565" s="171"/>
      <c r="BE565" s="171"/>
      <c r="BF565" s="171"/>
      <c r="BG565" s="171"/>
      <c r="BH565" s="171"/>
      <c r="BI565" s="171"/>
      <c r="BJ565" s="171"/>
      <c r="BK565" s="171"/>
      <c r="BL565" s="171"/>
      <c r="BM565" s="171"/>
      <c r="BN565" s="171"/>
      <c r="BO565" s="171"/>
      <c r="BP565" s="171"/>
      <c r="BQ565" s="171"/>
      <c r="BR565" s="171"/>
      <c r="BS565" s="171"/>
      <c r="BT565" s="171"/>
      <c r="BU565" s="171"/>
      <c r="BV565" s="171"/>
      <c r="BW565" s="171"/>
      <c r="BX565" s="171"/>
      <c r="BY565" s="171"/>
    </row>
    <row r="566" spans="1:77">
      <c r="A566" s="171"/>
      <c r="B566" s="171"/>
      <c r="C566" s="171"/>
      <c r="D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1"/>
      <c r="AT566" s="171"/>
      <c r="AU566" s="171"/>
      <c r="AV566" s="171"/>
      <c r="AW566" s="171"/>
      <c r="AX566" s="171"/>
      <c r="AY566" s="171"/>
      <c r="AZ566" s="171"/>
      <c r="BA566" s="171"/>
      <c r="BB566" s="171"/>
      <c r="BC566" s="171"/>
      <c r="BD566" s="171"/>
      <c r="BE566" s="171"/>
      <c r="BF566" s="171"/>
      <c r="BG566" s="171"/>
      <c r="BH566" s="171"/>
      <c r="BI566" s="171"/>
      <c r="BJ566" s="171"/>
      <c r="BK566" s="171"/>
      <c r="BL566" s="171"/>
      <c r="BM566" s="171"/>
      <c r="BN566" s="171"/>
      <c r="BO566" s="171"/>
      <c r="BP566" s="171"/>
      <c r="BQ566" s="171"/>
      <c r="BR566" s="171"/>
      <c r="BS566" s="171"/>
      <c r="BT566" s="171"/>
      <c r="BU566" s="171"/>
      <c r="BV566" s="171"/>
      <c r="BW566" s="171"/>
      <c r="BX566" s="171"/>
      <c r="BY566" s="171"/>
    </row>
    <row r="567" spans="1:77">
      <c r="A567" s="171"/>
      <c r="B567" s="171"/>
      <c r="C567" s="171"/>
      <c r="D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1"/>
      <c r="AT567" s="171"/>
      <c r="AU567" s="171"/>
      <c r="AV567" s="171"/>
      <c r="AW567" s="171"/>
      <c r="AX567" s="171"/>
      <c r="AY567" s="171"/>
      <c r="AZ567" s="171"/>
      <c r="BA567" s="171"/>
      <c r="BB567" s="171"/>
      <c r="BC567" s="171"/>
      <c r="BD567" s="171"/>
      <c r="BE567" s="171"/>
      <c r="BF567" s="171"/>
      <c r="BG567" s="171"/>
      <c r="BH567" s="171"/>
      <c r="BI567" s="171"/>
      <c r="BJ567" s="171"/>
      <c r="BK567" s="171"/>
      <c r="BL567" s="171"/>
      <c r="BM567" s="171"/>
      <c r="BN567" s="171"/>
      <c r="BO567" s="171"/>
      <c r="BP567" s="171"/>
      <c r="BQ567" s="171"/>
      <c r="BR567" s="171"/>
      <c r="BS567" s="171"/>
      <c r="BT567" s="171"/>
      <c r="BU567" s="171"/>
      <c r="BV567" s="171"/>
      <c r="BW567" s="171"/>
      <c r="BX567" s="171"/>
      <c r="BY567" s="171"/>
    </row>
    <row r="568" spans="1:77"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</row>
    <row r="569" spans="1:77">
      <c r="A569" s="171"/>
      <c r="B569" s="171"/>
      <c r="C569" s="171"/>
      <c r="D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1"/>
      <c r="AT569" s="171"/>
      <c r="AU569" s="171"/>
      <c r="AV569" s="171"/>
      <c r="AW569" s="171"/>
      <c r="AX569" s="171"/>
      <c r="AY569" s="171"/>
      <c r="AZ569" s="171"/>
      <c r="BA569" s="171"/>
      <c r="BB569" s="171"/>
      <c r="BC569" s="171"/>
      <c r="BD569" s="171"/>
      <c r="BE569" s="171"/>
      <c r="BF569" s="171"/>
      <c r="BG569" s="171"/>
      <c r="BH569" s="171"/>
      <c r="BI569" s="171"/>
      <c r="BJ569" s="171"/>
      <c r="BK569" s="171"/>
      <c r="BL569" s="171"/>
      <c r="BM569" s="171"/>
      <c r="BN569" s="171"/>
      <c r="BO569" s="171"/>
      <c r="BP569" s="171"/>
      <c r="BQ569" s="171"/>
      <c r="BR569" s="171"/>
      <c r="BS569" s="171"/>
      <c r="BT569" s="171"/>
      <c r="BU569" s="171"/>
      <c r="BV569" s="171"/>
      <c r="BW569" s="171"/>
      <c r="BX569" s="171"/>
      <c r="BY569" s="171"/>
    </row>
    <row r="570" spans="1:77">
      <c r="A570" s="171"/>
      <c r="B570" s="171"/>
      <c r="C570" s="171"/>
      <c r="D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1"/>
      <c r="AT570" s="171"/>
      <c r="AU570" s="171"/>
      <c r="AV570" s="171"/>
      <c r="AW570" s="171"/>
      <c r="AX570" s="171"/>
      <c r="AY570" s="171"/>
      <c r="AZ570" s="171"/>
      <c r="BA570" s="171"/>
      <c r="BB570" s="171"/>
      <c r="BC570" s="171"/>
      <c r="BD570" s="171"/>
      <c r="BE570" s="171"/>
      <c r="BF570" s="171"/>
      <c r="BG570" s="171"/>
      <c r="BH570" s="171"/>
      <c r="BI570" s="171"/>
      <c r="BJ570" s="171"/>
      <c r="BK570" s="171"/>
      <c r="BL570" s="171"/>
      <c r="BM570" s="171"/>
      <c r="BN570" s="171"/>
      <c r="BO570" s="171"/>
      <c r="BP570" s="171"/>
      <c r="BQ570" s="171"/>
      <c r="BR570" s="171"/>
      <c r="BS570" s="171"/>
      <c r="BT570" s="171"/>
      <c r="BU570" s="171"/>
      <c r="BV570" s="171"/>
      <c r="BW570" s="171"/>
      <c r="BX570" s="171"/>
      <c r="BY570" s="171"/>
    </row>
    <row r="571" spans="1:77">
      <c r="A571" s="171"/>
      <c r="B571" s="171"/>
      <c r="C571" s="171"/>
      <c r="D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1"/>
      <c r="AT571" s="171"/>
      <c r="AU571" s="171"/>
      <c r="AV571" s="171"/>
      <c r="AW571" s="171"/>
      <c r="AX571" s="171"/>
      <c r="AY571" s="171"/>
      <c r="AZ571" s="171"/>
      <c r="BA571" s="171"/>
      <c r="BB571" s="171"/>
      <c r="BC571" s="171"/>
      <c r="BD571" s="171"/>
      <c r="BE571" s="171"/>
      <c r="BF571" s="171"/>
      <c r="BG571" s="171"/>
      <c r="BH571" s="171"/>
      <c r="BI571" s="171"/>
      <c r="BJ571" s="171"/>
      <c r="BK571" s="171"/>
      <c r="BL571" s="171"/>
      <c r="BM571" s="171"/>
      <c r="BN571" s="171"/>
      <c r="BO571" s="171"/>
      <c r="BP571" s="171"/>
      <c r="BQ571" s="171"/>
      <c r="BR571" s="171"/>
      <c r="BS571" s="171"/>
      <c r="BT571" s="171"/>
      <c r="BU571" s="171"/>
      <c r="BV571" s="171"/>
      <c r="BW571" s="171"/>
      <c r="BX571" s="171"/>
      <c r="BY571" s="171"/>
    </row>
    <row r="572" spans="1:77">
      <c r="A572" s="171"/>
      <c r="B572" s="171"/>
      <c r="C572" s="171"/>
      <c r="D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1"/>
      <c r="AT572" s="171"/>
      <c r="AU572" s="171"/>
      <c r="AV572" s="171"/>
      <c r="AW572" s="171"/>
      <c r="AX572" s="171"/>
      <c r="AY572" s="171"/>
      <c r="AZ572" s="171"/>
      <c r="BA572" s="171"/>
      <c r="BB572" s="171"/>
      <c r="BC572" s="171"/>
      <c r="BD572" s="171"/>
      <c r="BE572" s="171"/>
      <c r="BF572" s="171"/>
      <c r="BG572" s="171"/>
      <c r="BH572" s="171"/>
      <c r="BI572" s="171"/>
      <c r="BJ572" s="171"/>
      <c r="BK572" s="171"/>
      <c r="BL572" s="171"/>
      <c r="BM572" s="171"/>
      <c r="BN572" s="171"/>
      <c r="BO572" s="171"/>
      <c r="BP572" s="171"/>
      <c r="BQ572" s="171"/>
      <c r="BR572" s="171"/>
      <c r="BS572" s="171"/>
      <c r="BT572" s="171"/>
      <c r="BU572" s="171"/>
      <c r="BV572" s="171"/>
      <c r="BW572" s="171"/>
      <c r="BX572" s="171"/>
      <c r="BY572" s="171"/>
    </row>
    <row r="573" spans="1:77">
      <c r="A573" s="171"/>
      <c r="B573" s="171"/>
      <c r="C573" s="171"/>
      <c r="D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1"/>
      <c r="AT573" s="171"/>
      <c r="AU573" s="171"/>
      <c r="AV573" s="171"/>
      <c r="AW573" s="171"/>
      <c r="AX573" s="171"/>
      <c r="AY573" s="171"/>
      <c r="AZ573" s="171"/>
      <c r="BA573" s="171"/>
      <c r="BB573" s="171"/>
      <c r="BC573" s="171"/>
      <c r="BD573" s="171"/>
      <c r="BE573" s="171"/>
      <c r="BF573" s="171"/>
      <c r="BG573" s="171"/>
      <c r="BH573" s="171"/>
      <c r="BI573" s="171"/>
      <c r="BJ573" s="171"/>
      <c r="BK573" s="171"/>
      <c r="BL573" s="171"/>
      <c r="BM573" s="171"/>
      <c r="BN573" s="171"/>
      <c r="BO573" s="171"/>
      <c r="BP573" s="171"/>
      <c r="BQ573" s="171"/>
      <c r="BR573" s="171"/>
      <c r="BS573" s="171"/>
      <c r="BT573" s="171"/>
      <c r="BU573" s="171"/>
      <c r="BV573" s="171"/>
      <c r="BW573" s="171"/>
      <c r="BX573" s="171"/>
      <c r="BY573" s="171"/>
    </row>
    <row r="574" spans="1:77">
      <c r="A574" s="171"/>
      <c r="B574" s="171"/>
      <c r="C574" s="171"/>
      <c r="D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171"/>
      <c r="AR574" s="171"/>
      <c r="AS574" s="171"/>
      <c r="AT574" s="171"/>
      <c r="AU574" s="171"/>
      <c r="AV574" s="171"/>
      <c r="AW574" s="171"/>
      <c r="AX574" s="171"/>
      <c r="AY574" s="171"/>
      <c r="AZ574" s="171"/>
      <c r="BA574" s="171"/>
      <c r="BB574" s="171"/>
      <c r="BC574" s="171"/>
      <c r="BD574" s="171"/>
      <c r="BE574" s="171"/>
      <c r="BF574" s="171"/>
      <c r="BG574" s="171"/>
      <c r="BH574" s="171"/>
      <c r="BI574" s="171"/>
      <c r="BJ574" s="171"/>
      <c r="BK574" s="171"/>
      <c r="BL574" s="171"/>
      <c r="BM574" s="171"/>
      <c r="BN574" s="171"/>
      <c r="BO574" s="171"/>
      <c r="BP574" s="171"/>
      <c r="BQ574" s="171"/>
      <c r="BR574" s="171"/>
      <c r="BS574" s="171"/>
      <c r="BT574" s="171"/>
      <c r="BU574" s="171"/>
      <c r="BV574" s="171"/>
      <c r="BW574" s="171"/>
      <c r="BX574" s="171"/>
      <c r="BY574" s="171"/>
    </row>
    <row r="575" spans="1:77">
      <c r="A575" s="171"/>
      <c r="B575" s="171"/>
      <c r="C575" s="171"/>
      <c r="D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  <c r="AF575" s="171"/>
      <c r="AG575" s="171"/>
      <c r="AH575" s="171"/>
      <c r="AI575" s="171"/>
      <c r="AJ575" s="171"/>
      <c r="AK575" s="171"/>
      <c r="AL575" s="171"/>
      <c r="AM575" s="171"/>
      <c r="AN575" s="171"/>
      <c r="AO575" s="171"/>
      <c r="AP575" s="171"/>
      <c r="AQ575" s="171"/>
      <c r="AR575" s="171"/>
      <c r="AS575" s="171"/>
      <c r="AT575" s="171"/>
      <c r="AU575" s="171"/>
      <c r="AV575" s="171"/>
      <c r="AW575" s="171"/>
      <c r="AX575" s="171"/>
      <c r="AY575" s="171"/>
      <c r="AZ575" s="171"/>
      <c r="BA575" s="171"/>
      <c r="BB575" s="171"/>
      <c r="BC575" s="171"/>
      <c r="BD575" s="171"/>
      <c r="BE575" s="171"/>
      <c r="BF575" s="171"/>
      <c r="BG575" s="171"/>
      <c r="BH575" s="171"/>
      <c r="BI575" s="171"/>
      <c r="BJ575" s="171"/>
      <c r="BK575" s="171"/>
      <c r="BL575" s="171"/>
      <c r="BM575" s="171"/>
      <c r="BN575" s="171"/>
      <c r="BO575" s="171"/>
      <c r="BP575" s="171"/>
      <c r="BQ575" s="171"/>
      <c r="BR575" s="171"/>
      <c r="BS575" s="171"/>
      <c r="BT575" s="171"/>
      <c r="BU575" s="171"/>
      <c r="BV575" s="171"/>
      <c r="BW575" s="171"/>
      <c r="BX575" s="171"/>
      <c r="BY575" s="171"/>
    </row>
    <row r="576" spans="1:77">
      <c r="A576" s="171"/>
      <c r="B576" s="171"/>
      <c r="C576" s="171"/>
      <c r="D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171"/>
      <c r="AR576" s="171"/>
      <c r="AS576" s="171"/>
      <c r="AT576" s="171"/>
      <c r="AU576" s="171"/>
      <c r="AV576" s="171"/>
      <c r="AW576" s="171"/>
      <c r="AX576" s="171"/>
      <c r="AY576" s="171"/>
      <c r="AZ576" s="171"/>
      <c r="BA576" s="171"/>
      <c r="BB576" s="171"/>
      <c r="BC576" s="171"/>
      <c r="BD576" s="171"/>
      <c r="BE576" s="171"/>
      <c r="BF576" s="171"/>
      <c r="BG576" s="171"/>
      <c r="BH576" s="171"/>
      <c r="BI576" s="171"/>
      <c r="BJ576" s="171"/>
      <c r="BK576" s="171"/>
      <c r="BL576" s="171"/>
      <c r="BM576" s="171"/>
      <c r="BN576" s="171"/>
      <c r="BO576" s="171"/>
      <c r="BP576" s="171"/>
      <c r="BQ576" s="171"/>
      <c r="BR576" s="171"/>
      <c r="BS576" s="171"/>
      <c r="BT576" s="171"/>
      <c r="BU576" s="171"/>
      <c r="BV576" s="171"/>
      <c r="BW576" s="171"/>
      <c r="BX576" s="171"/>
      <c r="BY576" s="171"/>
    </row>
    <row r="577" spans="1:77">
      <c r="A577" s="171"/>
      <c r="B577" s="171"/>
      <c r="C577" s="171"/>
      <c r="D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  <c r="AF577" s="171"/>
      <c r="AG577" s="171"/>
      <c r="AH577" s="171"/>
      <c r="AI577" s="171"/>
      <c r="AJ577" s="171"/>
      <c r="AK577" s="171"/>
      <c r="AL577" s="171"/>
      <c r="AM577" s="171"/>
      <c r="AN577" s="171"/>
      <c r="AO577" s="171"/>
      <c r="AP577" s="171"/>
      <c r="AQ577" s="171"/>
      <c r="AR577" s="171"/>
      <c r="AS577" s="171"/>
      <c r="AT577" s="171"/>
      <c r="AU577" s="171"/>
      <c r="AV577" s="171"/>
      <c r="AW577" s="171"/>
      <c r="AX577" s="171"/>
      <c r="AY577" s="171"/>
      <c r="AZ577" s="171"/>
      <c r="BA577" s="171"/>
      <c r="BB577" s="171"/>
      <c r="BC577" s="171"/>
      <c r="BD577" s="171"/>
      <c r="BE577" s="171"/>
      <c r="BF577" s="171"/>
      <c r="BG577" s="171"/>
      <c r="BH577" s="171"/>
      <c r="BI577" s="171"/>
      <c r="BJ577" s="171"/>
      <c r="BK577" s="171"/>
      <c r="BL577" s="171"/>
      <c r="BM577" s="171"/>
      <c r="BN577" s="171"/>
      <c r="BO577" s="171"/>
      <c r="BP577" s="171"/>
      <c r="BQ577" s="171"/>
      <c r="BR577" s="171"/>
      <c r="BS577" s="171"/>
      <c r="BT577" s="171"/>
      <c r="BU577" s="171"/>
      <c r="BV577" s="171"/>
      <c r="BW577" s="171"/>
      <c r="BX577" s="171"/>
      <c r="BY577" s="171"/>
    </row>
    <row r="578" spans="1:77">
      <c r="A578" s="171"/>
      <c r="B578" s="171"/>
      <c r="C578" s="171"/>
      <c r="D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  <c r="AS578" s="171"/>
      <c r="AT578" s="171"/>
      <c r="AU578" s="171"/>
      <c r="AV578" s="171"/>
      <c r="AW578" s="171"/>
      <c r="AX578" s="171"/>
      <c r="AY578" s="171"/>
      <c r="AZ578" s="171"/>
      <c r="BA578" s="171"/>
      <c r="BB578" s="171"/>
      <c r="BC578" s="171"/>
      <c r="BD578" s="171"/>
      <c r="BE578" s="171"/>
      <c r="BF578" s="171"/>
      <c r="BG578" s="171"/>
      <c r="BH578" s="171"/>
      <c r="BI578" s="171"/>
      <c r="BJ578" s="171"/>
      <c r="BK578" s="171"/>
      <c r="BL578" s="171"/>
      <c r="BM578" s="171"/>
      <c r="BN578" s="171"/>
      <c r="BO578" s="171"/>
      <c r="BP578" s="171"/>
      <c r="BQ578" s="171"/>
      <c r="BR578" s="171"/>
      <c r="BS578" s="171"/>
      <c r="BT578" s="171"/>
      <c r="BU578" s="171"/>
      <c r="BV578" s="171"/>
      <c r="BW578" s="171"/>
      <c r="BX578" s="171"/>
      <c r="BY578" s="171"/>
    </row>
    <row r="579" spans="1:77"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</row>
    <row r="580" spans="1:77"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</row>
    <row r="581" spans="1:77">
      <c r="A581" s="171"/>
      <c r="B581" s="171"/>
      <c r="C581" s="171"/>
      <c r="D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  <c r="AS581" s="171"/>
      <c r="AT581" s="171"/>
      <c r="AU581" s="171"/>
      <c r="AV581" s="171"/>
      <c r="AW581" s="171"/>
      <c r="AX581" s="171"/>
      <c r="AY581" s="171"/>
      <c r="AZ581" s="171"/>
      <c r="BA581" s="171"/>
      <c r="BB581" s="171"/>
      <c r="BC581" s="171"/>
      <c r="BD581" s="171"/>
      <c r="BE581" s="171"/>
      <c r="BF581" s="171"/>
      <c r="BG581" s="171"/>
      <c r="BH581" s="171"/>
      <c r="BI581" s="171"/>
      <c r="BJ581" s="171"/>
      <c r="BK581" s="171"/>
      <c r="BL581" s="171"/>
      <c r="BM581" s="171"/>
      <c r="BN581" s="171"/>
      <c r="BO581" s="171"/>
      <c r="BP581" s="171"/>
      <c r="BQ581" s="171"/>
      <c r="BR581" s="171"/>
      <c r="BS581" s="171"/>
      <c r="BT581" s="171"/>
      <c r="BU581" s="171"/>
      <c r="BV581" s="171"/>
      <c r="BW581" s="171"/>
      <c r="BX581" s="171"/>
      <c r="BY581" s="171"/>
    </row>
    <row r="582" spans="1:77">
      <c r="A582" s="171"/>
      <c r="B582" s="171"/>
      <c r="C582" s="171"/>
      <c r="D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  <c r="AS582" s="171"/>
      <c r="AT582" s="171"/>
      <c r="AU582" s="171"/>
      <c r="AV582" s="171"/>
      <c r="AW582" s="171"/>
      <c r="AX582" s="171"/>
      <c r="AY582" s="171"/>
      <c r="AZ582" s="171"/>
      <c r="BA582" s="171"/>
      <c r="BB582" s="171"/>
      <c r="BC582" s="171"/>
      <c r="BD582" s="171"/>
      <c r="BE582" s="171"/>
      <c r="BF582" s="171"/>
      <c r="BG582" s="171"/>
      <c r="BH582" s="171"/>
      <c r="BI582" s="171"/>
      <c r="BJ582" s="171"/>
      <c r="BK582" s="171"/>
      <c r="BL582" s="171"/>
      <c r="BM582" s="171"/>
      <c r="BN582" s="171"/>
      <c r="BO582" s="171"/>
      <c r="BP582" s="171"/>
      <c r="BQ582" s="171"/>
      <c r="BR582" s="171"/>
      <c r="BS582" s="171"/>
      <c r="BT582" s="171"/>
      <c r="BU582" s="171"/>
      <c r="BV582" s="171"/>
      <c r="BW582" s="171"/>
      <c r="BX582" s="171"/>
      <c r="BY582" s="171"/>
    </row>
    <row r="583" spans="1:77">
      <c r="A583" s="171"/>
      <c r="B583" s="171"/>
      <c r="C583" s="171"/>
      <c r="D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  <c r="AS583" s="171"/>
      <c r="AT583" s="171"/>
      <c r="AU583" s="171"/>
      <c r="AV583" s="171"/>
      <c r="AW583" s="171"/>
      <c r="AX583" s="171"/>
      <c r="AY583" s="171"/>
      <c r="AZ583" s="171"/>
      <c r="BA583" s="171"/>
      <c r="BB583" s="171"/>
      <c r="BC583" s="171"/>
      <c r="BD583" s="171"/>
      <c r="BE583" s="171"/>
      <c r="BF583" s="171"/>
      <c r="BG583" s="171"/>
      <c r="BH583" s="171"/>
      <c r="BI583" s="171"/>
      <c r="BJ583" s="171"/>
      <c r="BK583" s="171"/>
      <c r="BL583" s="171"/>
      <c r="BM583" s="171"/>
      <c r="BN583" s="171"/>
      <c r="BO583" s="171"/>
      <c r="BP583" s="171"/>
      <c r="BQ583" s="171"/>
      <c r="BR583" s="171"/>
      <c r="BS583" s="171"/>
      <c r="BT583" s="171"/>
      <c r="BU583" s="171"/>
      <c r="BV583" s="171"/>
      <c r="BW583" s="171"/>
      <c r="BX583" s="171"/>
      <c r="BY583" s="171"/>
    </row>
    <row r="584" spans="1:77">
      <c r="A584" s="171"/>
      <c r="B584" s="171"/>
      <c r="C584" s="171"/>
      <c r="D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  <c r="AS584" s="171"/>
      <c r="AT584" s="171"/>
      <c r="AU584" s="171"/>
      <c r="AV584" s="171"/>
      <c r="AW584" s="171"/>
      <c r="AX584" s="171"/>
      <c r="AY584" s="171"/>
      <c r="AZ584" s="171"/>
      <c r="BA584" s="171"/>
      <c r="BB584" s="171"/>
      <c r="BC584" s="171"/>
      <c r="BD584" s="171"/>
      <c r="BE584" s="171"/>
      <c r="BF584" s="171"/>
      <c r="BG584" s="171"/>
      <c r="BH584" s="171"/>
      <c r="BI584" s="171"/>
      <c r="BJ584" s="171"/>
      <c r="BK584" s="171"/>
      <c r="BL584" s="171"/>
      <c r="BM584" s="171"/>
      <c r="BN584" s="171"/>
      <c r="BO584" s="171"/>
      <c r="BP584" s="171"/>
      <c r="BQ584" s="171"/>
      <c r="BR584" s="171"/>
      <c r="BS584" s="171"/>
      <c r="BT584" s="171"/>
      <c r="BU584" s="171"/>
      <c r="BV584" s="171"/>
      <c r="BW584" s="171"/>
      <c r="BX584" s="171"/>
      <c r="BY584" s="171"/>
    </row>
    <row r="585" spans="1:77">
      <c r="A585" s="171"/>
      <c r="B585" s="171"/>
      <c r="C585" s="171"/>
      <c r="D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  <c r="AS585" s="171"/>
      <c r="AT585" s="171"/>
      <c r="AU585" s="171"/>
      <c r="AV585" s="171"/>
      <c r="AW585" s="171"/>
      <c r="AX585" s="171"/>
      <c r="AY585" s="171"/>
      <c r="AZ585" s="171"/>
      <c r="BA585" s="171"/>
      <c r="BB585" s="171"/>
      <c r="BC585" s="171"/>
      <c r="BD585" s="171"/>
      <c r="BE585" s="171"/>
      <c r="BF585" s="171"/>
      <c r="BG585" s="171"/>
      <c r="BH585" s="171"/>
      <c r="BI585" s="171"/>
      <c r="BJ585" s="171"/>
      <c r="BK585" s="171"/>
      <c r="BL585" s="171"/>
      <c r="BM585" s="171"/>
      <c r="BN585" s="171"/>
      <c r="BO585" s="171"/>
      <c r="BP585" s="171"/>
      <c r="BQ585" s="171"/>
      <c r="BR585" s="171"/>
      <c r="BS585" s="171"/>
      <c r="BT585" s="171"/>
      <c r="BU585" s="171"/>
      <c r="BV585" s="171"/>
      <c r="BW585" s="171"/>
      <c r="BX585" s="171"/>
      <c r="BY585" s="171"/>
    </row>
    <row r="586" spans="1:77">
      <c r="A586" s="171"/>
      <c r="B586" s="171"/>
      <c r="C586" s="171"/>
      <c r="D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  <c r="AS586" s="171"/>
      <c r="AT586" s="171"/>
      <c r="AU586" s="171"/>
      <c r="AV586" s="171"/>
      <c r="AW586" s="171"/>
      <c r="AX586" s="171"/>
      <c r="AY586" s="171"/>
      <c r="AZ586" s="171"/>
      <c r="BA586" s="171"/>
      <c r="BB586" s="171"/>
      <c r="BC586" s="171"/>
      <c r="BD586" s="171"/>
      <c r="BE586" s="171"/>
      <c r="BF586" s="171"/>
      <c r="BG586" s="171"/>
      <c r="BH586" s="171"/>
      <c r="BI586" s="171"/>
      <c r="BJ586" s="171"/>
      <c r="BK586" s="171"/>
      <c r="BL586" s="171"/>
      <c r="BM586" s="171"/>
      <c r="BN586" s="171"/>
      <c r="BO586" s="171"/>
      <c r="BP586" s="171"/>
      <c r="BQ586" s="171"/>
      <c r="BR586" s="171"/>
      <c r="BS586" s="171"/>
      <c r="BT586" s="171"/>
      <c r="BU586" s="171"/>
      <c r="BV586" s="171"/>
      <c r="BW586" s="171"/>
      <c r="BX586" s="171"/>
      <c r="BY586" s="171"/>
    </row>
    <row r="587" spans="1:77">
      <c r="A587" s="171"/>
      <c r="B587" s="171"/>
      <c r="C587" s="171"/>
      <c r="D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  <c r="AF587" s="171"/>
      <c r="AG587" s="171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171"/>
      <c r="AR587" s="171"/>
      <c r="AS587" s="171"/>
      <c r="AT587" s="171"/>
      <c r="AU587" s="171"/>
      <c r="AV587" s="171"/>
      <c r="AW587" s="171"/>
      <c r="AX587" s="171"/>
      <c r="AY587" s="171"/>
      <c r="AZ587" s="171"/>
      <c r="BA587" s="171"/>
      <c r="BB587" s="171"/>
      <c r="BC587" s="171"/>
      <c r="BD587" s="171"/>
      <c r="BE587" s="171"/>
      <c r="BF587" s="171"/>
      <c r="BG587" s="171"/>
      <c r="BH587" s="171"/>
      <c r="BI587" s="171"/>
      <c r="BJ587" s="171"/>
      <c r="BK587" s="171"/>
      <c r="BL587" s="171"/>
      <c r="BM587" s="171"/>
      <c r="BN587" s="171"/>
      <c r="BO587" s="171"/>
      <c r="BP587" s="171"/>
      <c r="BQ587" s="171"/>
      <c r="BR587" s="171"/>
      <c r="BS587" s="171"/>
      <c r="BT587" s="171"/>
      <c r="BU587" s="171"/>
      <c r="BV587" s="171"/>
      <c r="BW587" s="171"/>
      <c r="BX587" s="171"/>
      <c r="BY587" s="171"/>
    </row>
    <row r="588" spans="1:77">
      <c r="A588" s="171"/>
      <c r="B588" s="171"/>
      <c r="C588" s="171"/>
      <c r="D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  <c r="AF588" s="171"/>
      <c r="AG588" s="171"/>
      <c r="AH588" s="171"/>
      <c r="AI588" s="171"/>
      <c r="AJ588" s="171"/>
      <c r="AK588" s="171"/>
      <c r="AL588" s="171"/>
      <c r="AM588" s="171"/>
      <c r="AN588" s="171"/>
      <c r="AO588" s="171"/>
      <c r="AP588" s="171"/>
      <c r="AQ588" s="171"/>
      <c r="AR588" s="171"/>
      <c r="AS588" s="171"/>
      <c r="AT588" s="171"/>
      <c r="AU588" s="171"/>
      <c r="AV588" s="171"/>
      <c r="AW588" s="171"/>
      <c r="AX588" s="171"/>
      <c r="AY588" s="171"/>
      <c r="AZ588" s="171"/>
      <c r="BA588" s="171"/>
      <c r="BB588" s="171"/>
      <c r="BC588" s="171"/>
      <c r="BD588" s="171"/>
      <c r="BE588" s="171"/>
      <c r="BF588" s="171"/>
      <c r="BG588" s="171"/>
      <c r="BH588" s="171"/>
      <c r="BI588" s="171"/>
      <c r="BJ588" s="171"/>
      <c r="BK588" s="171"/>
      <c r="BL588" s="171"/>
      <c r="BM588" s="171"/>
      <c r="BN588" s="171"/>
      <c r="BO588" s="171"/>
      <c r="BP588" s="171"/>
      <c r="BQ588" s="171"/>
      <c r="BR588" s="171"/>
      <c r="BS588" s="171"/>
      <c r="BT588" s="171"/>
      <c r="BU588" s="171"/>
      <c r="BV588" s="171"/>
      <c r="BW588" s="171"/>
      <c r="BX588" s="171"/>
      <c r="BY588" s="171"/>
    </row>
    <row r="589" spans="1:77">
      <c r="A589" s="171"/>
      <c r="B589" s="171"/>
      <c r="C589" s="171"/>
      <c r="D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  <c r="AF589" s="171"/>
      <c r="AG589" s="171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171"/>
      <c r="AR589" s="171"/>
      <c r="AS589" s="171"/>
      <c r="AT589" s="171"/>
      <c r="AU589" s="171"/>
      <c r="AV589" s="171"/>
      <c r="AW589" s="171"/>
      <c r="AX589" s="171"/>
      <c r="AY589" s="171"/>
      <c r="AZ589" s="171"/>
      <c r="BA589" s="171"/>
      <c r="BB589" s="171"/>
      <c r="BC589" s="171"/>
      <c r="BD589" s="171"/>
      <c r="BE589" s="171"/>
      <c r="BF589" s="171"/>
      <c r="BG589" s="171"/>
      <c r="BH589" s="171"/>
      <c r="BI589" s="171"/>
      <c r="BJ589" s="171"/>
      <c r="BK589" s="171"/>
      <c r="BL589" s="171"/>
      <c r="BM589" s="171"/>
      <c r="BN589" s="171"/>
      <c r="BO589" s="171"/>
      <c r="BP589" s="171"/>
      <c r="BQ589" s="171"/>
      <c r="BR589" s="171"/>
      <c r="BS589" s="171"/>
      <c r="BT589" s="171"/>
      <c r="BU589" s="171"/>
      <c r="BV589" s="171"/>
      <c r="BW589" s="171"/>
      <c r="BX589" s="171"/>
      <c r="BY589" s="171"/>
    </row>
    <row r="590" spans="1:77">
      <c r="A590" s="171"/>
      <c r="B590" s="171"/>
      <c r="C590" s="171"/>
      <c r="D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71"/>
      <c r="AT590" s="171"/>
      <c r="AU590" s="171"/>
      <c r="AV590" s="171"/>
      <c r="AW590" s="171"/>
      <c r="AX590" s="171"/>
      <c r="AY590" s="171"/>
      <c r="AZ590" s="171"/>
      <c r="BA590" s="171"/>
      <c r="BB590" s="171"/>
      <c r="BC590" s="171"/>
      <c r="BD590" s="171"/>
      <c r="BE590" s="171"/>
      <c r="BF590" s="171"/>
      <c r="BG590" s="171"/>
      <c r="BH590" s="171"/>
      <c r="BI590" s="171"/>
      <c r="BJ590" s="171"/>
      <c r="BK590" s="171"/>
      <c r="BL590" s="171"/>
      <c r="BM590" s="171"/>
      <c r="BN590" s="171"/>
      <c r="BO590" s="171"/>
      <c r="BP590" s="171"/>
      <c r="BQ590" s="171"/>
      <c r="BR590" s="171"/>
      <c r="BS590" s="171"/>
      <c r="BT590" s="171"/>
      <c r="BU590" s="171"/>
      <c r="BV590" s="171"/>
      <c r="BW590" s="171"/>
      <c r="BX590" s="171"/>
      <c r="BY590" s="171"/>
    </row>
    <row r="591" spans="1:77"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</row>
    <row r="592" spans="1:77"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</row>
    <row r="593" spans="1:77">
      <c r="A593" s="171"/>
      <c r="B593" s="171"/>
      <c r="C593" s="171"/>
      <c r="D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71"/>
      <c r="AL593" s="171"/>
      <c r="AM593" s="171"/>
      <c r="AN593" s="171"/>
      <c r="AO593" s="171"/>
      <c r="AP593" s="171"/>
      <c r="AQ593" s="171"/>
      <c r="AR593" s="171"/>
      <c r="AS593" s="171"/>
      <c r="AT593" s="171"/>
      <c r="AU593" s="171"/>
      <c r="AV593" s="171"/>
      <c r="AW593" s="171"/>
      <c r="AX593" s="171"/>
      <c r="AY593" s="171"/>
      <c r="AZ593" s="171"/>
      <c r="BA593" s="171"/>
      <c r="BB593" s="171"/>
      <c r="BC593" s="171"/>
      <c r="BD593" s="171"/>
      <c r="BE593" s="171"/>
      <c r="BF593" s="171"/>
      <c r="BG593" s="171"/>
      <c r="BH593" s="171"/>
      <c r="BI593" s="171"/>
      <c r="BJ593" s="171"/>
      <c r="BK593" s="171"/>
      <c r="BL593" s="171"/>
      <c r="BM593" s="171"/>
      <c r="BN593" s="171"/>
      <c r="BO593" s="171"/>
      <c r="BP593" s="171"/>
      <c r="BQ593" s="171"/>
      <c r="BR593" s="171"/>
      <c r="BS593" s="171"/>
      <c r="BT593" s="171"/>
      <c r="BU593" s="171"/>
      <c r="BV593" s="171"/>
      <c r="BW593" s="171"/>
      <c r="BX593" s="171"/>
      <c r="BY593" s="171"/>
    </row>
    <row r="594" spans="1:77">
      <c r="A594" s="171"/>
      <c r="B594" s="171"/>
      <c r="C594" s="171"/>
      <c r="D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71"/>
      <c r="AL594" s="171"/>
      <c r="AM594" s="171"/>
      <c r="AN594" s="171"/>
      <c r="AO594" s="171"/>
      <c r="AP594" s="171"/>
      <c r="AQ594" s="171"/>
      <c r="AR594" s="171"/>
      <c r="AS594" s="171"/>
      <c r="AT594" s="171"/>
      <c r="AU594" s="171"/>
      <c r="AV594" s="171"/>
      <c r="AW594" s="171"/>
      <c r="AX594" s="171"/>
      <c r="AY594" s="171"/>
      <c r="AZ594" s="171"/>
      <c r="BA594" s="171"/>
      <c r="BB594" s="171"/>
      <c r="BC594" s="171"/>
      <c r="BD594" s="171"/>
      <c r="BE594" s="171"/>
      <c r="BF594" s="171"/>
      <c r="BG594" s="171"/>
      <c r="BH594" s="171"/>
      <c r="BI594" s="171"/>
      <c r="BJ594" s="171"/>
      <c r="BK594" s="171"/>
      <c r="BL594" s="171"/>
      <c r="BM594" s="171"/>
      <c r="BN594" s="171"/>
      <c r="BO594" s="171"/>
      <c r="BP594" s="171"/>
      <c r="BQ594" s="171"/>
      <c r="BR594" s="171"/>
      <c r="BS594" s="171"/>
      <c r="BT594" s="171"/>
      <c r="BU594" s="171"/>
      <c r="BV594" s="171"/>
      <c r="BW594" s="171"/>
      <c r="BX594" s="171"/>
      <c r="BY594" s="171"/>
    </row>
    <row r="595" spans="1:77">
      <c r="A595" s="171"/>
      <c r="B595" s="171"/>
      <c r="C595" s="171"/>
      <c r="D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71"/>
      <c r="AL595" s="171"/>
      <c r="AM595" s="171"/>
      <c r="AN595" s="171"/>
      <c r="AO595" s="171"/>
      <c r="AP595" s="171"/>
      <c r="AQ595" s="171"/>
      <c r="AR595" s="171"/>
      <c r="AS595" s="171"/>
      <c r="AT595" s="171"/>
      <c r="AU595" s="171"/>
      <c r="AV595" s="171"/>
      <c r="AW595" s="171"/>
      <c r="AX595" s="171"/>
      <c r="AY595" s="171"/>
      <c r="AZ595" s="171"/>
      <c r="BA595" s="171"/>
      <c r="BB595" s="171"/>
      <c r="BC595" s="171"/>
      <c r="BD595" s="171"/>
      <c r="BE595" s="171"/>
      <c r="BF595" s="171"/>
      <c r="BG595" s="171"/>
      <c r="BH595" s="171"/>
      <c r="BI595" s="171"/>
      <c r="BJ595" s="171"/>
      <c r="BK595" s="171"/>
      <c r="BL595" s="171"/>
      <c r="BM595" s="171"/>
      <c r="BN595" s="171"/>
      <c r="BO595" s="171"/>
      <c r="BP595" s="171"/>
      <c r="BQ595" s="171"/>
      <c r="BR595" s="171"/>
      <c r="BS595" s="171"/>
      <c r="BT595" s="171"/>
      <c r="BU595" s="171"/>
      <c r="BV595" s="171"/>
      <c r="BW595" s="171"/>
      <c r="BX595" s="171"/>
      <c r="BY595" s="171"/>
    </row>
    <row r="596" spans="1:77"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</row>
    <row r="597" spans="1:77"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</row>
    <row r="598" spans="1:77"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</row>
    <row r="599" spans="1:77"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</row>
    <row r="600" spans="1:77"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</row>
    <row r="601" spans="1:77"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</row>
    <row r="602" spans="1:77"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</row>
    <row r="603" spans="1:77"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</row>
    <row r="604" spans="1:77"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</row>
    <row r="605" spans="1:77"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</row>
    <row r="606" spans="1:77"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</row>
    <row r="607" spans="1:77"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</row>
    <row r="608" spans="1:77"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</row>
    <row r="609" spans="2:11"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</row>
    <row r="610" spans="2:11"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</row>
    <row r="611" spans="2:11"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</row>
    <row r="612" spans="2:11"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</row>
    <row r="613" spans="2:11"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</row>
    <row r="614" spans="2:11"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</row>
    <row r="615" spans="2:11"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</row>
    <row r="616" spans="2:11"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</row>
    <row r="617" spans="2:11"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</row>
    <row r="618" spans="2:11"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</row>
    <row r="619" spans="2:11"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</row>
    <row r="620" spans="2:11"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</row>
    <row r="621" spans="2:11"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</row>
    <row r="622" spans="2:11"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</row>
    <row r="623" spans="2:11"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</row>
    <row r="624" spans="2:11"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</row>
    <row r="625" spans="1:77"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</row>
    <row r="626" spans="1:77"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</row>
    <row r="627" spans="1:77"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</row>
    <row r="628" spans="1:77">
      <c r="A628" s="171"/>
      <c r="B628" s="171"/>
      <c r="C628" s="171"/>
      <c r="D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1"/>
      <c r="AR628" s="171"/>
      <c r="AS628" s="171"/>
      <c r="AT628" s="171"/>
      <c r="AU628" s="171"/>
      <c r="AV628" s="171"/>
      <c r="AW628" s="171"/>
      <c r="AX628" s="171"/>
      <c r="AY628" s="171"/>
      <c r="AZ628" s="171"/>
      <c r="BA628" s="171"/>
      <c r="BB628" s="171"/>
      <c r="BC628" s="171"/>
      <c r="BD628" s="171"/>
      <c r="BE628" s="171"/>
      <c r="BF628" s="171"/>
      <c r="BG628" s="171"/>
      <c r="BH628" s="171"/>
      <c r="BI628" s="171"/>
      <c r="BJ628" s="171"/>
      <c r="BK628" s="171"/>
      <c r="BL628" s="171"/>
      <c r="BM628" s="171"/>
      <c r="BN628" s="171"/>
      <c r="BO628" s="171"/>
      <c r="BP628" s="171"/>
      <c r="BQ628" s="171"/>
      <c r="BR628" s="171"/>
      <c r="BS628" s="171"/>
      <c r="BT628" s="171"/>
      <c r="BU628" s="171"/>
      <c r="BV628" s="171"/>
      <c r="BW628" s="171"/>
      <c r="BX628" s="171"/>
      <c r="BY628" s="171"/>
    </row>
    <row r="629" spans="1:77">
      <c r="A629" s="171"/>
      <c r="B629" s="171"/>
      <c r="C629" s="171"/>
      <c r="D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71"/>
      <c r="AL629" s="171"/>
      <c r="AM629" s="171"/>
      <c r="AN629" s="171"/>
      <c r="AO629" s="171"/>
      <c r="AP629" s="171"/>
      <c r="AQ629" s="171"/>
      <c r="AR629" s="171"/>
      <c r="AS629" s="171"/>
      <c r="AT629" s="171"/>
      <c r="AU629" s="171"/>
      <c r="AV629" s="171"/>
      <c r="AW629" s="171"/>
      <c r="AX629" s="171"/>
      <c r="AY629" s="171"/>
      <c r="AZ629" s="171"/>
      <c r="BA629" s="171"/>
      <c r="BB629" s="171"/>
      <c r="BC629" s="171"/>
      <c r="BD629" s="171"/>
      <c r="BE629" s="171"/>
      <c r="BF629" s="171"/>
      <c r="BG629" s="171"/>
      <c r="BH629" s="171"/>
      <c r="BI629" s="171"/>
      <c r="BJ629" s="171"/>
      <c r="BK629" s="171"/>
      <c r="BL629" s="171"/>
      <c r="BM629" s="171"/>
      <c r="BN629" s="171"/>
      <c r="BO629" s="171"/>
      <c r="BP629" s="171"/>
      <c r="BQ629" s="171"/>
      <c r="BR629" s="171"/>
      <c r="BS629" s="171"/>
      <c r="BT629" s="171"/>
      <c r="BU629" s="171"/>
      <c r="BV629" s="171"/>
      <c r="BW629" s="171"/>
      <c r="BX629" s="171"/>
      <c r="BY629" s="171"/>
    </row>
    <row r="630" spans="1:77">
      <c r="A630" s="171"/>
      <c r="B630" s="171"/>
      <c r="C630" s="171"/>
      <c r="D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  <c r="AB630" s="171"/>
      <c r="AC630" s="171"/>
      <c r="AD630" s="171"/>
      <c r="AE630" s="171"/>
      <c r="AF630" s="171"/>
      <c r="AG630" s="171"/>
      <c r="AH630" s="171"/>
      <c r="AI630" s="171"/>
      <c r="AJ630" s="171"/>
      <c r="AK630" s="171"/>
      <c r="AL630" s="171"/>
      <c r="AM630" s="171"/>
      <c r="AN630" s="171"/>
      <c r="AO630" s="171"/>
      <c r="AP630" s="171"/>
      <c r="AQ630" s="171"/>
      <c r="AR630" s="171"/>
      <c r="AS630" s="171"/>
      <c r="AT630" s="171"/>
      <c r="AU630" s="171"/>
      <c r="AV630" s="171"/>
      <c r="AW630" s="171"/>
      <c r="AX630" s="171"/>
      <c r="AY630" s="171"/>
      <c r="AZ630" s="171"/>
      <c r="BA630" s="171"/>
      <c r="BB630" s="171"/>
      <c r="BC630" s="171"/>
      <c r="BD630" s="171"/>
      <c r="BE630" s="171"/>
      <c r="BF630" s="171"/>
      <c r="BG630" s="171"/>
      <c r="BH630" s="171"/>
      <c r="BI630" s="171"/>
      <c r="BJ630" s="171"/>
      <c r="BK630" s="171"/>
      <c r="BL630" s="171"/>
      <c r="BM630" s="171"/>
      <c r="BN630" s="171"/>
      <c r="BO630" s="171"/>
      <c r="BP630" s="171"/>
      <c r="BQ630" s="171"/>
      <c r="BR630" s="171"/>
      <c r="BS630" s="171"/>
      <c r="BT630" s="171"/>
      <c r="BU630" s="171"/>
      <c r="BV630" s="171"/>
      <c r="BW630" s="171"/>
      <c r="BX630" s="171"/>
      <c r="BY630" s="171"/>
    </row>
    <row r="631" spans="1:77">
      <c r="A631" s="171"/>
      <c r="B631" s="171"/>
      <c r="C631" s="171"/>
      <c r="D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71"/>
      <c r="AL631" s="171"/>
      <c r="AM631" s="171"/>
      <c r="AN631" s="171"/>
      <c r="AO631" s="171"/>
      <c r="AP631" s="171"/>
      <c r="AQ631" s="171"/>
      <c r="AR631" s="171"/>
      <c r="AS631" s="171"/>
      <c r="AT631" s="171"/>
      <c r="AU631" s="171"/>
      <c r="AV631" s="171"/>
      <c r="AW631" s="171"/>
      <c r="AX631" s="171"/>
      <c r="AY631" s="171"/>
      <c r="AZ631" s="171"/>
      <c r="BA631" s="171"/>
      <c r="BB631" s="171"/>
      <c r="BC631" s="171"/>
      <c r="BD631" s="171"/>
      <c r="BE631" s="171"/>
      <c r="BF631" s="171"/>
      <c r="BG631" s="171"/>
      <c r="BH631" s="171"/>
      <c r="BI631" s="171"/>
      <c r="BJ631" s="171"/>
      <c r="BK631" s="171"/>
      <c r="BL631" s="171"/>
      <c r="BM631" s="171"/>
      <c r="BN631" s="171"/>
      <c r="BO631" s="171"/>
      <c r="BP631" s="171"/>
      <c r="BQ631" s="171"/>
      <c r="BR631" s="171"/>
      <c r="BS631" s="171"/>
      <c r="BT631" s="171"/>
      <c r="BU631" s="171"/>
      <c r="BV631" s="171"/>
      <c r="BW631" s="171"/>
      <c r="BX631" s="171"/>
      <c r="BY631" s="171"/>
    </row>
    <row r="632" spans="1:77">
      <c r="A632" s="171"/>
      <c r="B632" s="171"/>
      <c r="C632" s="171"/>
      <c r="D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71"/>
      <c r="AL632" s="171"/>
      <c r="AM632" s="171"/>
      <c r="AN632" s="171"/>
      <c r="AO632" s="171"/>
      <c r="AP632" s="171"/>
      <c r="AQ632" s="171"/>
      <c r="AR632" s="171"/>
      <c r="AS632" s="171"/>
      <c r="AT632" s="171"/>
      <c r="AU632" s="171"/>
      <c r="AV632" s="171"/>
      <c r="AW632" s="171"/>
      <c r="AX632" s="171"/>
      <c r="AY632" s="171"/>
      <c r="AZ632" s="171"/>
      <c r="BA632" s="171"/>
      <c r="BB632" s="171"/>
      <c r="BC632" s="171"/>
      <c r="BD632" s="171"/>
      <c r="BE632" s="171"/>
      <c r="BF632" s="171"/>
      <c r="BG632" s="171"/>
      <c r="BH632" s="171"/>
      <c r="BI632" s="171"/>
      <c r="BJ632" s="171"/>
      <c r="BK632" s="171"/>
      <c r="BL632" s="171"/>
      <c r="BM632" s="171"/>
      <c r="BN632" s="171"/>
      <c r="BO632" s="171"/>
      <c r="BP632" s="171"/>
      <c r="BQ632" s="171"/>
      <c r="BR632" s="171"/>
      <c r="BS632" s="171"/>
      <c r="BT632" s="171"/>
      <c r="BU632" s="171"/>
      <c r="BV632" s="171"/>
      <c r="BW632" s="171"/>
      <c r="BX632" s="171"/>
      <c r="BY632" s="171"/>
    </row>
    <row r="633" spans="1:77">
      <c r="A633" s="171"/>
      <c r="B633" s="171"/>
      <c r="C633" s="171"/>
      <c r="D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71"/>
      <c r="AL633" s="171"/>
      <c r="AM633" s="171"/>
      <c r="AN633" s="171"/>
      <c r="AO633" s="171"/>
      <c r="AP633" s="171"/>
      <c r="AQ633" s="171"/>
      <c r="AR633" s="171"/>
      <c r="AS633" s="171"/>
      <c r="AT633" s="171"/>
      <c r="AU633" s="171"/>
      <c r="AV633" s="171"/>
      <c r="AW633" s="171"/>
      <c r="AX633" s="171"/>
      <c r="AY633" s="171"/>
      <c r="AZ633" s="171"/>
      <c r="BA633" s="171"/>
      <c r="BB633" s="171"/>
      <c r="BC633" s="171"/>
      <c r="BD633" s="171"/>
      <c r="BE633" s="171"/>
      <c r="BF633" s="171"/>
      <c r="BG633" s="171"/>
      <c r="BH633" s="171"/>
      <c r="BI633" s="171"/>
      <c r="BJ633" s="171"/>
      <c r="BK633" s="171"/>
      <c r="BL633" s="171"/>
      <c r="BM633" s="171"/>
      <c r="BN633" s="171"/>
      <c r="BO633" s="171"/>
      <c r="BP633" s="171"/>
      <c r="BQ633" s="171"/>
      <c r="BR633" s="171"/>
      <c r="BS633" s="171"/>
      <c r="BT633" s="171"/>
      <c r="BU633" s="171"/>
      <c r="BV633" s="171"/>
      <c r="BW633" s="171"/>
      <c r="BX633" s="171"/>
      <c r="BY633" s="171"/>
    </row>
    <row r="634" spans="1:77">
      <c r="A634" s="171"/>
      <c r="B634" s="171"/>
      <c r="C634" s="171"/>
      <c r="D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1"/>
      <c r="AR634" s="171"/>
      <c r="AS634" s="171"/>
      <c r="AT634" s="171"/>
      <c r="AU634" s="171"/>
      <c r="AV634" s="171"/>
      <c r="AW634" s="171"/>
      <c r="AX634" s="171"/>
      <c r="AY634" s="171"/>
      <c r="AZ634" s="171"/>
      <c r="BA634" s="171"/>
      <c r="BB634" s="171"/>
      <c r="BC634" s="171"/>
      <c r="BD634" s="171"/>
      <c r="BE634" s="171"/>
      <c r="BF634" s="171"/>
      <c r="BG634" s="171"/>
      <c r="BH634" s="171"/>
      <c r="BI634" s="171"/>
      <c r="BJ634" s="171"/>
      <c r="BK634" s="171"/>
      <c r="BL634" s="171"/>
      <c r="BM634" s="171"/>
      <c r="BN634" s="171"/>
      <c r="BO634" s="171"/>
      <c r="BP634" s="171"/>
      <c r="BQ634" s="171"/>
      <c r="BR634" s="171"/>
      <c r="BS634" s="171"/>
      <c r="BT634" s="171"/>
      <c r="BU634" s="171"/>
      <c r="BV634" s="171"/>
      <c r="BW634" s="171"/>
      <c r="BX634" s="171"/>
      <c r="BY634" s="171"/>
    </row>
    <row r="635" spans="1:77"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</row>
    <row r="636" spans="1:77">
      <c r="A636" s="171"/>
      <c r="B636" s="171"/>
      <c r="C636" s="171"/>
      <c r="D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  <c r="AS636" s="171"/>
      <c r="AT636" s="171"/>
      <c r="AU636" s="171"/>
      <c r="AV636" s="171"/>
      <c r="AW636" s="171"/>
      <c r="AX636" s="171"/>
      <c r="AY636" s="171"/>
      <c r="AZ636" s="171"/>
      <c r="BA636" s="171"/>
      <c r="BB636" s="171"/>
      <c r="BC636" s="171"/>
      <c r="BD636" s="171"/>
      <c r="BE636" s="171"/>
      <c r="BF636" s="171"/>
      <c r="BG636" s="171"/>
      <c r="BH636" s="171"/>
      <c r="BI636" s="171"/>
      <c r="BJ636" s="171"/>
      <c r="BK636" s="171"/>
      <c r="BL636" s="171"/>
      <c r="BM636" s="171"/>
      <c r="BN636" s="171"/>
      <c r="BO636" s="171"/>
      <c r="BP636" s="171"/>
      <c r="BQ636" s="171"/>
      <c r="BR636" s="171"/>
      <c r="BS636" s="171"/>
      <c r="BT636" s="171"/>
      <c r="BU636" s="171"/>
      <c r="BV636" s="171"/>
      <c r="BW636" s="171"/>
      <c r="BX636" s="171"/>
      <c r="BY636" s="171"/>
    </row>
    <row r="637" spans="1:77"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</row>
    <row r="638" spans="1:77"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</row>
    <row r="639" spans="1:77"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</row>
    <row r="640" spans="1:77"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</row>
    <row r="641" spans="2:11"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</row>
    <row r="642" spans="2:11"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BX642"/>
  <sheetViews>
    <sheetView workbookViewId="0"/>
  </sheetViews>
  <sheetFormatPr baseColWidth="10" defaultRowHeight="15"/>
  <cols>
    <col min="1" max="1" width="38.140625" style="168" customWidth="1"/>
    <col min="2" max="3" width="12.28515625" style="170" customWidth="1"/>
    <col min="4" max="5" width="12.28515625" style="171" customWidth="1"/>
    <col min="6" max="10" width="13.140625" style="171" customWidth="1"/>
    <col min="11" max="76" width="11.42578125" style="168"/>
    <col min="77" max="16384" width="11.42578125" style="300"/>
  </cols>
  <sheetData>
    <row r="1" spans="1:16" ht="28.5">
      <c r="A1" s="72" t="s">
        <v>45</v>
      </c>
      <c r="B1" s="73"/>
      <c r="C1" s="73"/>
      <c r="D1" s="74" t="s">
        <v>46</v>
      </c>
      <c r="E1" s="75" t="s">
        <v>47</v>
      </c>
      <c r="F1" s="75"/>
      <c r="G1" s="74" t="s">
        <v>48</v>
      </c>
      <c r="H1" s="75">
        <v>4</v>
      </c>
      <c r="I1" s="74" t="s">
        <v>49</v>
      </c>
      <c r="J1" s="167">
        <v>43273</v>
      </c>
    </row>
    <row r="2" spans="1:16" ht="26.25">
      <c r="B2" s="169"/>
    </row>
    <row r="3" spans="1:16" ht="21">
      <c r="A3" s="172"/>
      <c r="B3" s="173"/>
      <c r="C3" s="173"/>
      <c r="D3" s="175"/>
    </row>
    <row r="4" spans="1:16">
      <c r="B4" s="168"/>
    </row>
    <row r="5" spans="1:16" ht="21">
      <c r="A5" s="78" t="s">
        <v>96</v>
      </c>
      <c r="B5" s="176"/>
      <c r="C5" s="176"/>
      <c r="D5" s="176"/>
      <c r="E5" s="176"/>
      <c r="F5" s="176"/>
      <c r="G5" s="176"/>
      <c r="H5" s="176"/>
      <c r="I5" s="176"/>
      <c r="J5" s="176"/>
    </row>
    <row r="6" spans="1:16">
      <c r="B6" s="171"/>
      <c r="C6" s="171"/>
    </row>
    <row r="7" spans="1:16" ht="16.5" thickBot="1">
      <c r="A7" s="91" t="s">
        <v>97</v>
      </c>
      <c r="B7" s="81"/>
      <c r="C7" s="81"/>
      <c r="D7" s="80"/>
      <c r="E7" s="80"/>
      <c r="F7" s="80"/>
      <c r="G7" s="80"/>
      <c r="H7" s="80"/>
      <c r="I7" s="80"/>
      <c r="J7" s="80"/>
    </row>
    <row r="8" spans="1:16" ht="15.75" thickBot="1">
      <c r="A8" s="177" t="s">
        <v>51</v>
      </c>
      <c r="B8" s="178">
        <v>2000</v>
      </c>
      <c r="C8" s="178">
        <v>2025</v>
      </c>
      <c r="D8" s="178">
        <v>2030</v>
      </c>
      <c r="E8" s="178">
        <v>2050</v>
      </c>
      <c r="F8" s="179" t="s">
        <v>98</v>
      </c>
      <c r="G8" s="178" t="s">
        <v>99</v>
      </c>
      <c r="H8" s="178" t="s">
        <v>100</v>
      </c>
      <c r="I8" s="178" t="s">
        <v>101</v>
      </c>
      <c r="J8" s="180" t="s">
        <v>102</v>
      </c>
    </row>
    <row r="9" spans="1:16">
      <c r="A9" s="181" t="s">
        <v>103</v>
      </c>
      <c r="B9" s="182">
        <v>6.4882208233774001</v>
      </c>
      <c r="C9" s="182">
        <v>2.0694837573480234</v>
      </c>
      <c r="D9" s="182">
        <v>1.2792356916645726</v>
      </c>
      <c r="E9" s="182">
        <v>0.14301841888332004</v>
      </c>
      <c r="F9" s="183">
        <v>-4.3856717185363436E-2</v>
      </c>
      <c r="G9" s="184">
        <v>-3.9155890253509851E-2</v>
      </c>
      <c r="H9" s="184">
        <v>-5.2617380910608635E-2</v>
      </c>
      <c r="I9" s="184">
        <v>-9.1724270817560183E-2</v>
      </c>
      <c r="J9" s="185">
        <v>-0.10376464890595904</v>
      </c>
      <c r="K9" s="186"/>
    </row>
    <row r="10" spans="1:16">
      <c r="A10" s="181" t="s">
        <v>54</v>
      </c>
      <c r="B10" s="182">
        <v>11.950886234578043</v>
      </c>
      <c r="C10" s="182">
        <v>10.800016447823944</v>
      </c>
      <c r="D10" s="182">
        <v>9.5477189838742351</v>
      </c>
      <c r="E10" s="182">
        <v>2.6943614795288058</v>
      </c>
      <c r="F10" s="187">
        <v>-8.6230762237680114E-3</v>
      </c>
      <c r="G10" s="188">
        <v>1.3010127628632517E-2</v>
      </c>
      <c r="H10" s="188">
        <v>-7.1705369024327448E-3</v>
      </c>
      <c r="I10" s="188">
        <v>-2.4347768444455964E-2</v>
      </c>
      <c r="J10" s="189">
        <v>-6.129785201037008E-2</v>
      </c>
      <c r="K10" s="186"/>
    </row>
    <row r="11" spans="1:16">
      <c r="A11" s="181" t="s">
        <v>42</v>
      </c>
      <c r="B11" s="182">
        <v>6.5015903804985697</v>
      </c>
      <c r="C11" s="182">
        <v>2.5423677932736588</v>
      </c>
      <c r="D11" s="182">
        <v>2.1404310060694471</v>
      </c>
      <c r="E11" s="182">
        <v>0.74476022441954859</v>
      </c>
      <c r="F11" s="187">
        <v>-2.5093702071978807E-2</v>
      </c>
      <c r="G11" s="188">
        <v>-5.6525684335671289E-2</v>
      </c>
      <c r="H11" s="188">
        <v>-5.1963528653960478E-2</v>
      </c>
      <c r="I11" s="188">
        <v>-3.3832174138232918E-2</v>
      </c>
      <c r="J11" s="189">
        <v>-5.1416072065252116E-2</v>
      </c>
      <c r="K11" s="186"/>
    </row>
    <row r="12" spans="1:16">
      <c r="A12" s="181" t="s">
        <v>104</v>
      </c>
      <c r="B12" s="182">
        <v>11.393120739833542</v>
      </c>
      <c r="C12" s="182">
        <v>9.8067048760813069</v>
      </c>
      <c r="D12" s="182">
        <v>9.7332714684845882</v>
      </c>
      <c r="E12" s="182">
        <v>15.514724172011537</v>
      </c>
      <c r="F12" s="187">
        <v>-8.9509795210076515E-3</v>
      </c>
      <c r="G12" s="188">
        <v>5.3024071355434188E-5</v>
      </c>
      <c r="H12" s="188">
        <v>-3.0631622876613473E-3</v>
      </c>
      <c r="I12" s="188">
        <v>-1.502122314941734E-3</v>
      </c>
      <c r="J12" s="189">
        <v>2.3585820623661213E-2</v>
      </c>
      <c r="K12" s="186"/>
    </row>
    <row r="13" spans="1:16">
      <c r="A13" s="181" t="s">
        <v>105</v>
      </c>
      <c r="B13" s="182">
        <v>1.006189880699035</v>
      </c>
      <c r="C13" s="182">
        <v>1.7267141676849138</v>
      </c>
      <c r="D13" s="182">
        <v>1.5963024649877231</v>
      </c>
      <c r="E13" s="182">
        <v>0.65813392858338293</v>
      </c>
      <c r="F13" s="187">
        <v>3.9932893011980886E-2</v>
      </c>
      <c r="G13" s="188">
        <v>8.0091143316862734E-4</v>
      </c>
      <c r="H13" s="188">
        <v>-1.0206804551134763E-2</v>
      </c>
      <c r="I13" s="188">
        <v>-1.5583359495910276E-2</v>
      </c>
      <c r="J13" s="189">
        <v>-4.333484711513258E-2</v>
      </c>
      <c r="K13" s="186"/>
      <c r="M13" s="186"/>
      <c r="N13" s="186"/>
      <c r="O13" s="186"/>
      <c r="P13" s="186"/>
    </row>
    <row r="14" spans="1:16">
      <c r="A14" s="181" t="s">
        <v>106</v>
      </c>
      <c r="B14" s="182">
        <v>1.5759140284908504</v>
      </c>
      <c r="C14" s="182">
        <v>2.6903397791497241</v>
      </c>
      <c r="D14" s="182">
        <v>3.202943064934769</v>
      </c>
      <c r="E14" s="182">
        <v>2.6819562899348819</v>
      </c>
      <c r="F14" s="187">
        <v>1.0203505635017596E-2</v>
      </c>
      <c r="G14" s="188">
        <v>4.6708447719812751E-2</v>
      </c>
      <c r="H14" s="188">
        <v>3.1341703280112876E-2</v>
      </c>
      <c r="I14" s="188">
        <v>3.5495979797013355E-2</v>
      </c>
      <c r="J14" s="189">
        <v>-8.8369033947823805E-3</v>
      </c>
      <c r="K14" s="186"/>
    </row>
    <row r="15" spans="1:16">
      <c r="A15" s="181"/>
      <c r="B15" s="182"/>
      <c r="C15" s="182"/>
      <c r="D15" s="182"/>
      <c r="E15" s="182"/>
      <c r="F15" s="187"/>
      <c r="G15" s="188"/>
      <c r="H15" s="188"/>
      <c r="I15" s="188"/>
      <c r="J15" s="189"/>
      <c r="M15" s="186"/>
      <c r="N15" s="186"/>
      <c r="O15" s="186"/>
    </row>
    <row r="16" spans="1:16" ht="15.75" thickBot="1">
      <c r="A16" s="190" t="s">
        <v>10</v>
      </c>
      <c r="B16" s="191">
        <v>38.915922087477441</v>
      </c>
      <c r="C16" s="191">
        <v>29.635626821361569</v>
      </c>
      <c r="D16" s="191">
        <v>27.499902680015332</v>
      </c>
      <c r="E16" s="191">
        <v>22.436954513361478</v>
      </c>
      <c r="F16" s="192">
        <v>-1.3273030719028855E-2</v>
      </c>
      <c r="G16" s="193">
        <v>-3.4098804545312777E-3</v>
      </c>
      <c r="H16" s="193">
        <v>-1.0923722377949918E-2</v>
      </c>
      <c r="I16" s="193">
        <v>-1.484762675992457E-2</v>
      </c>
      <c r="J16" s="194">
        <v>-1.0122078981262161E-2</v>
      </c>
    </row>
    <row r="17" spans="1:17">
      <c r="A17" s="195"/>
      <c r="C17" s="196"/>
      <c r="D17" s="196"/>
      <c r="E17" s="196"/>
    </row>
    <row r="18" spans="1:17">
      <c r="D18" s="170"/>
    </row>
    <row r="19" spans="1:17" ht="16.5" thickBot="1">
      <c r="A19" s="91" t="s">
        <v>107</v>
      </c>
      <c r="B19" s="81"/>
      <c r="C19" s="81"/>
      <c r="D19" s="81"/>
      <c r="E19" s="80"/>
      <c r="F19" s="80"/>
      <c r="G19" s="80"/>
      <c r="H19" s="80"/>
      <c r="I19" s="80"/>
      <c r="J19" s="80"/>
    </row>
    <row r="20" spans="1:17" ht="15.75" thickBot="1">
      <c r="A20" s="177" t="s">
        <v>51</v>
      </c>
      <c r="B20" s="178">
        <v>2000</v>
      </c>
      <c r="C20" s="178">
        <v>2025</v>
      </c>
      <c r="D20" s="178">
        <v>2030</v>
      </c>
      <c r="E20" s="178">
        <v>2050</v>
      </c>
      <c r="F20" s="197" t="s">
        <v>98</v>
      </c>
      <c r="G20" s="198" t="s">
        <v>99</v>
      </c>
      <c r="H20" s="198" t="s">
        <v>100</v>
      </c>
      <c r="I20" s="198" t="s">
        <v>101</v>
      </c>
      <c r="J20" s="199" t="s">
        <v>102</v>
      </c>
    </row>
    <row r="21" spans="1:17">
      <c r="A21" s="181" t="s">
        <v>108</v>
      </c>
      <c r="B21" s="200">
        <v>12.835644288573071</v>
      </c>
      <c r="C21" s="201">
        <v>10.31575106799122</v>
      </c>
      <c r="D21" s="201">
        <v>8.5269295194929953</v>
      </c>
      <c r="E21" s="202">
        <v>3.1558487374952491</v>
      </c>
      <c r="F21" s="203">
        <v>-2.0418210296894168E-3</v>
      </c>
      <c r="G21" s="204">
        <v>-1.2981656397325958E-2</v>
      </c>
      <c r="H21" s="204">
        <v>-2.4214441228512018E-2</v>
      </c>
      <c r="I21" s="204">
        <v>-3.7372279095381211E-2</v>
      </c>
      <c r="J21" s="205">
        <v>-4.8483825121501511E-2</v>
      </c>
      <c r="P21" s="206"/>
      <c r="Q21" s="207"/>
    </row>
    <row r="22" spans="1:17">
      <c r="A22" s="181" t="s">
        <v>54</v>
      </c>
      <c r="B22" s="208">
        <v>1.6286979567685305</v>
      </c>
      <c r="C22" s="209">
        <v>0.8575152317057565</v>
      </c>
      <c r="D22" s="209">
        <v>0.65798930805195532</v>
      </c>
      <c r="E22" s="210">
        <v>0.28608823842971293</v>
      </c>
      <c r="F22" s="211">
        <v>-2.5734767101810885E-2</v>
      </c>
      <c r="G22" s="212">
        <v>-1.3689799048109075E-2</v>
      </c>
      <c r="H22" s="212">
        <v>-3.5649036012973534E-2</v>
      </c>
      <c r="I22" s="212">
        <v>-5.1591584964612802E-2</v>
      </c>
      <c r="J22" s="213">
        <v>-4.0789203540956387E-2</v>
      </c>
    </row>
    <row r="23" spans="1:17">
      <c r="A23" s="181" t="s">
        <v>42</v>
      </c>
      <c r="B23" s="214">
        <v>0.15113499999999999</v>
      </c>
      <c r="C23" s="209">
        <v>0.11450973903079993</v>
      </c>
      <c r="D23" s="209">
        <v>0</v>
      </c>
      <c r="E23" s="210">
        <v>0</v>
      </c>
      <c r="F23" s="211"/>
      <c r="G23" s="212"/>
      <c r="H23" s="212"/>
      <c r="I23" s="212"/>
      <c r="J23" s="213"/>
    </row>
    <row r="24" spans="1:17">
      <c r="A24" s="181" t="s">
        <v>109</v>
      </c>
      <c r="B24" s="214">
        <v>0</v>
      </c>
      <c r="C24" s="209">
        <v>0.42992261392949233</v>
      </c>
      <c r="D24" s="209">
        <v>1.2897678417884793</v>
      </c>
      <c r="E24" s="210">
        <v>1.7196904557179702</v>
      </c>
      <c r="F24" s="211"/>
      <c r="G24" s="212"/>
      <c r="H24" s="212"/>
      <c r="I24" s="212"/>
      <c r="J24" s="213"/>
    </row>
    <row r="25" spans="1:17">
      <c r="A25" s="181"/>
      <c r="B25" s="214"/>
      <c r="C25" s="209"/>
      <c r="D25" s="209"/>
      <c r="E25" s="210"/>
      <c r="F25" s="211"/>
      <c r="G25" s="212"/>
      <c r="H25" s="212"/>
      <c r="I25" s="212"/>
      <c r="J25" s="213"/>
    </row>
    <row r="26" spans="1:17" ht="15.75" thickBot="1">
      <c r="A26" s="190" t="s">
        <v>10</v>
      </c>
      <c r="B26" s="215">
        <v>14.615477245341602</v>
      </c>
      <c r="C26" s="191">
        <v>11.717698652657269</v>
      </c>
      <c r="D26" s="191">
        <v>10.47468666933343</v>
      </c>
      <c r="E26" s="216">
        <v>5.1616274316429323</v>
      </c>
      <c r="F26" s="217">
        <v>-3.5586811437722243E-3</v>
      </c>
      <c r="G26" s="218">
        <v>-1.4068897056350838E-2</v>
      </c>
      <c r="H26" s="218">
        <v>-1.914657319213442E-2</v>
      </c>
      <c r="I26" s="218">
        <v>-2.2178137489036853E-2</v>
      </c>
      <c r="J26" s="219">
        <v>-3.4766735015457351E-2</v>
      </c>
      <c r="Q26" s="207"/>
    </row>
    <row r="27" spans="1:17">
      <c r="A27" s="195"/>
      <c r="D27" s="170"/>
    </row>
    <row r="28" spans="1:17">
      <c r="A28" s="195"/>
      <c r="D28" s="170"/>
    </row>
    <row r="29" spans="1:17" ht="16.5" thickBot="1">
      <c r="A29" s="91" t="s">
        <v>110</v>
      </c>
      <c r="B29" s="81"/>
      <c r="C29" s="81"/>
      <c r="D29" s="81"/>
      <c r="E29" s="80"/>
      <c r="F29" s="80"/>
      <c r="G29" s="80"/>
      <c r="H29" s="80"/>
      <c r="I29" s="80"/>
      <c r="J29" s="80"/>
      <c r="P29" s="207"/>
      <c r="Q29" s="207"/>
    </row>
    <row r="30" spans="1:17" ht="15.75" thickBot="1">
      <c r="A30" s="177" t="s">
        <v>51</v>
      </c>
      <c r="B30" s="178">
        <v>2000</v>
      </c>
      <c r="C30" s="178">
        <v>2025</v>
      </c>
      <c r="D30" s="178">
        <v>2030</v>
      </c>
      <c r="E30" s="178">
        <v>2050</v>
      </c>
      <c r="F30" s="197" t="s">
        <v>98</v>
      </c>
      <c r="G30" s="198" t="s">
        <v>99</v>
      </c>
      <c r="H30" s="198" t="s">
        <v>100</v>
      </c>
      <c r="I30" s="198" t="s">
        <v>101</v>
      </c>
      <c r="J30" s="199" t="s">
        <v>102</v>
      </c>
    </row>
    <row r="31" spans="1:17">
      <c r="A31" s="220" t="s">
        <v>111</v>
      </c>
      <c r="B31" s="221">
        <v>8.0394712179039001</v>
      </c>
      <c r="C31" s="221">
        <v>4.4760530996958234</v>
      </c>
      <c r="D31" s="221">
        <v>4.034274047820249</v>
      </c>
      <c r="E31" s="221">
        <v>2.3625478953926566</v>
      </c>
      <c r="F31" s="203">
        <v>-2.882004035877217E-2</v>
      </c>
      <c r="G31" s="204">
        <v>-1.4526041240476739E-2</v>
      </c>
      <c r="H31" s="204">
        <v>-1.4652860485782848E-2</v>
      </c>
      <c r="I31" s="204">
        <v>-2.0568577068076799E-2</v>
      </c>
      <c r="J31" s="205">
        <v>-2.639956052647785E-2</v>
      </c>
      <c r="L31" s="222"/>
      <c r="M31" s="222"/>
      <c r="N31" s="222"/>
      <c r="O31" s="222"/>
      <c r="P31" s="222"/>
      <c r="Q31" s="222"/>
    </row>
    <row r="32" spans="1:17">
      <c r="A32" s="223" t="s">
        <v>112</v>
      </c>
      <c r="B32" s="224">
        <v>6.7332839541308918</v>
      </c>
      <c r="C32" s="224">
        <v>3.6923797759723485</v>
      </c>
      <c r="D32" s="224">
        <v>3.332224397234743</v>
      </c>
      <c r="E32" s="224">
        <v>1.8202122308792859</v>
      </c>
      <c r="F32" s="211">
        <v>-2.9090690523181584E-2</v>
      </c>
      <c r="G32" s="212">
        <v>-1.6390992381878799E-2</v>
      </c>
      <c r="H32" s="212">
        <v>-1.4951999893957013E-2</v>
      </c>
      <c r="I32" s="212">
        <v>-2.031699267299869E-2</v>
      </c>
      <c r="J32" s="213">
        <v>-2.9781861944458865E-2</v>
      </c>
      <c r="L32" s="222"/>
      <c r="M32" s="222"/>
      <c r="N32" s="222"/>
      <c r="O32" s="222"/>
      <c r="P32" s="222"/>
      <c r="Q32" s="222"/>
    </row>
    <row r="33" spans="1:17">
      <c r="A33" s="223" t="s">
        <v>113</v>
      </c>
      <c r="B33" s="224">
        <v>0.77559051401547718</v>
      </c>
      <c r="C33" s="224">
        <v>0.4385274002579535</v>
      </c>
      <c r="D33" s="224">
        <v>0.35964135580395529</v>
      </c>
      <c r="E33" s="224">
        <v>0.18359310283748928</v>
      </c>
      <c r="F33" s="211">
        <v>-2.3758508572556902E-2</v>
      </c>
      <c r="G33" s="212">
        <v>-1.5932877830166836E-2</v>
      </c>
      <c r="H33" s="212">
        <v>-2.5512345193146713E-2</v>
      </c>
      <c r="I33" s="212">
        <v>-3.8886719318729335E-2</v>
      </c>
      <c r="J33" s="213">
        <v>-3.306042203497761E-2</v>
      </c>
      <c r="L33" s="222"/>
      <c r="M33" s="222"/>
      <c r="N33" s="222"/>
      <c r="O33" s="222"/>
      <c r="P33" s="222"/>
      <c r="Q33" s="222"/>
    </row>
    <row r="34" spans="1:17">
      <c r="A34" s="220" t="s">
        <v>114</v>
      </c>
      <c r="B34" s="209">
        <v>10.4052195619748</v>
      </c>
      <c r="C34" s="209">
        <v>7.9700493999923374</v>
      </c>
      <c r="D34" s="209">
        <v>7.3160300469747304</v>
      </c>
      <c r="E34" s="209">
        <v>5.3559195704119285</v>
      </c>
      <c r="F34" s="211">
        <v>-1.2073221594690486E-2</v>
      </c>
      <c r="G34" s="212">
        <v>-2.2551914850852395E-3</v>
      </c>
      <c r="H34" s="212">
        <v>-1.4519117202353105E-2</v>
      </c>
      <c r="I34" s="212">
        <v>-1.6978778630905356E-2</v>
      </c>
      <c r="J34" s="213">
        <v>-1.5472325734152914E-2</v>
      </c>
      <c r="L34" s="222"/>
      <c r="M34" s="222"/>
      <c r="N34" s="222"/>
      <c r="O34" s="222"/>
      <c r="P34" s="222"/>
      <c r="Q34" s="222"/>
    </row>
    <row r="35" spans="1:17">
      <c r="A35" s="223" t="s">
        <v>115</v>
      </c>
      <c r="B35" s="224">
        <v>0.68312001018483248</v>
      </c>
      <c r="C35" s="224">
        <v>0.45012248171260294</v>
      </c>
      <c r="D35" s="224">
        <v>0.4345029990589041</v>
      </c>
      <c r="E35" s="224">
        <v>0.35450138063253811</v>
      </c>
      <c r="F35" s="211">
        <v>-2.3163343596647179E-2</v>
      </c>
      <c r="G35" s="212">
        <v>-6.4462326771118628E-3</v>
      </c>
      <c r="H35" s="212">
        <v>-6.6334772092663252E-3</v>
      </c>
      <c r="I35" s="212">
        <v>-7.0384890511416831E-3</v>
      </c>
      <c r="J35" s="213">
        <v>-1.012294488951071E-2</v>
      </c>
      <c r="L35" s="222"/>
      <c r="M35" s="222"/>
      <c r="N35" s="222"/>
      <c r="O35" s="222"/>
      <c r="P35" s="222"/>
      <c r="Q35" s="222"/>
    </row>
    <row r="36" spans="1:17">
      <c r="A36" s="223" t="s">
        <v>116</v>
      </c>
      <c r="B36" s="224">
        <v>5.1075100039894741</v>
      </c>
      <c r="C36" s="224">
        <v>3.5585465158029939</v>
      </c>
      <c r="D36" s="224">
        <v>3.1592018945886431</v>
      </c>
      <c r="E36" s="224">
        <v>1.5111257706517573</v>
      </c>
      <c r="F36" s="211">
        <v>-1.2737129908311662E-2</v>
      </c>
      <c r="G36" s="212">
        <v>-1.135244676972591E-2</v>
      </c>
      <c r="H36" s="212">
        <v>-2.2148792341749046E-2</v>
      </c>
      <c r="I36" s="212">
        <v>-2.3525409252853957E-2</v>
      </c>
      <c r="J36" s="213">
        <v>-3.6201687547356975E-2</v>
      </c>
      <c r="L36" s="222"/>
      <c r="M36" s="222"/>
      <c r="N36" s="222"/>
      <c r="O36" s="222"/>
      <c r="P36" s="222"/>
      <c r="Q36" s="222"/>
    </row>
    <row r="37" spans="1:17">
      <c r="A37" s="223" t="s">
        <v>117</v>
      </c>
      <c r="B37" s="224">
        <v>0.54892519346517621</v>
      </c>
      <c r="C37" s="224">
        <v>0.32182287188306102</v>
      </c>
      <c r="D37" s="224">
        <v>0.31129836629406704</v>
      </c>
      <c r="E37" s="224">
        <v>0.27253654342218397</v>
      </c>
      <c r="F37" s="211">
        <v>-3.068602496959294E-2</v>
      </c>
      <c r="G37" s="212">
        <v>-6.6272609556158324E-3</v>
      </c>
      <c r="H37" s="212">
        <v>-6.6207402593306819E-3</v>
      </c>
      <c r="I37" s="212">
        <v>-6.6278338643249723E-3</v>
      </c>
      <c r="J37" s="213">
        <v>-6.6269006013536247E-3</v>
      </c>
      <c r="L37" s="222"/>
      <c r="M37" s="222"/>
      <c r="N37" s="222"/>
      <c r="O37" s="222"/>
      <c r="P37" s="222"/>
      <c r="Q37" s="222"/>
    </row>
    <row r="38" spans="1:17">
      <c r="A38" s="220" t="s">
        <v>118</v>
      </c>
      <c r="B38" s="209">
        <v>4.5197668823632196</v>
      </c>
      <c r="C38" s="209">
        <v>3.5731264927694912</v>
      </c>
      <c r="D38" s="209">
        <v>3.5249925120089616</v>
      </c>
      <c r="E38" s="209">
        <v>3.5267403011479717</v>
      </c>
      <c r="F38" s="211">
        <v>-1.7885128597275535E-2</v>
      </c>
      <c r="G38" s="212">
        <v>8.3339337189247686E-3</v>
      </c>
      <c r="H38" s="212">
        <v>-1.1616090068351514E-3</v>
      </c>
      <c r="I38" s="212">
        <v>-2.7088581652070509E-3</v>
      </c>
      <c r="J38" s="213">
        <v>2.4785551026695885E-5</v>
      </c>
      <c r="L38" s="222"/>
      <c r="M38" s="222"/>
      <c r="N38" s="222"/>
      <c r="O38" s="222"/>
      <c r="P38" s="222"/>
      <c r="Q38" s="222"/>
    </row>
    <row r="39" spans="1:17">
      <c r="A39" s="223" t="s">
        <v>119</v>
      </c>
      <c r="B39" s="224">
        <v>1.7363799820886927</v>
      </c>
      <c r="C39" s="224">
        <v>1.5256008725872698</v>
      </c>
      <c r="D39" s="224">
        <v>1.5067153122042294</v>
      </c>
      <c r="E39" s="224">
        <v>1.3892801680948215</v>
      </c>
      <c r="F39" s="211">
        <v>-1.4175951100393935E-2</v>
      </c>
      <c r="G39" s="212">
        <v>1.9820631419208867E-2</v>
      </c>
      <c r="H39" s="212">
        <v>-2.6738358547824248E-3</v>
      </c>
      <c r="I39" s="212">
        <v>-2.4881705096504447E-3</v>
      </c>
      <c r="J39" s="213">
        <v>-4.0490923890846853E-3</v>
      </c>
      <c r="L39" s="222"/>
      <c r="M39" s="222"/>
      <c r="N39" s="222"/>
      <c r="O39" s="222"/>
      <c r="P39" s="222"/>
      <c r="Q39" s="222"/>
    </row>
    <row r="40" spans="1:17">
      <c r="A40" s="223" t="s">
        <v>120</v>
      </c>
      <c r="B40" s="224">
        <v>1.4736883103796508</v>
      </c>
      <c r="C40" s="224">
        <v>1.1906485453709426</v>
      </c>
      <c r="D40" s="224">
        <v>1.1445541574232407</v>
      </c>
      <c r="E40" s="224">
        <v>1.0408883823018047</v>
      </c>
      <c r="F40" s="211">
        <v>-8.9571162177584096E-3</v>
      </c>
      <c r="G40" s="212">
        <v>-7.7681318092893692E-3</v>
      </c>
      <c r="H40" s="212">
        <v>-7.832319975623836E-3</v>
      </c>
      <c r="I40" s="212">
        <v>-7.8654989502765504E-3</v>
      </c>
      <c r="J40" s="213">
        <v>-4.735781493586555E-3</v>
      </c>
      <c r="L40" s="222"/>
      <c r="M40" s="222"/>
      <c r="N40" s="222"/>
      <c r="O40" s="222"/>
      <c r="P40" s="222"/>
      <c r="Q40" s="222"/>
    </row>
    <row r="41" spans="1:17">
      <c r="A41" s="220" t="s">
        <v>121</v>
      </c>
      <c r="B41" s="209">
        <v>5.1496266408640006</v>
      </c>
      <c r="C41" s="209">
        <v>5.4994903722760293</v>
      </c>
      <c r="D41" s="209">
        <v>5.0785513846847703</v>
      </c>
      <c r="E41" s="209">
        <v>4.4458524021286028</v>
      </c>
      <c r="F41" s="211">
        <v>8.8280283181072505E-3</v>
      </c>
      <c r="G41" s="212">
        <v>-2.7590517378522916E-3</v>
      </c>
      <c r="H41" s="212">
        <v>-1.04042570745142E-2</v>
      </c>
      <c r="I41" s="212">
        <v>-1.5799727411699438E-2</v>
      </c>
      <c r="J41" s="213">
        <v>-6.6306418028676539E-3</v>
      </c>
      <c r="L41" s="222"/>
      <c r="M41" s="222"/>
      <c r="N41" s="222"/>
      <c r="O41" s="222"/>
      <c r="P41" s="222"/>
      <c r="Q41" s="222"/>
    </row>
    <row r="42" spans="1:17">
      <c r="A42" s="223" t="s">
        <v>122</v>
      </c>
      <c r="B42" s="224">
        <v>0.89190999086672396</v>
      </c>
      <c r="C42" s="224">
        <v>0.81354744611713548</v>
      </c>
      <c r="D42" s="224">
        <v>0.78116236174021758</v>
      </c>
      <c r="E42" s="224">
        <v>0.69562637154176654</v>
      </c>
      <c r="F42" s="211">
        <v>-4.2727375856344008E-4</v>
      </c>
      <c r="G42" s="212">
        <v>-8.6490302339939928E-3</v>
      </c>
      <c r="H42" s="212">
        <v>-8.3880711873516312E-3</v>
      </c>
      <c r="I42" s="212">
        <v>-8.0913336247184775E-3</v>
      </c>
      <c r="J42" s="213">
        <v>-5.7817372560600155E-3</v>
      </c>
      <c r="L42" s="222"/>
      <c r="M42" s="222"/>
      <c r="N42" s="222"/>
      <c r="O42" s="222"/>
      <c r="P42" s="222"/>
      <c r="Q42" s="222"/>
    </row>
    <row r="43" spans="1:17">
      <c r="A43" s="220" t="s">
        <v>123</v>
      </c>
      <c r="B43" s="209">
        <v>4.7684999999999995</v>
      </c>
      <c r="C43" s="209">
        <v>3.8385167614785702</v>
      </c>
      <c r="D43" s="209">
        <v>3.6669911224921985</v>
      </c>
      <c r="E43" s="209">
        <v>3.7611211162741518</v>
      </c>
      <c r="F43" s="211">
        <v>-1.4504478070025084E-2</v>
      </c>
      <c r="G43" s="212">
        <v>4.7161248590787963E-3</v>
      </c>
      <c r="H43" s="212">
        <v>-4.2530314663815627E-3</v>
      </c>
      <c r="I43" s="212">
        <v>-9.1012434194077674E-3</v>
      </c>
      <c r="J43" s="213">
        <v>1.2680840401131377E-3</v>
      </c>
      <c r="L43" s="222"/>
      <c r="M43" s="222"/>
      <c r="N43" s="222"/>
      <c r="O43" s="222"/>
      <c r="P43" s="222"/>
      <c r="Q43" s="222"/>
    </row>
    <row r="44" spans="1:17">
      <c r="A44" s="220" t="s">
        <v>124</v>
      </c>
      <c r="B44" s="209">
        <v>6.0333377843715192</v>
      </c>
      <c r="C44" s="209">
        <v>4.2783906951493194</v>
      </c>
      <c r="D44" s="209">
        <v>3.8790635660344259</v>
      </c>
      <c r="E44" s="209">
        <v>2.9847732280061638</v>
      </c>
      <c r="F44" s="211">
        <v>-1.4611845468938789E-2</v>
      </c>
      <c r="G44" s="212">
        <v>-9.8154322852737064E-3</v>
      </c>
      <c r="H44" s="212">
        <v>-1.4613983738678837E-2</v>
      </c>
      <c r="I44" s="212">
        <v>-1.9405865678447376E-2</v>
      </c>
      <c r="J44" s="213">
        <v>-1.3018023004762513E-2</v>
      </c>
      <c r="L44" s="222"/>
      <c r="M44" s="222"/>
      <c r="N44" s="222"/>
      <c r="O44" s="222"/>
      <c r="P44" s="222"/>
      <c r="Q44" s="222"/>
    </row>
    <row r="45" spans="1:17">
      <c r="A45" s="223" t="s">
        <v>125</v>
      </c>
      <c r="B45" s="225">
        <v>3.7799499921678623</v>
      </c>
      <c r="C45" s="225">
        <v>2.8199788022422916</v>
      </c>
      <c r="D45" s="225">
        <v>2.5460005922355178</v>
      </c>
      <c r="E45" s="225">
        <v>1.8797035765152388</v>
      </c>
      <c r="F45" s="211">
        <v>-1.0949147569268014E-2</v>
      </c>
      <c r="G45" s="212">
        <v>-1.1266274495920436E-2</v>
      </c>
      <c r="H45" s="212">
        <v>-1.4136597243633697E-2</v>
      </c>
      <c r="I45" s="212">
        <v>-2.0233623483975283E-2</v>
      </c>
      <c r="J45" s="213">
        <v>-1.5055989955698346E-2</v>
      </c>
      <c r="L45" s="222"/>
      <c r="M45" s="222"/>
      <c r="N45" s="222"/>
      <c r="O45" s="222"/>
      <c r="P45" s="222"/>
      <c r="Q45" s="222"/>
    </row>
    <row r="46" spans="1:17">
      <c r="A46" s="181"/>
      <c r="B46" s="182"/>
      <c r="C46" s="182"/>
      <c r="D46" s="182"/>
      <c r="E46" s="182"/>
      <c r="F46" s="211"/>
      <c r="G46" s="212"/>
      <c r="H46" s="212"/>
      <c r="I46" s="212"/>
      <c r="J46" s="213"/>
    </row>
    <row r="47" spans="1:17">
      <c r="A47" s="181"/>
      <c r="B47" s="182"/>
      <c r="C47" s="182"/>
      <c r="D47" s="182"/>
      <c r="E47" s="182"/>
      <c r="F47" s="211"/>
      <c r="G47" s="212"/>
      <c r="H47" s="212"/>
      <c r="I47" s="212"/>
      <c r="J47" s="213"/>
    </row>
    <row r="48" spans="1:17" ht="15.75" thickBot="1">
      <c r="A48" s="190" t="s">
        <v>10</v>
      </c>
      <c r="B48" s="226">
        <v>38.915922087477433</v>
      </c>
      <c r="C48" s="226">
        <v>29.635626821361569</v>
      </c>
      <c r="D48" s="226">
        <v>27.499902680015339</v>
      </c>
      <c r="E48" s="226">
        <v>22.436954513361474</v>
      </c>
      <c r="F48" s="217">
        <v>-1.3273030719028855E-2</v>
      </c>
      <c r="G48" s="218">
        <v>-3.4098804545312777E-3</v>
      </c>
      <c r="H48" s="218">
        <v>-1.0923722377949918E-2</v>
      </c>
      <c r="I48" s="218">
        <v>-1.4847626759924459E-2</v>
      </c>
      <c r="J48" s="219">
        <v>-1.0122078981262272E-2</v>
      </c>
    </row>
    <row r="49" spans="1:17" ht="15.75" thickBot="1">
      <c r="A49" s="195"/>
      <c r="D49" s="170"/>
    </row>
    <row r="50" spans="1:17" ht="15.75" thickBot="1">
      <c r="A50" s="227" t="s">
        <v>126</v>
      </c>
      <c r="B50" s="228">
        <v>21.730357951288781</v>
      </c>
      <c r="C50" s="228">
        <v>14.811174711946599</v>
      </c>
      <c r="D50" s="228">
        <v>13.575301436583517</v>
      </c>
      <c r="E50" s="228">
        <v>9.1474675268768859</v>
      </c>
      <c r="F50" s="229">
        <v>-1.7464530547261159E-2</v>
      </c>
      <c r="G50" s="230">
        <v>-9.3304384083779945E-3</v>
      </c>
      <c r="H50" s="230">
        <v>-1.4331236969760019E-2</v>
      </c>
      <c r="I50" s="230">
        <v>-1.7275020441781752E-2</v>
      </c>
      <c r="J50" s="231">
        <v>-1.9545216478406569E-2</v>
      </c>
    </row>
    <row r="51" spans="1:17">
      <c r="A51" s="232"/>
      <c r="B51" s="233"/>
      <c r="C51" s="233"/>
      <c r="D51" s="233"/>
      <c r="E51" s="233"/>
      <c r="F51" s="212"/>
      <c r="G51" s="212"/>
      <c r="H51" s="212"/>
      <c r="I51" s="212"/>
      <c r="J51" s="212"/>
    </row>
    <row r="52" spans="1:17">
      <c r="B52" s="234"/>
      <c r="C52" s="171"/>
    </row>
    <row r="53" spans="1:17" ht="16.5" thickBot="1">
      <c r="A53" s="91" t="s">
        <v>127</v>
      </c>
      <c r="B53" s="81"/>
      <c r="C53" s="80"/>
      <c r="D53" s="80"/>
      <c r="E53" s="80"/>
      <c r="F53" s="80"/>
      <c r="G53" s="80"/>
      <c r="H53" s="80"/>
      <c r="I53" s="80"/>
      <c r="J53" s="80"/>
    </row>
    <row r="54" spans="1:17" ht="15.75" thickBot="1">
      <c r="A54" s="235" t="s">
        <v>128</v>
      </c>
      <c r="B54" s="178">
        <v>2000</v>
      </c>
      <c r="C54" s="178">
        <v>2025</v>
      </c>
      <c r="D54" s="178">
        <v>2030</v>
      </c>
      <c r="E54" s="178">
        <v>2050</v>
      </c>
      <c r="F54" s="197" t="s">
        <v>98</v>
      </c>
      <c r="G54" s="198" t="s">
        <v>99</v>
      </c>
      <c r="H54" s="198" t="s">
        <v>100</v>
      </c>
      <c r="I54" s="198" t="s">
        <v>101</v>
      </c>
      <c r="J54" s="199" t="s">
        <v>102</v>
      </c>
    </row>
    <row r="55" spans="1:17">
      <c r="A55" s="220" t="s">
        <v>111</v>
      </c>
      <c r="B55" s="209">
        <v>22.518680393209301</v>
      </c>
      <c r="C55" s="209">
        <v>16.609782512524042</v>
      </c>
      <c r="D55" s="209">
        <v>16.345912080578128</v>
      </c>
      <c r="E55" s="209">
        <v>16.542048660589597</v>
      </c>
      <c r="F55" s="203">
        <v>-1.9484576089642713E-2</v>
      </c>
      <c r="G55" s="204">
        <v>3.457246287976723E-4</v>
      </c>
      <c r="H55" s="204">
        <v>-2.1832446285263707E-3</v>
      </c>
      <c r="I55" s="204">
        <v>-3.1976743828334708E-3</v>
      </c>
      <c r="J55" s="205">
        <v>5.9656299673127577E-4</v>
      </c>
      <c r="L55" s="222"/>
      <c r="M55" s="222"/>
      <c r="N55" s="222"/>
      <c r="O55" s="222"/>
      <c r="P55" s="222"/>
      <c r="Q55" s="222"/>
    </row>
    <row r="56" spans="1:17">
      <c r="A56" s="223" t="s">
        <v>112</v>
      </c>
      <c r="B56" s="224">
        <v>12.717519555999999</v>
      </c>
      <c r="C56" s="224">
        <v>9.3297613320000004</v>
      </c>
      <c r="D56" s="236">
        <v>9.7280223479999997</v>
      </c>
      <c r="E56" s="224">
        <v>11.069596652632001</v>
      </c>
      <c r="F56" s="211">
        <v>-2.3522445296106476E-2</v>
      </c>
      <c r="G56" s="212">
        <v>4.2460480621713259E-3</v>
      </c>
      <c r="H56" s="212">
        <v>5.2329078770170234E-3</v>
      </c>
      <c r="I56" s="212">
        <v>8.3952821157484703E-3</v>
      </c>
      <c r="J56" s="213">
        <v>6.4804924837684741E-3</v>
      </c>
      <c r="L56" s="222"/>
      <c r="M56" s="222"/>
      <c r="N56" s="222"/>
      <c r="O56" s="222"/>
      <c r="P56" s="222"/>
      <c r="Q56" s="222"/>
    </row>
    <row r="57" spans="1:17">
      <c r="A57" s="223" t="s">
        <v>113</v>
      </c>
      <c r="B57" s="224">
        <v>6.4558120000000008</v>
      </c>
      <c r="C57" s="224">
        <v>4.2874216000000001</v>
      </c>
      <c r="D57" s="224">
        <v>3.5671275000000002</v>
      </c>
      <c r="E57" s="224">
        <v>1.9148900000000004</v>
      </c>
      <c r="F57" s="211">
        <v>-1.3782742229120348E-2</v>
      </c>
      <c r="G57" s="212">
        <v>-1.5474308830559447E-2</v>
      </c>
      <c r="H57" s="212">
        <v>-2.4327159240073892E-2</v>
      </c>
      <c r="I57" s="212">
        <v>-3.6116628208944679E-2</v>
      </c>
      <c r="J57" s="213">
        <v>-3.0626239311444592E-2</v>
      </c>
      <c r="L57" s="222"/>
      <c r="M57" s="222"/>
      <c r="N57" s="222"/>
      <c r="O57" s="222"/>
      <c r="P57" s="222"/>
      <c r="Q57" s="222"/>
    </row>
    <row r="58" spans="1:17">
      <c r="A58" s="220" t="s">
        <v>114</v>
      </c>
      <c r="B58" s="209">
        <v>34.317436634125585</v>
      </c>
      <c r="C58" s="209">
        <v>29.653527942090882</v>
      </c>
      <c r="D58" s="209">
        <v>29.375799873320595</v>
      </c>
      <c r="E58" s="209">
        <v>41.405759651043759</v>
      </c>
      <c r="F58" s="211">
        <v>-7.9524496774868725E-3</v>
      </c>
      <c r="G58" s="212">
        <v>-5.337329154053716E-4</v>
      </c>
      <c r="H58" s="212">
        <v>-4.716743914149224E-3</v>
      </c>
      <c r="I58" s="212">
        <v>-1.8802107418773861E-3</v>
      </c>
      <c r="J58" s="213">
        <v>1.7310560391055496E-2</v>
      </c>
      <c r="L58" s="222"/>
      <c r="M58" s="222"/>
      <c r="N58" s="222"/>
      <c r="O58" s="222"/>
      <c r="P58" s="222"/>
      <c r="Q58" s="222"/>
    </row>
    <row r="59" spans="1:17">
      <c r="A59" s="223" t="s">
        <v>115</v>
      </c>
      <c r="B59" s="224">
        <v>1.4306063496000001</v>
      </c>
      <c r="C59" s="224">
        <v>0.70553740195399994</v>
      </c>
      <c r="D59" s="224">
        <v>0.7359174663526401</v>
      </c>
      <c r="E59" s="224">
        <v>1.8039342958032001</v>
      </c>
      <c r="F59" s="211">
        <v>-4.3849908552130334E-2</v>
      </c>
      <c r="G59" s="212">
        <v>-5.9378485624641542E-3</v>
      </c>
      <c r="H59" s="212">
        <v>-9.0168293734382843E-4</v>
      </c>
      <c r="I59" s="212">
        <v>8.4672842999160558E-3</v>
      </c>
      <c r="J59" s="213">
        <v>4.5850432243369932E-2</v>
      </c>
      <c r="L59" s="222"/>
      <c r="M59" s="222"/>
      <c r="N59" s="222"/>
      <c r="O59" s="222"/>
      <c r="P59" s="222"/>
      <c r="Q59" s="222"/>
    </row>
    <row r="60" spans="1:17">
      <c r="A60" s="223" t="s">
        <v>116</v>
      </c>
      <c r="B60" s="224">
        <v>9.2656209821999997</v>
      </c>
      <c r="C60" s="224">
        <v>7.4040695891447159</v>
      </c>
      <c r="D60" s="224">
        <v>7.3256842281897461</v>
      </c>
      <c r="E60" s="224">
        <v>11.304263411981832</v>
      </c>
      <c r="F60" s="211">
        <v>-8.0114810887681465E-3</v>
      </c>
      <c r="G60" s="212">
        <v>-1.0518357694465075E-2</v>
      </c>
      <c r="H60" s="212">
        <v>-1.0099568113222435E-2</v>
      </c>
      <c r="I60" s="212">
        <v>-2.1263826370314654E-3</v>
      </c>
      <c r="J60" s="213">
        <v>2.1926600117262662E-2</v>
      </c>
      <c r="L60" s="222"/>
      <c r="M60" s="222"/>
      <c r="N60" s="222"/>
      <c r="O60" s="222"/>
      <c r="P60" s="222"/>
      <c r="Q60" s="222"/>
    </row>
    <row r="61" spans="1:17">
      <c r="A61" s="223" t="s">
        <v>117</v>
      </c>
      <c r="B61" s="224">
        <v>6.3840000000000003</v>
      </c>
      <c r="C61" s="224">
        <v>3.7427999999999999</v>
      </c>
      <c r="D61" s="224">
        <v>3.6204000000000001</v>
      </c>
      <c r="E61" s="224">
        <v>3.1696</v>
      </c>
      <c r="F61" s="211">
        <v>-3.068602496959294E-2</v>
      </c>
      <c r="G61" s="212">
        <v>-6.6272609556158324E-3</v>
      </c>
      <c r="H61" s="212">
        <v>-6.6207402593306819E-3</v>
      </c>
      <c r="I61" s="212">
        <v>-6.6278338643249723E-3</v>
      </c>
      <c r="J61" s="213">
        <v>-6.6269006013536247E-3</v>
      </c>
      <c r="L61" s="222"/>
      <c r="M61" s="222"/>
      <c r="N61" s="222"/>
      <c r="O61" s="222"/>
      <c r="P61" s="222"/>
      <c r="Q61" s="222"/>
    </row>
    <row r="62" spans="1:17">
      <c r="A62" s="220" t="s">
        <v>118</v>
      </c>
      <c r="B62" s="209">
        <v>10.089770094130467</v>
      </c>
      <c r="C62" s="209">
        <v>10.063123682945061</v>
      </c>
      <c r="D62" s="209">
        <v>10.642687574898492</v>
      </c>
      <c r="E62" s="209">
        <v>24.929055598960488</v>
      </c>
      <c r="F62" s="211">
        <v>-5.0466540081156586E-3</v>
      </c>
      <c r="G62" s="212">
        <v>7.0533802098573517E-3</v>
      </c>
      <c r="H62" s="212">
        <v>7.6498993768454593E-3</v>
      </c>
      <c r="I62" s="212">
        <v>1.1262028880753672E-2</v>
      </c>
      <c r="J62" s="213">
        <v>4.3476626924084938E-2</v>
      </c>
      <c r="L62" s="222"/>
      <c r="M62" s="222"/>
      <c r="N62" s="222"/>
      <c r="O62" s="222"/>
      <c r="P62" s="222"/>
      <c r="Q62" s="222"/>
    </row>
    <row r="63" spans="1:17">
      <c r="A63" s="223" t="s">
        <v>119</v>
      </c>
      <c r="B63" s="224">
        <v>2.8699343444999998</v>
      </c>
      <c r="C63" s="224">
        <v>2.8385934558183998</v>
      </c>
      <c r="D63" s="224">
        <v>2.9721824669571997</v>
      </c>
      <c r="E63" s="224">
        <v>7.073843024248001</v>
      </c>
      <c r="F63" s="211">
        <v>-8.1311686295574281E-3</v>
      </c>
      <c r="G63" s="212">
        <v>1.9264144643261982E-2</v>
      </c>
      <c r="H63" s="212">
        <v>3.221360872852852E-3</v>
      </c>
      <c r="I63" s="212">
        <v>9.2399982012025816E-3</v>
      </c>
      <c r="J63" s="213">
        <v>4.4308943926575362E-2</v>
      </c>
      <c r="L63" s="222"/>
      <c r="M63" s="222"/>
      <c r="N63" s="222"/>
      <c r="O63" s="222"/>
      <c r="P63" s="222"/>
      <c r="Q63" s="222"/>
    </row>
    <row r="64" spans="1:17">
      <c r="A64" s="223" t="s">
        <v>120</v>
      </c>
      <c r="B64" s="224">
        <v>3.5000683077700003</v>
      </c>
      <c r="C64" s="224">
        <v>3.4326263260955598</v>
      </c>
      <c r="D64" s="224">
        <v>3.5780317196343203</v>
      </c>
      <c r="E64" s="224">
        <v>8.172680268564001</v>
      </c>
      <c r="F64" s="211">
        <v>4.3277639952932212E-4</v>
      </c>
      <c r="G64" s="212">
        <v>-6.561472118623235E-3</v>
      </c>
      <c r="H64" s="212">
        <v>1.39465171572839E-3</v>
      </c>
      <c r="I64" s="212">
        <v>8.3319570067608151E-3</v>
      </c>
      <c r="J64" s="213">
        <v>4.2163877829478835E-2</v>
      </c>
      <c r="L64" s="222"/>
      <c r="M64" s="222"/>
      <c r="N64" s="222"/>
      <c r="O64" s="222"/>
      <c r="P64" s="222"/>
      <c r="Q64" s="222"/>
    </row>
    <row r="65" spans="1:17">
      <c r="A65" s="220" t="s">
        <v>121</v>
      </c>
      <c r="B65" s="209">
        <v>17.126937614697678</v>
      </c>
      <c r="C65" s="209">
        <v>19.806208122589318</v>
      </c>
      <c r="D65" s="209">
        <v>19.578351391634179</v>
      </c>
      <c r="E65" s="209">
        <v>35.759844305960428</v>
      </c>
      <c r="F65" s="211">
        <v>1.2865977180223087E-2</v>
      </c>
      <c r="G65" s="212">
        <v>-3.7101256771170377E-3</v>
      </c>
      <c r="H65" s="212">
        <v>-5.5506720125205744E-3</v>
      </c>
      <c r="I65" s="212">
        <v>-2.3115233324033646E-3</v>
      </c>
      <c r="J65" s="213">
        <v>3.0578255766283258E-2</v>
      </c>
      <c r="L65" s="222"/>
      <c r="M65" s="222"/>
      <c r="N65" s="222"/>
      <c r="O65" s="222"/>
      <c r="P65" s="222"/>
      <c r="Q65" s="222"/>
    </row>
    <row r="66" spans="1:17">
      <c r="A66" s="223" t="s">
        <v>122</v>
      </c>
      <c r="B66" s="224">
        <v>1.075774824</v>
      </c>
      <c r="C66" s="224">
        <v>1.1160082498275483</v>
      </c>
      <c r="D66" s="224">
        <v>1.2558461316999123</v>
      </c>
      <c r="E66" s="224">
        <v>4.36006303422492</v>
      </c>
      <c r="F66" s="211">
        <v>2.1363245239840456E-3</v>
      </c>
      <c r="G66" s="212">
        <v>-8.6550920534156361E-3</v>
      </c>
      <c r="H66" s="212">
        <v>9.6806017707231629E-3</v>
      </c>
      <c r="I66" s="212">
        <v>2.3891188290943388E-2</v>
      </c>
      <c r="J66" s="213">
        <v>6.4211179326033374E-2</v>
      </c>
      <c r="L66" s="222"/>
      <c r="M66" s="222"/>
      <c r="N66" s="222"/>
      <c r="O66" s="222"/>
      <c r="P66" s="222"/>
      <c r="Q66" s="222"/>
    </row>
    <row r="67" spans="1:17">
      <c r="A67" s="220" t="s">
        <v>123</v>
      </c>
      <c r="B67" s="209">
        <v>26.596511627906978</v>
      </c>
      <c r="C67" s="209">
        <v>23.634529632816339</v>
      </c>
      <c r="D67" s="209">
        <v>23.664536954230794</v>
      </c>
      <c r="E67" s="209">
        <v>41.628931969166253</v>
      </c>
      <c r="F67" s="211">
        <v>-1.085322009177081E-2</v>
      </c>
      <c r="G67" s="212">
        <v>7.9072416084033925E-3</v>
      </c>
      <c r="H67" s="212">
        <v>1.248012171704449E-3</v>
      </c>
      <c r="I67" s="212">
        <v>2.5379894664756542E-4</v>
      </c>
      <c r="J67" s="213">
        <v>2.8643444965444909E-2</v>
      </c>
      <c r="L67" s="222"/>
      <c r="M67" s="222"/>
      <c r="N67" s="222"/>
      <c r="O67" s="222"/>
      <c r="P67" s="222"/>
      <c r="Q67" s="222"/>
    </row>
    <row r="68" spans="1:17">
      <c r="A68" s="220" t="s">
        <v>124</v>
      </c>
      <c r="B68" s="209">
        <v>21.828811773529303</v>
      </c>
      <c r="C68" s="209">
        <v>14.264280154491409</v>
      </c>
      <c r="D68" s="209">
        <v>13.570287340274875</v>
      </c>
      <c r="E68" s="209">
        <v>20.138129256274084</v>
      </c>
      <c r="F68" s="211">
        <v>-2.1004882411991499E-2</v>
      </c>
      <c r="G68" s="212">
        <v>-9.9808225370821013E-3</v>
      </c>
      <c r="H68" s="212">
        <v>-1.1313127541162316E-2</v>
      </c>
      <c r="I68" s="212">
        <v>-9.9255875117842951E-3</v>
      </c>
      <c r="J68" s="213">
        <v>1.9932672113075034E-2</v>
      </c>
      <c r="L68" s="222"/>
      <c r="M68" s="222"/>
      <c r="N68" s="222"/>
      <c r="O68" s="222"/>
      <c r="P68" s="222"/>
      <c r="Q68" s="222"/>
    </row>
    <row r="69" spans="1:17">
      <c r="A69" s="223" t="s">
        <v>125</v>
      </c>
      <c r="B69" s="224">
        <v>12.133462936320001</v>
      </c>
      <c r="C69" s="224">
        <v>7.9764155531368806</v>
      </c>
      <c r="D69" s="224">
        <v>7.3710020571582611</v>
      </c>
      <c r="E69" s="224">
        <v>9.8448280746497989</v>
      </c>
      <c r="F69" s="211">
        <v>-1.9435635747002244E-2</v>
      </c>
      <c r="G69" s="212">
        <v>-1.248806694870741E-2</v>
      </c>
      <c r="H69" s="212">
        <v>-1.2370780345036914E-2</v>
      </c>
      <c r="I69" s="212">
        <v>-1.5663131115900453E-2</v>
      </c>
      <c r="J69" s="213">
        <v>1.4574821208431121E-2</v>
      </c>
      <c r="L69" s="222"/>
      <c r="M69" s="222"/>
      <c r="N69" s="222"/>
      <c r="O69" s="222"/>
      <c r="P69" s="222"/>
      <c r="Q69" s="222"/>
    </row>
    <row r="70" spans="1:17">
      <c r="A70" s="181"/>
      <c r="B70" s="182"/>
      <c r="C70" s="182"/>
      <c r="D70" s="182"/>
      <c r="E70" s="182"/>
      <c r="F70" s="211"/>
      <c r="G70" s="212"/>
      <c r="H70" s="212"/>
      <c r="I70" s="212"/>
      <c r="J70" s="213"/>
    </row>
    <row r="71" spans="1:17">
      <c r="A71" s="181"/>
      <c r="B71" s="182"/>
      <c r="C71" s="182"/>
      <c r="D71" s="182"/>
      <c r="E71" s="182"/>
      <c r="F71" s="211"/>
      <c r="G71" s="212"/>
      <c r="H71" s="212"/>
      <c r="I71" s="212"/>
      <c r="J71" s="213"/>
    </row>
    <row r="72" spans="1:17" ht="15.75" thickBot="1">
      <c r="A72" s="190" t="s">
        <v>10</v>
      </c>
      <c r="B72" s="226">
        <v>132.47814813759931</v>
      </c>
      <c r="C72" s="226">
        <v>114.03145204745707</v>
      </c>
      <c r="D72" s="226">
        <v>113.17757521493706</v>
      </c>
      <c r="E72" s="226">
        <v>180.4037694419946</v>
      </c>
      <c r="F72" s="217">
        <v>-8.9509795210076515E-3</v>
      </c>
      <c r="G72" s="218">
        <v>5.3024071355434188E-5</v>
      </c>
      <c r="H72" s="218">
        <v>-3.0631622876612363E-3</v>
      </c>
      <c r="I72" s="218">
        <v>-1.502122314941845E-3</v>
      </c>
      <c r="J72" s="219">
        <v>2.3585820623661213E-2</v>
      </c>
    </row>
    <row r="73" spans="1:17" ht="15.75" thickBot="1">
      <c r="A73" s="195"/>
      <c r="C73" s="171"/>
    </row>
    <row r="74" spans="1:17" ht="15.75" thickBot="1">
      <c r="A74" s="227" t="s">
        <v>126</v>
      </c>
      <c r="B74" s="228">
        <v>55.83279930039</v>
      </c>
      <c r="C74" s="228">
        <v>40.833233507977098</v>
      </c>
      <c r="D74" s="228">
        <v>40.154213917992081</v>
      </c>
      <c r="E74" s="228">
        <v>58.71369876210376</v>
      </c>
      <c r="F74" s="229">
        <v>-1.6810622409562326E-2</v>
      </c>
      <c r="G74" s="230">
        <v>-5.7734388262641323E-3</v>
      </c>
      <c r="H74" s="230">
        <v>-5.9047943408462311E-3</v>
      </c>
      <c r="I74" s="230">
        <v>-3.3481638277382819E-3</v>
      </c>
      <c r="J74" s="231">
        <v>1.9178880492322303E-2</v>
      </c>
    </row>
    <row r="75" spans="1:17">
      <c r="A75" s="232"/>
      <c r="B75" s="233"/>
      <c r="C75" s="233"/>
      <c r="D75" s="233"/>
      <c r="E75" s="233"/>
      <c r="F75" s="212"/>
      <c r="G75" s="212"/>
      <c r="H75" s="212"/>
      <c r="I75" s="212"/>
      <c r="J75" s="212"/>
    </row>
    <row r="76" spans="1:17">
      <c r="C76" s="171"/>
    </row>
    <row r="77" spans="1:17" ht="16.5" thickBot="1">
      <c r="A77" s="91" t="s">
        <v>129</v>
      </c>
      <c r="B77" s="81"/>
      <c r="C77" s="80"/>
      <c r="D77" s="80"/>
      <c r="E77" s="80"/>
      <c r="F77" s="80"/>
      <c r="G77" s="80"/>
      <c r="H77" s="80"/>
      <c r="I77" s="80"/>
      <c r="J77" s="80"/>
    </row>
    <row r="78" spans="1:17" ht="15.75" thickBot="1">
      <c r="A78" s="235" t="s">
        <v>51</v>
      </c>
      <c r="B78" s="178">
        <v>2000</v>
      </c>
      <c r="C78" s="178">
        <v>2025</v>
      </c>
      <c r="D78" s="178">
        <v>2030</v>
      </c>
      <c r="E78" s="178">
        <v>2050</v>
      </c>
      <c r="F78" s="197" t="s">
        <v>98</v>
      </c>
      <c r="G78" s="198" t="s">
        <v>99</v>
      </c>
      <c r="H78" s="198" t="s">
        <v>100</v>
      </c>
      <c r="I78" s="198" t="s">
        <v>101</v>
      </c>
      <c r="J78" s="199" t="s">
        <v>102</v>
      </c>
    </row>
    <row r="79" spans="1:17">
      <c r="A79" s="220" t="s">
        <v>111</v>
      </c>
      <c r="B79" s="209">
        <v>6.1028647040878994</v>
      </c>
      <c r="C79" s="209">
        <v>3.0476118036187563</v>
      </c>
      <c r="D79" s="209">
        <v>2.6285256088905298</v>
      </c>
      <c r="E79" s="209">
        <v>0.93993171058195146</v>
      </c>
      <c r="F79" s="203">
        <v>-3.2065133243258437E-2</v>
      </c>
      <c r="G79" s="204">
        <v>-2.0501464042258277E-2</v>
      </c>
      <c r="H79" s="204">
        <v>-2.0187474137542516E-2</v>
      </c>
      <c r="I79" s="204">
        <v>-2.9153625531606608E-2</v>
      </c>
      <c r="J79" s="205">
        <v>-5.0118991966425885E-2</v>
      </c>
      <c r="L79" s="222"/>
      <c r="M79" s="222"/>
      <c r="N79" s="222"/>
      <c r="O79" s="222"/>
      <c r="P79" s="222"/>
      <c r="Q79" s="222"/>
    </row>
    <row r="80" spans="1:17">
      <c r="A80" s="223" t="s">
        <v>112</v>
      </c>
      <c r="B80" s="224">
        <v>5.6397741040878993</v>
      </c>
      <c r="C80" s="224">
        <v>2.8901647001339992</v>
      </c>
      <c r="D80" s="224">
        <v>2.4957650379914069</v>
      </c>
      <c r="E80" s="224">
        <v>0.86839824527034348</v>
      </c>
      <c r="F80" s="211">
        <v>-3.0223983367855145E-2</v>
      </c>
      <c r="G80" s="212">
        <v>-2.1062081281624345E-2</v>
      </c>
      <c r="H80" s="212">
        <v>-2.0142982514886554E-2</v>
      </c>
      <c r="I80" s="212">
        <v>-2.8917291757819874E-2</v>
      </c>
      <c r="J80" s="213">
        <v>-5.1416072065252116E-2</v>
      </c>
      <c r="L80" s="222"/>
      <c r="M80" s="222"/>
      <c r="N80" s="222"/>
      <c r="O80" s="222"/>
      <c r="P80" s="222"/>
      <c r="Q80" s="222"/>
    </row>
    <row r="81" spans="1:17">
      <c r="A81" s="223" t="s">
        <v>113</v>
      </c>
      <c r="B81" s="224">
        <v>0.22049060000000001</v>
      </c>
      <c r="C81" s="224">
        <v>6.9875499999999979E-2</v>
      </c>
      <c r="D81" s="224">
        <v>5.2923600000000008E-2</v>
      </c>
      <c r="E81" s="224">
        <v>1.8942200000000003E-2</v>
      </c>
      <c r="F81" s="211">
        <v>-5.800925990156014E-2</v>
      </c>
      <c r="G81" s="212">
        <v>-1.8243449391070587E-2</v>
      </c>
      <c r="H81" s="212">
        <v>-3.1625686200436376E-2</v>
      </c>
      <c r="I81" s="212">
        <v>-5.4057169458854637E-2</v>
      </c>
      <c r="J81" s="213">
        <v>-5.0075580850414636E-2</v>
      </c>
      <c r="L81" s="222"/>
      <c r="M81" s="222"/>
      <c r="N81" s="222"/>
      <c r="O81" s="222"/>
      <c r="P81" s="222"/>
      <c r="Q81" s="222"/>
    </row>
    <row r="82" spans="1:17">
      <c r="A82" s="220" t="s">
        <v>114</v>
      </c>
      <c r="B82" s="209">
        <v>7.4539200114399993</v>
      </c>
      <c r="C82" s="209">
        <v>5.4198459969725219</v>
      </c>
      <c r="D82" s="209">
        <v>4.7897112578691594</v>
      </c>
      <c r="E82" s="209">
        <v>1.795024240422165</v>
      </c>
      <c r="F82" s="211">
        <v>-1.3773642860210988E-2</v>
      </c>
      <c r="G82" s="212">
        <v>-3.0033839999191736E-3</v>
      </c>
      <c r="H82" s="212">
        <v>-1.8936892563536922E-2</v>
      </c>
      <c r="I82" s="212">
        <v>-2.4416430642059117E-2</v>
      </c>
      <c r="J82" s="213">
        <v>-4.7887977249885028E-2</v>
      </c>
      <c r="L82" s="222"/>
      <c r="M82" s="222"/>
      <c r="N82" s="222"/>
      <c r="O82" s="222"/>
      <c r="P82" s="222"/>
      <c r="Q82" s="222"/>
    </row>
    <row r="83" spans="1:17">
      <c r="A83" s="223" t="s">
        <v>115</v>
      </c>
      <c r="B83" s="224">
        <v>0.56011000592000015</v>
      </c>
      <c r="C83" s="224">
        <v>0.38945718489798559</v>
      </c>
      <c r="D83" s="224">
        <v>0.37122548690476481</v>
      </c>
      <c r="E83" s="224">
        <v>0.19939095107078403</v>
      </c>
      <c r="F83" s="211">
        <v>-1.9342063656889397E-2</v>
      </c>
      <c r="G83" s="212">
        <v>-6.5227039328993319E-3</v>
      </c>
      <c r="H83" s="212">
        <v>-7.5087443496526518E-3</v>
      </c>
      <c r="I83" s="212">
        <v>-9.5430288444636746E-3</v>
      </c>
      <c r="J83" s="213">
        <v>-3.0599179512618147E-2</v>
      </c>
      <c r="L83" s="222"/>
      <c r="M83" s="222"/>
      <c r="N83" s="222"/>
      <c r="O83" s="222"/>
      <c r="P83" s="222"/>
      <c r="Q83" s="222"/>
    </row>
    <row r="84" spans="1:17">
      <c r="A84" s="223" t="s">
        <v>116</v>
      </c>
      <c r="B84" s="224">
        <v>4.3108100055199987</v>
      </c>
      <c r="C84" s="224">
        <v>2.9219111255068015</v>
      </c>
      <c r="D84" s="224">
        <v>2.5293064321475645</v>
      </c>
      <c r="E84" s="224">
        <v>0.53913407572640637</v>
      </c>
      <c r="F84" s="211">
        <v>-1.364621360705931E-2</v>
      </c>
      <c r="G84" s="212">
        <v>-1.1520690126172184E-2</v>
      </c>
      <c r="H84" s="212">
        <v>-2.4660321708745769E-2</v>
      </c>
      <c r="I84" s="212">
        <v>-2.8446122757142756E-2</v>
      </c>
      <c r="J84" s="213">
        <v>-7.4375658972649417E-2</v>
      </c>
      <c r="L84" s="222"/>
      <c r="M84" s="222"/>
      <c r="N84" s="222"/>
      <c r="O84" s="222"/>
      <c r="P84" s="222"/>
      <c r="Q84" s="222"/>
    </row>
    <row r="85" spans="1:17">
      <c r="A85" s="223" t="s">
        <v>117</v>
      </c>
      <c r="B85" s="224">
        <v>0</v>
      </c>
      <c r="C85" s="224">
        <v>0</v>
      </c>
      <c r="D85" s="224">
        <v>0</v>
      </c>
      <c r="E85" s="224">
        <v>0</v>
      </c>
      <c r="F85" s="211" t="e">
        <v>#DIV/0!</v>
      </c>
      <c r="G85" s="212" t="e">
        <v>#DIV/0!</v>
      </c>
      <c r="H85" s="212" t="e">
        <v>#DIV/0!</v>
      </c>
      <c r="I85" s="212" t="e">
        <v>#DIV/0!</v>
      </c>
      <c r="J85" s="213" t="e">
        <v>#DIV/0!</v>
      </c>
      <c r="L85" s="222"/>
      <c r="M85" s="222"/>
      <c r="N85" s="222"/>
      <c r="O85" s="222"/>
      <c r="P85" s="222"/>
      <c r="Q85" s="222"/>
    </row>
    <row r="86" spans="1:17">
      <c r="A86" s="220" t="s">
        <v>118</v>
      </c>
      <c r="B86" s="209">
        <v>3.6520466542679997</v>
      </c>
      <c r="C86" s="209">
        <v>2.7076978560362157</v>
      </c>
      <c r="D86" s="209">
        <v>2.6097213805676915</v>
      </c>
      <c r="E86" s="209">
        <v>1.3828415196373696</v>
      </c>
      <c r="F86" s="211">
        <v>-2.1313635408318321E-2</v>
      </c>
      <c r="G86" s="212">
        <v>8.7222550422911826E-3</v>
      </c>
      <c r="H86" s="212">
        <v>-3.8825196310914301E-3</v>
      </c>
      <c r="I86" s="212">
        <v>-7.3439622184802156E-3</v>
      </c>
      <c r="J86" s="213">
        <v>-3.1256250559140719E-2</v>
      </c>
      <c r="L86" s="222"/>
      <c r="M86" s="222"/>
      <c r="N86" s="222"/>
      <c r="O86" s="222"/>
      <c r="P86" s="222"/>
      <c r="Q86" s="222"/>
    </row>
    <row r="87" spans="1:17">
      <c r="A87" s="223" t="s">
        <v>119</v>
      </c>
      <c r="B87" s="224">
        <v>1.4896100470499998</v>
      </c>
      <c r="C87" s="224">
        <v>1.2815257689055501</v>
      </c>
      <c r="D87" s="224">
        <v>1.2511536211502998</v>
      </c>
      <c r="E87" s="224">
        <v>0.7810391513924998</v>
      </c>
      <c r="F87" s="211">
        <v>-1.5229321466198376E-2</v>
      </c>
      <c r="G87" s="212">
        <v>1.9923173048701726E-2</v>
      </c>
      <c r="H87" s="212">
        <v>-3.7733306483830331E-3</v>
      </c>
      <c r="I87" s="212">
        <v>-4.7855829108133241E-3</v>
      </c>
      <c r="J87" s="213">
        <v>-2.3284435801467329E-2</v>
      </c>
      <c r="L87" s="222"/>
      <c r="M87" s="222"/>
      <c r="N87" s="222"/>
      <c r="O87" s="222"/>
      <c r="P87" s="222"/>
      <c r="Q87" s="222"/>
    </row>
    <row r="88" spans="1:17">
      <c r="A88" s="223" t="s">
        <v>120</v>
      </c>
      <c r="B88" s="224">
        <v>1.1727366072179999</v>
      </c>
      <c r="C88" s="224">
        <v>0.8954958088193038</v>
      </c>
      <c r="D88" s="224">
        <v>0.83689880749767587</v>
      </c>
      <c r="E88" s="224">
        <v>0.33816436952759998</v>
      </c>
      <c r="F88" s="211">
        <v>-1.1581443545223058E-2</v>
      </c>
      <c r="G88" s="212">
        <v>-8.1404966884655039E-3</v>
      </c>
      <c r="H88" s="212">
        <v>-1.0764289211216749E-2</v>
      </c>
      <c r="I88" s="212">
        <v>-1.3443690845398315E-2</v>
      </c>
      <c r="J88" s="213">
        <v>-4.4297449820036583E-2</v>
      </c>
      <c r="L88" s="222"/>
      <c r="M88" s="222"/>
      <c r="N88" s="222"/>
      <c r="O88" s="222"/>
      <c r="P88" s="222"/>
      <c r="Q88" s="222"/>
    </row>
    <row r="89" spans="1:17">
      <c r="A89" s="220" t="s">
        <v>121</v>
      </c>
      <c r="B89" s="209">
        <v>3.676710006</v>
      </c>
      <c r="C89" s="209">
        <v>3.796156473733348</v>
      </c>
      <c r="D89" s="209">
        <v>3.3948131650042308</v>
      </c>
      <c r="E89" s="209">
        <v>1.3705057918160062</v>
      </c>
      <c r="F89" s="211">
        <v>7.1447590995870058E-3</v>
      </c>
      <c r="G89" s="212">
        <v>-2.3453896803018459E-3</v>
      </c>
      <c r="H89" s="212">
        <v>-1.253652537427774E-2</v>
      </c>
      <c r="I89" s="212">
        <v>-2.2100206370139208E-2</v>
      </c>
      <c r="J89" s="213">
        <v>-4.434034928410191E-2</v>
      </c>
      <c r="L89" s="222"/>
      <c r="M89" s="222"/>
      <c r="N89" s="222"/>
      <c r="O89" s="222"/>
      <c r="P89" s="222"/>
      <c r="Q89" s="222"/>
    </row>
    <row r="90" spans="1:17">
      <c r="A90" s="223" t="s">
        <v>122</v>
      </c>
      <c r="B90" s="224">
        <v>0.79941000600000001</v>
      </c>
      <c r="C90" s="224">
        <v>0.71758800933058786</v>
      </c>
      <c r="D90" s="224">
        <v>0.6731790314134839</v>
      </c>
      <c r="E90" s="224">
        <v>0.32072843222750008</v>
      </c>
      <c r="F90" s="211">
        <v>-7.2993426955259011E-4</v>
      </c>
      <c r="G90" s="212">
        <v>-8.6482980368652873E-3</v>
      </c>
      <c r="H90" s="212">
        <v>-1.066191293344998E-2</v>
      </c>
      <c r="I90" s="212">
        <v>-1.2695579882995522E-2</v>
      </c>
      <c r="J90" s="213">
        <v>-3.6392117229602783E-2</v>
      </c>
      <c r="L90" s="222"/>
      <c r="M90" s="222"/>
      <c r="N90" s="222"/>
      <c r="O90" s="222"/>
      <c r="P90" s="222"/>
      <c r="Q90" s="222"/>
    </row>
    <row r="91" spans="1:17">
      <c r="A91" s="220" t="s">
        <v>123</v>
      </c>
      <c r="B91" s="209">
        <v>2.481199999999999</v>
      </c>
      <c r="C91" s="209">
        <v>1.8059472130563652</v>
      </c>
      <c r="D91" s="209">
        <v>1.6318409444283501</v>
      </c>
      <c r="E91" s="209">
        <v>0.1810329669258543</v>
      </c>
      <c r="F91" s="211">
        <v>-1.8046870165126516E-2</v>
      </c>
      <c r="G91" s="212">
        <v>1.3911603631424629E-3</v>
      </c>
      <c r="H91" s="212">
        <v>-1.0233782875543107E-2</v>
      </c>
      <c r="I91" s="212">
        <v>-2.0071125438323012E-2</v>
      </c>
      <c r="J91" s="213">
        <v>-0.10411143744723672</v>
      </c>
      <c r="L91" s="222"/>
      <c r="M91" s="222"/>
      <c r="N91" s="222"/>
      <c r="O91" s="222"/>
      <c r="P91" s="222"/>
      <c r="Q91" s="222"/>
    </row>
    <row r="92" spans="1:17">
      <c r="A92" s="220" t="s">
        <v>124</v>
      </c>
      <c r="B92" s="209">
        <v>4.1560599718479994</v>
      </c>
      <c r="C92" s="209">
        <v>3.0516626018630584</v>
      </c>
      <c r="D92" s="209">
        <v>2.7120188547707866</v>
      </c>
      <c r="E92" s="209">
        <v>1.2528941119665928</v>
      </c>
      <c r="F92" s="211">
        <v>-1.1904361094133065E-2</v>
      </c>
      <c r="G92" s="212">
        <v>-9.750437620532959E-3</v>
      </c>
      <c r="H92" s="212">
        <v>-1.5922424886672948E-2</v>
      </c>
      <c r="I92" s="212">
        <v>-2.3322376412657886E-2</v>
      </c>
      <c r="J92" s="213">
        <v>-3.7875922442457077E-2</v>
      </c>
      <c r="L92" s="222"/>
      <c r="M92" s="222"/>
      <c r="N92" s="222"/>
      <c r="O92" s="222"/>
      <c r="P92" s="222"/>
      <c r="Q92" s="222"/>
    </row>
    <row r="93" spans="1:17">
      <c r="A93" s="223" t="s">
        <v>125</v>
      </c>
      <c r="B93" s="224">
        <v>2.7366599718479998</v>
      </c>
      <c r="C93" s="224">
        <v>2.1341305173637979</v>
      </c>
      <c r="D93" s="224">
        <v>1.9122084978968883</v>
      </c>
      <c r="E93" s="224">
        <v>1.0332007326072596</v>
      </c>
      <c r="F93" s="211">
        <v>-7.9650007687418478E-3</v>
      </c>
      <c r="G93" s="212">
        <v>-1.0876330321090033E-2</v>
      </c>
      <c r="H93" s="212">
        <v>-1.4700076010013885E-2</v>
      </c>
      <c r="I93" s="212">
        <v>-2.1720723816867182E-2</v>
      </c>
      <c r="J93" s="213">
        <v>-3.0310991049048219E-2</v>
      </c>
      <c r="L93" s="222"/>
      <c r="M93" s="222"/>
      <c r="N93" s="222"/>
      <c r="O93" s="222"/>
      <c r="P93" s="222"/>
      <c r="Q93" s="222"/>
    </row>
    <row r="94" spans="1:17">
      <c r="A94" s="181"/>
      <c r="B94" s="182"/>
      <c r="C94" s="182"/>
      <c r="D94" s="182"/>
      <c r="E94" s="182"/>
      <c r="F94" s="211"/>
      <c r="G94" s="212"/>
      <c r="H94" s="212"/>
      <c r="I94" s="212"/>
      <c r="J94" s="213"/>
    </row>
    <row r="95" spans="1:17">
      <c r="A95" s="181"/>
      <c r="B95" s="182"/>
      <c r="C95" s="182"/>
      <c r="D95" s="182"/>
      <c r="E95" s="182"/>
      <c r="F95" s="211"/>
      <c r="G95" s="212"/>
      <c r="H95" s="212"/>
      <c r="I95" s="212"/>
      <c r="J95" s="213"/>
    </row>
    <row r="96" spans="1:17" ht="15.75" thickBot="1">
      <c r="A96" s="190" t="s">
        <v>10</v>
      </c>
      <c r="B96" s="226">
        <v>27.522801347643899</v>
      </c>
      <c r="C96" s="226">
        <v>19.828921945280268</v>
      </c>
      <c r="D96" s="226">
        <v>17.766631211530747</v>
      </c>
      <c r="E96" s="226">
        <v>6.9222303413499384</v>
      </c>
      <c r="F96" s="217">
        <v>-1.5142659964137439E-2</v>
      </c>
      <c r="G96" s="218">
        <v>-5.0007053094305309E-3</v>
      </c>
      <c r="H96" s="218">
        <v>-1.4677176623779986E-2</v>
      </c>
      <c r="I96" s="218">
        <v>-2.17244555742514E-2</v>
      </c>
      <c r="J96" s="219">
        <v>-4.6035863756779483E-2</v>
      </c>
    </row>
    <row r="97" spans="1:10" ht="15.75" thickBot="1">
      <c r="A97" s="195"/>
      <c r="C97" s="171"/>
    </row>
    <row r="98" spans="1:10" ht="15.75" thickBot="1">
      <c r="A98" s="227" t="s">
        <v>126</v>
      </c>
      <c r="B98" s="228">
        <v>16.929601347643899</v>
      </c>
      <c r="C98" s="228">
        <v>11.300148614958026</v>
      </c>
      <c r="D98" s="228">
        <v>10.122660515002085</v>
      </c>
      <c r="E98" s="228">
        <v>4.0989981578223933</v>
      </c>
      <c r="F98" s="229">
        <v>-1.7651074497766484E-2</v>
      </c>
      <c r="G98" s="230">
        <v>-1.0361632943188592E-2</v>
      </c>
      <c r="H98" s="230">
        <v>-1.6863913586100732E-2</v>
      </c>
      <c r="I98" s="230">
        <v>-2.1767463933394238E-2</v>
      </c>
      <c r="J98" s="231">
        <v>-4.4195320257210291E-2</v>
      </c>
    </row>
    <row r="99" spans="1:10">
      <c r="A99" s="232"/>
      <c r="B99" s="233"/>
      <c r="C99" s="233"/>
      <c r="D99" s="233"/>
      <c r="E99" s="233"/>
      <c r="F99" s="212"/>
      <c r="G99" s="212"/>
      <c r="H99" s="212"/>
      <c r="I99" s="212"/>
      <c r="J99" s="212"/>
    </row>
    <row r="100" spans="1:10">
      <c r="D100" s="170"/>
    </row>
    <row r="101" spans="1:10" ht="16.5" thickBot="1">
      <c r="A101" s="91" t="s">
        <v>130</v>
      </c>
      <c r="B101" s="81"/>
      <c r="C101" s="81"/>
      <c r="D101" s="81"/>
      <c r="E101" s="80"/>
      <c r="F101" s="80"/>
      <c r="G101" s="80"/>
      <c r="H101" s="80"/>
      <c r="I101" s="80"/>
      <c r="J101" s="80"/>
    </row>
    <row r="102" spans="1:10" ht="15.75" thickBot="1">
      <c r="A102" s="177"/>
      <c r="B102" s="178">
        <v>2000</v>
      </c>
      <c r="C102" s="178">
        <v>2025</v>
      </c>
      <c r="D102" s="178">
        <v>2030</v>
      </c>
      <c r="E102" s="178">
        <v>2050</v>
      </c>
      <c r="F102" s="197" t="s">
        <v>98</v>
      </c>
      <c r="G102" s="198" t="s">
        <v>99</v>
      </c>
      <c r="H102" s="198" t="s">
        <v>100</v>
      </c>
      <c r="I102" s="198" t="s">
        <v>101</v>
      </c>
      <c r="J102" s="199" t="s">
        <v>102</v>
      </c>
    </row>
    <row r="103" spans="1:10" ht="15.75" thickBot="1">
      <c r="A103" s="190" t="s">
        <v>131</v>
      </c>
      <c r="B103" s="237">
        <v>0.14861493671090042</v>
      </c>
      <c r="C103" s="237">
        <v>9.1600088456929865E-2</v>
      </c>
      <c r="D103" s="237">
        <v>8.0494065121002392E-2</v>
      </c>
      <c r="E103" s="237">
        <v>5.0727758757542533E-2</v>
      </c>
      <c r="F103" s="217">
        <v>-1.9300991535037504E-2</v>
      </c>
      <c r="G103" s="218">
        <v>-1.7233359478206589E-2</v>
      </c>
      <c r="H103" s="218">
        <v>-2.0715069205962333E-2</v>
      </c>
      <c r="I103" s="218">
        <v>-2.5518511561099966E-2</v>
      </c>
      <c r="J103" s="219">
        <v>-2.2821077671392298E-2</v>
      </c>
    </row>
    <row r="104" spans="1:10">
      <c r="A104" s="238"/>
      <c r="D104" s="170"/>
    </row>
    <row r="105" spans="1:10">
      <c r="D105" s="170"/>
    </row>
    <row r="106" spans="1:10" ht="21">
      <c r="A106" s="78" t="s">
        <v>132</v>
      </c>
      <c r="B106" s="73"/>
      <c r="C106" s="73"/>
      <c r="D106" s="73"/>
      <c r="E106" s="239"/>
      <c r="F106" s="239"/>
      <c r="G106" s="239"/>
      <c r="H106" s="239"/>
      <c r="I106" s="239"/>
      <c r="J106" s="239"/>
    </row>
    <row r="107" spans="1:10">
      <c r="D107" s="170"/>
    </row>
    <row r="108" spans="1:10" ht="16.5" thickBot="1">
      <c r="A108" s="91" t="s">
        <v>133</v>
      </c>
      <c r="B108" s="81"/>
      <c r="C108" s="81"/>
      <c r="D108" s="81"/>
      <c r="E108" s="80"/>
      <c r="F108" s="80"/>
      <c r="G108" s="80"/>
      <c r="H108" s="80"/>
      <c r="I108" s="80"/>
      <c r="J108" s="80"/>
    </row>
    <row r="109" spans="1:10" ht="15.75" thickBot="1">
      <c r="A109" s="177" t="s">
        <v>51</v>
      </c>
      <c r="B109" s="178">
        <v>2000</v>
      </c>
      <c r="C109" s="178">
        <v>2025</v>
      </c>
      <c r="D109" s="178">
        <v>2030</v>
      </c>
      <c r="E109" s="178">
        <v>2050</v>
      </c>
      <c r="F109" s="197" t="s">
        <v>98</v>
      </c>
      <c r="G109" s="198" t="s">
        <v>99</v>
      </c>
      <c r="H109" s="198" t="s">
        <v>100</v>
      </c>
      <c r="I109" s="198" t="s">
        <v>101</v>
      </c>
      <c r="J109" s="199" t="s">
        <v>102</v>
      </c>
    </row>
    <row r="110" spans="1:10">
      <c r="A110" s="181" t="s">
        <v>103</v>
      </c>
      <c r="B110" s="182">
        <v>9.0758812906337827</v>
      </c>
      <c r="C110" s="182">
        <v>3.9542821665322192</v>
      </c>
      <c r="D110" s="182">
        <v>1.7531094981983244</v>
      </c>
      <c r="E110" s="182">
        <v>0.16876038587276018</v>
      </c>
      <c r="F110" s="203">
        <v>-2.0025322165468706E-2</v>
      </c>
      <c r="G110" s="204">
        <v>-3.2227817829655558E-2</v>
      </c>
      <c r="H110" s="204">
        <v>-7.0138912602095926E-2</v>
      </c>
      <c r="I110" s="204">
        <v>-0.15013826160384491</v>
      </c>
      <c r="J110" s="205">
        <v>-0.11044445054685692</v>
      </c>
    </row>
    <row r="111" spans="1:10">
      <c r="A111" s="181" t="s">
        <v>54</v>
      </c>
      <c r="B111" s="182">
        <v>15.00569239050041</v>
      </c>
      <c r="C111" s="182">
        <v>11.929887054209381</v>
      </c>
      <c r="D111" s="182">
        <v>10.440933334102589</v>
      </c>
      <c r="E111" s="182">
        <v>3.2906931433531605</v>
      </c>
      <c r="F111" s="211">
        <v>-2.1281407827751231E-3</v>
      </c>
      <c r="G111" s="212">
        <v>-1.2914478704932786E-2</v>
      </c>
      <c r="H111" s="212">
        <v>-2.6139052164786847E-2</v>
      </c>
      <c r="I111" s="212">
        <v>-2.6310250168805283E-2</v>
      </c>
      <c r="J111" s="213">
        <v>-5.6096920086786795E-2</v>
      </c>
    </row>
    <row r="112" spans="1:10">
      <c r="A112" s="181" t="s">
        <v>42</v>
      </c>
      <c r="B112" s="182">
        <v>5.9999999999999984E-2</v>
      </c>
      <c r="C112" s="182">
        <v>0</v>
      </c>
      <c r="D112" s="182">
        <v>0</v>
      </c>
      <c r="E112" s="182">
        <v>0</v>
      </c>
      <c r="F112" s="211">
        <v>-1</v>
      </c>
      <c r="G112" s="212" t="e">
        <v>#DIV/0!</v>
      </c>
      <c r="H112" s="212" t="e">
        <v>#DIV/0!</v>
      </c>
      <c r="I112" s="212" t="e">
        <v>#DIV/0!</v>
      </c>
      <c r="J112" s="213" t="e">
        <v>#DIV/0!</v>
      </c>
    </row>
    <row r="113" spans="1:10">
      <c r="A113" s="181" t="s">
        <v>104</v>
      </c>
      <c r="B113" s="182">
        <v>10.566459797679247</v>
      </c>
      <c r="C113" s="182">
        <v>12.779135686755508</v>
      </c>
      <c r="D113" s="182">
        <v>12.106495373667938</v>
      </c>
      <c r="E113" s="182">
        <v>11.33310109741109</v>
      </c>
      <c r="F113" s="211">
        <v>1.8318675562970954E-2</v>
      </c>
      <c r="G113" s="212">
        <v>-9.1301644621099021E-3</v>
      </c>
      <c r="H113" s="212">
        <v>-7.2345335063984662E-3</v>
      </c>
      <c r="I113" s="212">
        <v>-1.0756075286291966E-2</v>
      </c>
      <c r="J113" s="213">
        <v>-3.2952772158820753E-3</v>
      </c>
    </row>
    <row r="114" spans="1:10">
      <c r="A114" s="181" t="s">
        <v>105</v>
      </c>
      <c r="B114" s="182">
        <v>1.7520381736811979</v>
      </c>
      <c r="C114" s="182">
        <v>1.8553686069309605</v>
      </c>
      <c r="D114" s="182">
        <v>2.2479759646467494</v>
      </c>
      <c r="E114" s="182">
        <v>2.1939463906381054</v>
      </c>
      <c r="F114" s="211">
        <v>-1.8434293198953178E-2</v>
      </c>
      <c r="G114" s="212">
        <v>1.069332772347642E-2</v>
      </c>
      <c r="H114" s="212">
        <v>5.8278074544066305E-2</v>
      </c>
      <c r="I114" s="212">
        <v>3.9135763206619822E-2</v>
      </c>
      <c r="J114" s="213">
        <v>-1.2156761197724686E-3</v>
      </c>
    </row>
    <row r="115" spans="1:10">
      <c r="A115" s="181" t="s">
        <v>134</v>
      </c>
      <c r="B115" s="182">
        <v>6.296013916158028</v>
      </c>
      <c r="C115" s="182">
        <v>4.7336965870786818</v>
      </c>
      <c r="D115" s="182">
        <v>5.2384202374876301</v>
      </c>
      <c r="E115" s="182">
        <v>2.9485640726408189</v>
      </c>
      <c r="F115" s="211">
        <v>-2.6273586664713022E-2</v>
      </c>
      <c r="G115" s="212">
        <v>1.4107082876768207E-2</v>
      </c>
      <c r="H115" s="212">
        <v>8.8631964133378816E-3</v>
      </c>
      <c r="I115" s="212">
        <v>2.0469393296532301E-2</v>
      </c>
      <c r="J115" s="213">
        <v>-2.8326157420179299E-2</v>
      </c>
    </row>
    <row r="116" spans="1:10">
      <c r="A116" s="181" t="s">
        <v>135</v>
      </c>
      <c r="B116" s="182">
        <v>2.0606803808999999E-2</v>
      </c>
      <c r="C116" s="182">
        <v>0.17301132305501996</v>
      </c>
      <c r="D116" s="182">
        <v>0.21011104449581849</v>
      </c>
      <c r="E116" s="182">
        <v>0.36846530198985222</v>
      </c>
      <c r="F116" s="211"/>
      <c r="G116" s="212"/>
      <c r="H116" s="212"/>
      <c r="I116" s="212"/>
      <c r="J116" s="213"/>
    </row>
    <row r="117" spans="1:10">
      <c r="A117" s="181" t="s">
        <v>136</v>
      </c>
      <c r="B117" s="182">
        <v>0</v>
      </c>
      <c r="C117" s="182">
        <v>0.92374869985651298</v>
      </c>
      <c r="D117" s="182">
        <v>1.4149173781835669</v>
      </c>
      <c r="E117" s="182">
        <v>3.3607236291928517</v>
      </c>
      <c r="F117" s="211"/>
      <c r="G117" s="212"/>
      <c r="H117" s="212"/>
      <c r="I117" s="212"/>
      <c r="J117" s="213"/>
    </row>
    <row r="118" spans="1:10">
      <c r="A118" s="181"/>
      <c r="B118" s="182"/>
      <c r="C118" s="182"/>
      <c r="D118" s="182"/>
      <c r="E118" s="240"/>
      <c r="F118" s="211"/>
      <c r="G118" s="212"/>
      <c r="H118" s="212"/>
      <c r="I118" s="212"/>
      <c r="J118" s="213"/>
    </row>
    <row r="119" spans="1:10" ht="15.75" thickBot="1">
      <c r="A119" s="241" t="s">
        <v>10</v>
      </c>
      <c r="B119" s="242">
        <v>42.776692372461667</v>
      </c>
      <c r="C119" s="242">
        <v>36.349130124418281</v>
      </c>
      <c r="D119" s="242">
        <v>33.411962830782613</v>
      </c>
      <c r="E119" s="242">
        <v>23.664254021098639</v>
      </c>
      <c r="F119" s="217">
        <v>-2.7444237679368211E-3</v>
      </c>
      <c r="G119" s="218">
        <v>-9.437605874686672E-3</v>
      </c>
      <c r="H119" s="218">
        <v>-1.4728075072347302E-2</v>
      </c>
      <c r="I119" s="218">
        <v>-1.6710065541940655E-2</v>
      </c>
      <c r="J119" s="219">
        <v>-1.7099532918173233E-2</v>
      </c>
    </row>
    <row r="120" spans="1:10">
      <c r="A120" s="195"/>
      <c r="B120" s="171"/>
      <c r="C120" s="171"/>
    </row>
    <row r="121" spans="1:10">
      <c r="B121" s="171"/>
      <c r="C121" s="171"/>
    </row>
    <row r="122" spans="1:10" ht="16.5" thickBot="1">
      <c r="A122" s="91" t="s">
        <v>137</v>
      </c>
      <c r="B122" s="80"/>
      <c r="C122" s="80"/>
      <c r="D122" s="80"/>
      <c r="E122" s="80"/>
      <c r="F122" s="80"/>
      <c r="G122" s="80"/>
      <c r="H122" s="80"/>
      <c r="I122" s="80"/>
      <c r="J122" s="80"/>
    </row>
    <row r="123" spans="1:10" ht="15.75" thickBot="1">
      <c r="A123" s="177" t="s">
        <v>51</v>
      </c>
      <c r="B123" s="178">
        <v>2000</v>
      </c>
      <c r="C123" s="178">
        <v>2025</v>
      </c>
      <c r="D123" s="178">
        <v>2030</v>
      </c>
      <c r="E123" s="178">
        <v>2050</v>
      </c>
      <c r="F123" s="197" t="s">
        <v>98</v>
      </c>
      <c r="G123" s="198" t="s">
        <v>99</v>
      </c>
      <c r="H123" s="198" t="s">
        <v>100</v>
      </c>
      <c r="I123" s="198" t="s">
        <v>101</v>
      </c>
      <c r="J123" s="199" t="s">
        <v>102</v>
      </c>
    </row>
    <row r="124" spans="1:10">
      <c r="A124" s="181" t="s">
        <v>138</v>
      </c>
      <c r="B124" s="182">
        <v>30.921999999999997</v>
      </c>
      <c r="C124" s="182">
        <v>24.556586241057079</v>
      </c>
      <c r="D124" s="182">
        <v>22.500670721059336</v>
      </c>
      <c r="E124" s="182">
        <v>13.334897826045292</v>
      </c>
      <c r="F124" s="203">
        <v>-7.4234907039650855E-3</v>
      </c>
      <c r="G124" s="204">
        <v>-8.746665373995377E-3</v>
      </c>
      <c r="H124" s="204">
        <v>-1.4847545609201207E-2</v>
      </c>
      <c r="I124" s="204">
        <v>-1.7334985513456469E-2</v>
      </c>
      <c r="J124" s="205">
        <v>-2.5818873523801744E-2</v>
      </c>
    </row>
    <row r="125" spans="1:10">
      <c r="A125" s="181" t="s">
        <v>139</v>
      </c>
      <c r="B125" s="182">
        <v>4.4291695783465306</v>
      </c>
      <c r="C125" s="182">
        <v>3.6501223090048343</v>
      </c>
      <c r="D125" s="182">
        <v>3.2293203917086788</v>
      </c>
      <c r="E125" s="182">
        <v>3.0877315221168047</v>
      </c>
      <c r="F125" s="211">
        <v>6.7392976798696935E-4</v>
      </c>
      <c r="G125" s="212">
        <v>-1.5747655193639298E-2</v>
      </c>
      <c r="H125" s="212">
        <v>-2.4532493162332081E-2</v>
      </c>
      <c r="I125" s="212">
        <v>-2.4200157746800732E-2</v>
      </c>
      <c r="J125" s="213">
        <v>-2.239240351833538E-3</v>
      </c>
    </row>
    <row r="126" spans="1:10">
      <c r="A126" s="181" t="s">
        <v>140</v>
      </c>
      <c r="B126" s="182">
        <v>2.4602635678511495</v>
      </c>
      <c r="C126" s="182">
        <v>2.6644230002880747</v>
      </c>
      <c r="D126" s="182">
        <v>2.6318035872293759</v>
      </c>
      <c r="E126" s="182">
        <v>2.4418703020455128</v>
      </c>
      <c r="F126" s="211">
        <v>5.899994469378278E-3</v>
      </c>
      <c r="G126" s="212">
        <v>-1.349732281475946E-4</v>
      </c>
      <c r="H126" s="212">
        <v>-1.5679524467334671E-3</v>
      </c>
      <c r="I126" s="212">
        <v>-2.4605953999589092E-3</v>
      </c>
      <c r="J126" s="213">
        <v>-3.7382514184234328E-3</v>
      </c>
    </row>
    <row r="127" spans="1:10">
      <c r="A127" s="181" t="s">
        <v>141</v>
      </c>
      <c r="B127" s="182">
        <v>0.96691652368930292</v>
      </c>
      <c r="C127" s="182">
        <v>0.46186005347147885</v>
      </c>
      <c r="D127" s="182">
        <v>0.32666683780059202</v>
      </c>
      <c r="E127" s="182">
        <v>0.24563663908069516</v>
      </c>
      <c r="F127" s="211">
        <v>-2.1167259936537342E-2</v>
      </c>
      <c r="G127" s="212">
        <v>-3.4973068433000298E-2</v>
      </c>
      <c r="H127" s="212">
        <v>-4.6854090106972612E-2</v>
      </c>
      <c r="I127" s="212">
        <v>-6.6919895354197623E-2</v>
      </c>
      <c r="J127" s="213">
        <v>-1.4153259431963772E-2</v>
      </c>
    </row>
    <row r="128" spans="1:10">
      <c r="A128" s="181" t="s">
        <v>142</v>
      </c>
      <c r="B128" s="182">
        <v>3.9867830846792645</v>
      </c>
      <c r="C128" s="243">
        <v>4.9211498092683286</v>
      </c>
      <c r="D128" s="243">
        <v>4.6048355734494608</v>
      </c>
      <c r="E128" s="243">
        <v>4.2973325560961708</v>
      </c>
      <c r="F128" s="211">
        <v>2.1497285887240869E-2</v>
      </c>
      <c r="G128" s="212">
        <v>-9.9528337628007613E-3</v>
      </c>
      <c r="H128" s="212">
        <v>-1.1626120162068321E-2</v>
      </c>
      <c r="I128" s="212">
        <v>-1.3199165099354926E-2</v>
      </c>
      <c r="J128" s="213">
        <v>-3.4496596328031925E-3</v>
      </c>
    </row>
    <row r="129" spans="1:10">
      <c r="A129" s="181" t="s">
        <v>143</v>
      </c>
      <c r="B129" s="182">
        <v>1.15596178954212E-2</v>
      </c>
      <c r="C129" s="182">
        <v>9.4988711328484993E-2</v>
      </c>
      <c r="D129" s="182">
        <v>0.11866571953517088</v>
      </c>
      <c r="E129" s="182">
        <v>0.2567851757141662</v>
      </c>
      <c r="F129" s="211"/>
      <c r="G129" s="212"/>
      <c r="H129" s="212"/>
      <c r="I129" s="212"/>
      <c r="J129" s="213"/>
    </row>
    <row r="130" spans="1:10">
      <c r="A130" s="181"/>
      <c r="B130" s="182"/>
      <c r="C130" s="182"/>
      <c r="D130" s="182"/>
      <c r="E130" s="182"/>
      <c r="F130" s="211"/>
      <c r="G130" s="212"/>
      <c r="H130" s="212"/>
      <c r="I130" s="212"/>
      <c r="J130" s="213"/>
    </row>
    <row r="131" spans="1:10" ht="15.75" thickBot="1">
      <c r="A131" s="241" t="s">
        <v>10</v>
      </c>
      <c r="B131" s="242">
        <v>42.776692372461667</v>
      </c>
      <c r="C131" s="242">
        <v>36.349130124418281</v>
      </c>
      <c r="D131" s="242">
        <v>33.411962830782613</v>
      </c>
      <c r="E131" s="242">
        <v>23.664254021098639</v>
      </c>
      <c r="F131" s="217">
        <v>-2.7444237679368211E-3</v>
      </c>
      <c r="G131" s="218">
        <v>-9.437605874686672E-3</v>
      </c>
      <c r="H131" s="218">
        <v>-1.4728075072347302E-2</v>
      </c>
      <c r="I131" s="218">
        <v>-1.6710065541940655E-2</v>
      </c>
      <c r="J131" s="219">
        <v>-1.7099532918173233E-2</v>
      </c>
    </row>
    <row r="132" spans="1:10">
      <c r="A132" s="195"/>
      <c r="B132" s="171"/>
      <c r="C132" s="171"/>
    </row>
    <row r="133" spans="1:10">
      <c r="B133" s="171"/>
      <c r="C133" s="171"/>
    </row>
    <row r="134" spans="1:10" ht="16.5" thickBot="1">
      <c r="A134" s="91" t="s">
        <v>144</v>
      </c>
      <c r="B134" s="80"/>
      <c r="C134" s="80"/>
      <c r="D134" s="80"/>
      <c r="E134" s="80"/>
      <c r="F134" s="80"/>
      <c r="G134" s="80"/>
      <c r="H134" s="80"/>
      <c r="I134" s="80"/>
      <c r="J134" s="80"/>
    </row>
    <row r="135" spans="1:10" ht="15.75" thickBot="1">
      <c r="A135" s="177" t="s">
        <v>51</v>
      </c>
      <c r="B135" s="178">
        <v>2000</v>
      </c>
      <c r="C135" s="178">
        <v>2025</v>
      </c>
      <c r="D135" s="178">
        <v>2030</v>
      </c>
      <c r="E135" s="178">
        <v>2050</v>
      </c>
      <c r="F135" s="197" t="s">
        <v>98</v>
      </c>
      <c r="G135" s="198" t="s">
        <v>99</v>
      </c>
      <c r="H135" s="198" t="s">
        <v>100</v>
      </c>
      <c r="I135" s="198" t="s">
        <v>101</v>
      </c>
      <c r="J135" s="199" t="s">
        <v>102</v>
      </c>
    </row>
    <row r="136" spans="1:10">
      <c r="A136" s="181" t="s">
        <v>103</v>
      </c>
      <c r="B136" s="182">
        <v>9.0758812906337827</v>
      </c>
      <c r="C136" s="182">
        <v>3.9542821665322192</v>
      </c>
      <c r="D136" s="182">
        <v>1.7531094981983244</v>
      </c>
      <c r="E136" s="182">
        <v>0.16876038587276018</v>
      </c>
      <c r="F136" s="203">
        <v>-2.0025322165468706E-2</v>
      </c>
      <c r="G136" s="204">
        <v>-3.2227817829655558E-2</v>
      </c>
      <c r="H136" s="204">
        <v>-7.0138912602095926E-2</v>
      </c>
      <c r="I136" s="204">
        <v>-0.15013826160384491</v>
      </c>
      <c r="J136" s="205">
        <v>-0.11044445054685692</v>
      </c>
    </row>
    <row r="137" spans="1:10">
      <c r="A137" s="181" t="s">
        <v>54</v>
      </c>
      <c r="B137" s="182">
        <v>15.00569239050041</v>
      </c>
      <c r="C137" s="182">
        <v>11.929887054209381</v>
      </c>
      <c r="D137" s="182">
        <v>10.440933334102589</v>
      </c>
      <c r="E137" s="182">
        <v>3.2906931433531605</v>
      </c>
      <c r="F137" s="211">
        <v>-2.1281407827751231E-3</v>
      </c>
      <c r="G137" s="212">
        <v>-1.2914478704932786E-2</v>
      </c>
      <c r="H137" s="212">
        <v>-2.6139052164786847E-2</v>
      </c>
      <c r="I137" s="212">
        <v>-2.6310250168805283E-2</v>
      </c>
      <c r="J137" s="213">
        <v>-5.6096920086786795E-2</v>
      </c>
    </row>
    <row r="138" spans="1:10">
      <c r="A138" s="181" t="s">
        <v>42</v>
      </c>
      <c r="B138" s="182">
        <v>5.9999999999999984E-2</v>
      </c>
      <c r="C138" s="182">
        <v>0</v>
      </c>
      <c r="D138" s="182">
        <v>0</v>
      </c>
      <c r="E138" s="182">
        <v>0</v>
      </c>
      <c r="F138" s="211">
        <v>-1</v>
      </c>
      <c r="G138" s="212" t="e">
        <v>#DIV/0!</v>
      </c>
      <c r="H138" s="212" t="e">
        <v>#DIV/0!</v>
      </c>
      <c r="I138" s="212" t="e">
        <v>#DIV/0!</v>
      </c>
      <c r="J138" s="213" t="e">
        <v>#DIV/0!</v>
      </c>
    </row>
    <row r="139" spans="1:10">
      <c r="A139" s="181" t="s">
        <v>104</v>
      </c>
      <c r="B139" s="182">
        <v>5.6012005714152586</v>
      </c>
      <c r="C139" s="182">
        <v>7.3011371126872149</v>
      </c>
      <c r="D139" s="182">
        <v>7.0563272428827135</v>
      </c>
      <c r="E139" s="182">
        <v>6.5333467265200591</v>
      </c>
      <c r="F139" s="211">
        <v>2.0889974020766644E-2</v>
      </c>
      <c r="G139" s="212">
        <v>-6.7035005843146811E-3</v>
      </c>
      <c r="H139" s="212">
        <v>-2.2857963979989737E-3</v>
      </c>
      <c r="I139" s="212">
        <v>-6.797871084570084E-3</v>
      </c>
      <c r="J139" s="213">
        <v>-3.8428656227995628E-3</v>
      </c>
    </row>
    <row r="140" spans="1:10">
      <c r="A140" s="181" t="s">
        <v>105</v>
      </c>
      <c r="B140" s="182">
        <v>1.7520381736811979</v>
      </c>
      <c r="C140" s="182">
        <v>1.8553686069309605</v>
      </c>
      <c r="D140" s="182">
        <v>2.2479759646467494</v>
      </c>
      <c r="E140" s="182">
        <v>2.1939463906381054</v>
      </c>
      <c r="F140" s="211">
        <v>-1.8434293198953178E-2</v>
      </c>
      <c r="G140" s="212">
        <v>1.069332772347642E-2</v>
      </c>
      <c r="H140" s="212">
        <v>5.8278074544066305E-2</v>
      </c>
      <c r="I140" s="212">
        <v>3.9135763206619822E-2</v>
      </c>
      <c r="J140" s="213">
        <v>-1.2156761197724686E-3</v>
      </c>
    </row>
    <row r="141" spans="1:10">
      <c r="A141" s="181" t="s">
        <v>134</v>
      </c>
      <c r="B141" s="182">
        <v>6.296013916158028</v>
      </c>
      <c r="C141" s="182">
        <v>4.7336965870786818</v>
      </c>
      <c r="D141" s="182">
        <v>5.2384202374876301</v>
      </c>
      <c r="E141" s="182">
        <v>2.9485640726408189</v>
      </c>
      <c r="F141" s="211">
        <v>-2.6273586664713022E-2</v>
      </c>
      <c r="G141" s="212">
        <v>1.4107082876768207E-2</v>
      </c>
      <c r="H141" s="212">
        <v>8.8631964133378816E-3</v>
      </c>
      <c r="I141" s="212">
        <v>2.0469393296532301E-2</v>
      </c>
      <c r="J141" s="213">
        <v>-2.8326157420179299E-2</v>
      </c>
    </row>
    <row r="142" spans="1:10">
      <c r="A142" s="181" t="s">
        <v>135</v>
      </c>
      <c r="B142" s="182">
        <v>2.0606803808999999E-2</v>
      </c>
      <c r="C142" s="182">
        <v>0.17301132305501996</v>
      </c>
      <c r="D142" s="182">
        <v>0.21011104449581849</v>
      </c>
      <c r="E142" s="182">
        <v>0.36846530198985222</v>
      </c>
      <c r="F142" s="211"/>
      <c r="G142" s="212"/>
      <c r="H142" s="212"/>
      <c r="I142" s="212"/>
      <c r="J142" s="213"/>
    </row>
    <row r="143" spans="1:10">
      <c r="A143" s="181" t="s">
        <v>136</v>
      </c>
      <c r="B143" s="182">
        <v>0</v>
      </c>
      <c r="C143" s="182">
        <v>0.92374869985651298</v>
      </c>
      <c r="D143" s="182">
        <v>1.4149173781835669</v>
      </c>
      <c r="E143" s="182">
        <v>3.3607236291928517</v>
      </c>
      <c r="F143" s="211"/>
      <c r="G143" s="212"/>
      <c r="H143" s="212"/>
      <c r="I143" s="212"/>
      <c r="J143" s="213"/>
    </row>
    <row r="144" spans="1:10">
      <c r="A144" s="181"/>
      <c r="B144" s="182"/>
      <c r="C144" s="182"/>
      <c r="D144" s="182"/>
      <c r="E144" s="244"/>
      <c r="F144" s="211"/>
      <c r="G144" s="212"/>
      <c r="H144" s="212"/>
      <c r="I144" s="212"/>
      <c r="J144" s="213"/>
    </row>
    <row r="145" spans="1:16" ht="15.75" thickBot="1">
      <c r="A145" s="241" t="s">
        <v>10</v>
      </c>
      <c r="B145" s="242">
        <v>37.811433146197679</v>
      </c>
      <c r="C145" s="242">
        <v>30.871131550349993</v>
      </c>
      <c r="D145" s="242">
        <v>28.36179469999739</v>
      </c>
      <c r="E145" s="242">
        <v>18.864499650207609</v>
      </c>
      <c r="F145" s="217">
        <v>-5.4920684513537488E-3</v>
      </c>
      <c r="G145" s="218">
        <v>-8.9575079206613006E-3</v>
      </c>
      <c r="H145" s="218">
        <v>-1.492600821646517E-2</v>
      </c>
      <c r="I145" s="218">
        <v>-1.6812763244704709E-2</v>
      </c>
      <c r="J145" s="219">
        <v>-2.0181626445999301E-2</v>
      </c>
    </row>
    <row r="146" spans="1:16">
      <c r="B146" s="245"/>
      <c r="C146" s="245"/>
      <c r="D146" s="245"/>
      <c r="E146" s="245"/>
    </row>
    <row r="147" spans="1:16">
      <c r="B147" s="171"/>
      <c r="C147" s="171"/>
    </row>
    <row r="148" spans="1:16" ht="16.5" thickBot="1">
      <c r="A148" s="91" t="s">
        <v>145</v>
      </c>
      <c r="B148" s="80"/>
      <c r="C148" s="80"/>
      <c r="D148" s="80"/>
      <c r="E148" s="80"/>
      <c r="F148" s="80"/>
      <c r="G148" s="80"/>
      <c r="H148" s="80"/>
      <c r="I148" s="80"/>
      <c r="J148" s="80"/>
    </row>
    <row r="149" spans="1:16" ht="15.75" thickBot="1">
      <c r="A149" s="177" t="s">
        <v>51</v>
      </c>
      <c r="B149" s="178">
        <v>2000</v>
      </c>
      <c r="C149" s="178">
        <v>2025</v>
      </c>
      <c r="D149" s="178">
        <v>2030</v>
      </c>
      <c r="E149" s="178">
        <v>2050</v>
      </c>
      <c r="F149" s="197" t="s">
        <v>98</v>
      </c>
      <c r="G149" s="198" t="s">
        <v>99</v>
      </c>
      <c r="H149" s="198" t="s">
        <v>100</v>
      </c>
      <c r="I149" s="198" t="s">
        <v>101</v>
      </c>
      <c r="J149" s="199" t="s">
        <v>102</v>
      </c>
    </row>
    <row r="150" spans="1:16">
      <c r="A150" s="181" t="s">
        <v>103</v>
      </c>
      <c r="B150" s="209">
        <v>7.419999999999999</v>
      </c>
      <c r="C150" s="209">
        <v>3.5407914375654852</v>
      </c>
      <c r="D150" s="209">
        <v>1.4747347028987237</v>
      </c>
      <c r="E150" s="209">
        <v>2.6442678991241385E-2</v>
      </c>
      <c r="F150" s="203">
        <v>-1.6427255683063358E-2</v>
      </c>
      <c r="G150" s="204">
        <v>-3.1228926371364762E-2</v>
      </c>
      <c r="H150" s="204">
        <v>-6.4381783838255324E-2</v>
      </c>
      <c r="I150" s="204">
        <v>-0.1606893947818594</v>
      </c>
      <c r="J150" s="205">
        <v>-0.18213885227406568</v>
      </c>
      <c r="L150" s="186"/>
      <c r="M150" s="186"/>
      <c r="N150" s="186"/>
      <c r="O150" s="186"/>
      <c r="P150" s="186"/>
    </row>
    <row r="151" spans="1:16">
      <c r="A151" s="181" t="s">
        <v>54</v>
      </c>
      <c r="B151" s="209">
        <v>12.597999999999999</v>
      </c>
      <c r="C151" s="209">
        <v>10.080728597668493</v>
      </c>
      <c r="D151" s="209">
        <v>8.8503380795888198</v>
      </c>
      <c r="E151" s="209">
        <v>2.6025353532341691</v>
      </c>
      <c r="F151" s="211">
        <v>-3.4896702378731659E-3</v>
      </c>
      <c r="G151" s="212">
        <v>-1.0807408382239592E-2</v>
      </c>
      <c r="H151" s="212">
        <v>-2.2961238068195833E-2</v>
      </c>
      <c r="I151" s="212">
        <v>-2.5698014261145707E-2</v>
      </c>
      <c r="J151" s="213">
        <v>-5.9363474109113468E-2</v>
      </c>
      <c r="L151" s="186"/>
      <c r="M151" s="186"/>
      <c r="N151" s="186"/>
      <c r="O151" s="186"/>
      <c r="P151" s="186"/>
    </row>
    <row r="152" spans="1:16">
      <c r="A152" s="181" t="s">
        <v>42</v>
      </c>
      <c r="B152" s="209">
        <v>5.9999999999999984E-2</v>
      </c>
      <c r="C152" s="209">
        <v>0</v>
      </c>
      <c r="D152" s="209">
        <v>0</v>
      </c>
      <c r="E152" s="209">
        <v>0</v>
      </c>
      <c r="F152" s="211">
        <v>-1</v>
      </c>
      <c r="G152" s="212" t="e">
        <v>#DIV/0!</v>
      </c>
      <c r="H152" s="212" t="e">
        <v>#DIV/0!</v>
      </c>
      <c r="I152" s="212" t="e">
        <v>#DIV/0!</v>
      </c>
      <c r="J152" s="213" t="e">
        <v>#DIV/0!</v>
      </c>
      <c r="L152" s="186"/>
      <c r="M152" s="186"/>
      <c r="N152" s="186"/>
      <c r="O152" s="186"/>
      <c r="P152" s="186"/>
    </row>
    <row r="153" spans="1:16">
      <c r="A153" s="181" t="s">
        <v>104</v>
      </c>
      <c r="B153" s="209">
        <v>3.2039999999999997</v>
      </c>
      <c r="C153" s="209">
        <v>3.9589970480417827</v>
      </c>
      <c r="D153" s="209">
        <v>4.0420967368038268</v>
      </c>
      <c r="E153" s="209">
        <v>3.7768270518388043</v>
      </c>
      <c r="F153" s="211">
        <v>2.0597497716569713E-2</v>
      </c>
      <c r="G153" s="212">
        <v>-1.169912325353617E-2</v>
      </c>
      <c r="H153" s="212">
        <v>-7.0534850499125445E-3</v>
      </c>
      <c r="I153" s="212">
        <v>4.1632079944096123E-3</v>
      </c>
      <c r="J153" s="213">
        <v>-3.3882119483982232E-3</v>
      </c>
      <c r="L153" s="186"/>
      <c r="M153" s="186"/>
      <c r="N153" s="186"/>
      <c r="O153" s="186"/>
      <c r="P153" s="186"/>
    </row>
    <row r="154" spans="1:16">
      <c r="A154" s="181" t="s">
        <v>105</v>
      </c>
      <c r="B154" s="209">
        <v>1.4529999999999996</v>
      </c>
      <c r="C154" s="209">
        <v>1.6238391294739762</v>
      </c>
      <c r="D154" s="209">
        <v>1.9720785727840835</v>
      </c>
      <c r="E154" s="209">
        <v>1.8616546833395884</v>
      </c>
      <c r="F154" s="211">
        <v>-1.5224144092485292E-2</v>
      </c>
      <c r="G154" s="212">
        <v>1.0977516911398588E-2</v>
      </c>
      <c r="H154" s="212">
        <v>5.9014248243384193E-2</v>
      </c>
      <c r="I154" s="212">
        <v>3.9623869915116794E-2</v>
      </c>
      <c r="J154" s="213">
        <v>-2.8769731902446027E-3</v>
      </c>
      <c r="L154" s="186"/>
      <c r="M154" s="186"/>
      <c r="N154" s="186"/>
      <c r="O154" s="186"/>
      <c r="P154" s="186"/>
    </row>
    <row r="155" spans="1:16">
      <c r="A155" s="181" t="s">
        <v>134</v>
      </c>
      <c r="B155" s="209">
        <v>6.1869999999999994</v>
      </c>
      <c r="C155" s="209">
        <v>4.6947678404359259</v>
      </c>
      <c r="D155" s="209">
        <v>5.1647007675103076</v>
      </c>
      <c r="E155" s="209">
        <v>2.7894652745050434</v>
      </c>
      <c r="F155" s="211">
        <v>-2.5643991614806461E-2</v>
      </c>
      <c r="G155" s="212">
        <v>1.3807971430595201E-2</v>
      </c>
      <c r="H155" s="212">
        <v>9.0625693320669498E-3</v>
      </c>
      <c r="I155" s="212">
        <v>1.9262881255199593E-2</v>
      </c>
      <c r="J155" s="213">
        <v>-3.0330378926955448E-2</v>
      </c>
      <c r="L155" s="186"/>
      <c r="M155" s="186"/>
      <c r="N155" s="186"/>
      <c r="O155" s="186"/>
      <c r="P155" s="186"/>
    </row>
    <row r="156" spans="1:16">
      <c r="A156" s="181" t="s">
        <v>136</v>
      </c>
      <c r="B156" s="209">
        <v>0</v>
      </c>
      <c r="C156" s="209">
        <v>0.65746218787141797</v>
      </c>
      <c r="D156" s="209">
        <v>0.99672186147357433</v>
      </c>
      <c r="E156" s="209">
        <v>2.2779727841364443</v>
      </c>
      <c r="F156" s="211"/>
      <c r="G156" s="212"/>
      <c r="H156" s="212"/>
      <c r="I156" s="212"/>
      <c r="J156" s="213"/>
      <c r="L156" s="186"/>
      <c r="M156" s="186"/>
      <c r="N156" s="186"/>
      <c r="O156" s="186"/>
      <c r="P156" s="186"/>
    </row>
    <row r="157" spans="1:16">
      <c r="A157" s="181"/>
      <c r="B157" s="182"/>
      <c r="C157" s="182"/>
      <c r="D157" s="182"/>
      <c r="E157" s="244"/>
      <c r="F157" s="211"/>
      <c r="G157" s="212"/>
      <c r="H157" s="212"/>
      <c r="I157" s="212"/>
      <c r="J157" s="213"/>
      <c r="L157" s="186"/>
      <c r="M157" s="186"/>
      <c r="N157" s="186"/>
      <c r="O157" s="186"/>
      <c r="P157" s="186"/>
    </row>
    <row r="158" spans="1:16" ht="15.75" thickBot="1">
      <c r="A158" s="241" t="s">
        <v>10</v>
      </c>
      <c r="B158" s="242">
        <v>30.921999999999997</v>
      </c>
      <c r="C158" s="242">
        <v>24.556586241057079</v>
      </c>
      <c r="D158" s="242">
        <v>22.500670721059336</v>
      </c>
      <c r="E158" s="242">
        <v>13.334897826045292</v>
      </c>
      <c r="F158" s="217">
        <v>-7.4234907039650855E-3</v>
      </c>
      <c r="G158" s="218">
        <v>-8.746665373995377E-3</v>
      </c>
      <c r="H158" s="218">
        <v>-1.4847545609201207E-2</v>
      </c>
      <c r="I158" s="218">
        <v>-1.7334985513456469E-2</v>
      </c>
      <c r="J158" s="219">
        <v>-2.5818873523801744E-2</v>
      </c>
      <c r="L158" s="186"/>
      <c r="M158" s="186"/>
      <c r="N158" s="186"/>
      <c r="O158" s="186"/>
      <c r="P158" s="186"/>
    </row>
    <row r="159" spans="1:16">
      <c r="A159" s="195"/>
      <c r="B159" s="171"/>
      <c r="C159" s="171"/>
    </row>
    <row r="160" spans="1:16">
      <c r="A160" s="195"/>
      <c r="B160" s="171"/>
      <c r="C160" s="171"/>
    </row>
    <row r="161" spans="1:15" ht="16.5" thickBot="1">
      <c r="A161" s="91" t="s">
        <v>146</v>
      </c>
      <c r="B161" s="80"/>
      <c r="C161" s="80"/>
      <c r="D161" s="80"/>
      <c r="E161" s="80"/>
      <c r="F161" s="80"/>
      <c r="G161" s="80"/>
      <c r="H161" s="80"/>
      <c r="I161" s="80"/>
      <c r="J161" s="80"/>
    </row>
    <row r="162" spans="1:15" ht="15.75" thickBot="1">
      <c r="A162" s="246" t="s">
        <v>51</v>
      </c>
      <c r="B162" s="178">
        <v>2000</v>
      </c>
      <c r="C162" s="178">
        <v>2025</v>
      </c>
      <c r="D162" s="178">
        <v>2030</v>
      </c>
      <c r="E162" s="178">
        <v>2050</v>
      </c>
      <c r="F162" s="197" t="s">
        <v>98</v>
      </c>
      <c r="G162" s="198" t="s">
        <v>99</v>
      </c>
      <c r="H162" s="198" t="s">
        <v>100</v>
      </c>
      <c r="I162" s="198" t="s">
        <v>101</v>
      </c>
      <c r="J162" s="199" t="s">
        <v>102</v>
      </c>
    </row>
    <row r="163" spans="1:15">
      <c r="A163" s="181" t="s">
        <v>103</v>
      </c>
      <c r="B163" s="209">
        <v>0.97712473473756067</v>
      </c>
      <c r="C163" s="209">
        <v>0</v>
      </c>
      <c r="D163" s="209">
        <v>0</v>
      </c>
      <c r="E163" s="209">
        <v>0</v>
      </c>
      <c r="F163" s="203">
        <v>-7.6726937555410157E-2</v>
      </c>
      <c r="G163" s="204">
        <v>-9.149976885014921E-2</v>
      </c>
      <c r="H163" s="204">
        <v>-1</v>
      </c>
      <c r="I163" s="204" t="e">
        <v>#DIV/0!</v>
      </c>
      <c r="J163" s="205" t="e">
        <v>#DIV/0!</v>
      </c>
      <c r="L163" s="186"/>
      <c r="M163" s="186"/>
      <c r="N163" s="186"/>
      <c r="O163" s="186"/>
    </row>
    <row r="164" spans="1:15">
      <c r="A164" s="181" t="s">
        <v>54</v>
      </c>
      <c r="B164" s="209">
        <v>1.4521853785454846</v>
      </c>
      <c r="C164" s="209">
        <v>1.2067079135860175</v>
      </c>
      <c r="D164" s="209">
        <v>1.0316600449254005</v>
      </c>
      <c r="E164" s="209">
        <v>0.3061471032264938</v>
      </c>
      <c r="F164" s="211">
        <v>7.8195177509521319E-3</v>
      </c>
      <c r="G164" s="212">
        <v>-2.2220963498156499E-2</v>
      </c>
      <c r="H164" s="212">
        <v>-3.7220124014459954E-2</v>
      </c>
      <c r="I164" s="212">
        <v>-3.0859171722235068E-2</v>
      </c>
      <c r="J164" s="213">
        <v>-5.8934879326727141E-2</v>
      </c>
      <c r="L164" s="186"/>
      <c r="M164" s="186"/>
      <c r="N164" s="186"/>
      <c r="O164" s="186"/>
    </row>
    <row r="165" spans="1:15">
      <c r="A165" s="181" t="s">
        <v>42</v>
      </c>
      <c r="B165" s="209">
        <v>0</v>
      </c>
      <c r="C165" s="209">
        <v>0</v>
      </c>
      <c r="D165" s="209">
        <v>0</v>
      </c>
      <c r="E165" s="209">
        <v>0</v>
      </c>
      <c r="F165" s="211" t="e">
        <v>#DIV/0!</v>
      </c>
      <c r="G165" s="212" t="e">
        <v>#DIV/0!</v>
      </c>
      <c r="H165" s="212" t="e">
        <v>#DIV/0!</v>
      </c>
      <c r="I165" s="212" t="e">
        <v>#DIV/0!</v>
      </c>
      <c r="J165" s="213" t="e">
        <v>#DIV/0!</v>
      </c>
      <c r="L165" s="186"/>
      <c r="M165" s="186"/>
      <c r="N165" s="186"/>
      <c r="O165" s="186"/>
    </row>
    <row r="166" spans="1:15">
      <c r="A166" s="181" t="s">
        <v>104</v>
      </c>
      <c r="B166" s="209">
        <v>1.571200571415259</v>
      </c>
      <c r="C166" s="209">
        <v>1.7336583362789615</v>
      </c>
      <c r="D166" s="209">
        <v>1.2197369237374784</v>
      </c>
      <c r="E166" s="209">
        <v>0.83897776640975896</v>
      </c>
      <c r="F166" s="211">
        <v>2.1613189758759255E-2</v>
      </c>
      <c r="G166" s="212">
        <v>-1.5432635694312302E-2</v>
      </c>
      <c r="H166" s="212">
        <v>-2.8502993520950093E-2</v>
      </c>
      <c r="I166" s="212">
        <v>-6.7904241465863602E-2</v>
      </c>
      <c r="J166" s="213">
        <v>-1.853636227569555E-2</v>
      </c>
      <c r="L166" s="186"/>
      <c r="M166" s="186"/>
      <c r="N166" s="186"/>
      <c r="O166" s="186"/>
    </row>
    <row r="167" spans="1:15">
      <c r="A167" s="181" t="s">
        <v>105</v>
      </c>
      <c r="B167" s="209">
        <v>0.29903817368119823</v>
      </c>
      <c r="C167" s="209">
        <v>0.23152947745698416</v>
      </c>
      <c r="D167" s="209">
        <v>0.27589739186266604</v>
      </c>
      <c r="E167" s="209">
        <v>0.33229170729851704</v>
      </c>
      <c r="F167" s="211">
        <v>-3.6559724951000128E-2</v>
      </c>
      <c r="G167" s="212">
        <v>8.7669777437231478E-3</v>
      </c>
      <c r="H167" s="212">
        <v>5.3199593822560898E-2</v>
      </c>
      <c r="I167" s="212">
        <v>3.5686369670621776E-2</v>
      </c>
      <c r="J167" s="213">
        <v>9.342581567002517E-3</v>
      </c>
      <c r="L167" s="186"/>
      <c r="M167" s="186"/>
      <c r="N167" s="186"/>
      <c r="O167" s="186"/>
    </row>
    <row r="168" spans="1:15">
      <c r="A168" s="181" t="s">
        <v>134</v>
      </c>
      <c r="B168" s="209">
        <v>0.10901391615802879</v>
      </c>
      <c r="C168" s="209">
        <v>3.892874664275605E-2</v>
      </c>
      <c r="D168" s="209">
        <v>7.371946997732283E-2</v>
      </c>
      <c r="E168" s="209">
        <v>0.15909879813577535</v>
      </c>
      <c r="F168" s="211"/>
      <c r="G168" s="212"/>
      <c r="H168" s="212"/>
      <c r="I168" s="212"/>
      <c r="J168" s="213"/>
      <c r="L168" s="186"/>
      <c r="M168" s="186"/>
      <c r="N168" s="186"/>
      <c r="O168" s="186"/>
    </row>
    <row r="169" spans="1:15">
      <c r="A169" s="181" t="s">
        <v>135</v>
      </c>
      <c r="B169" s="209">
        <v>2.0606803808999999E-2</v>
      </c>
      <c r="C169" s="209">
        <v>0.17301132305501996</v>
      </c>
      <c r="D169" s="209">
        <v>0.21011104449581849</v>
      </c>
      <c r="E169" s="209">
        <v>0.36846530198985222</v>
      </c>
      <c r="F169" s="211">
        <v>0.10386437812593452</v>
      </c>
      <c r="G169" s="212">
        <v>7.8896283493349095E-2</v>
      </c>
      <c r="H169" s="212">
        <v>5.4595526256296045E-2</v>
      </c>
      <c r="I169" s="212">
        <v>3.9620586738793317E-2</v>
      </c>
      <c r="J169" s="213">
        <v>2.8483635181664413E-2</v>
      </c>
      <c r="L169" s="186"/>
      <c r="M169" s="186"/>
      <c r="N169" s="186"/>
      <c r="O169" s="186"/>
    </row>
    <row r="170" spans="1:15">
      <c r="A170" s="181" t="s">
        <v>136</v>
      </c>
      <c r="B170" s="209">
        <v>0</v>
      </c>
      <c r="C170" s="209">
        <v>0.26628651198509506</v>
      </c>
      <c r="D170" s="209">
        <v>0.41819551670999261</v>
      </c>
      <c r="E170" s="209">
        <v>1.0827508450564076</v>
      </c>
      <c r="F170" s="211"/>
      <c r="G170" s="212"/>
      <c r="H170" s="212"/>
      <c r="I170" s="212"/>
      <c r="J170" s="213"/>
      <c r="L170" s="186"/>
      <c r="M170" s="186"/>
      <c r="N170" s="186"/>
      <c r="O170" s="186"/>
    </row>
    <row r="171" spans="1:15">
      <c r="A171" s="181"/>
      <c r="B171" s="182"/>
      <c r="C171" s="182"/>
      <c r="D171" s="182"/>
      <c r="E171" s="182"/>
      <c r="F171" s="211"/>
      <c r="G171" s="212"/>
      <c r="H171" s="212"/>
      <c r="I171" s="212"/>
      <c r="J171" s="213"/>
      <c r="L171" s="186"/>
      <c r="M171" s="186"/>
      <c r="N171" s="186"/>
      <c r="O171" s="186"/>
    </row>
    <row r="172" spans="1:15" ht="15.75" thickBot="1">
      <c r="A172" s="241" t="s">
        <v>10</v>
      </c>
      <c r="B172" s="242">
        <v>4.4291695783465306</v>
      </c>
      <c r="C172" s="247">
        <v>3.6501223090048343</v>
      </c>
      <c r="D172" s="247">
        <v>3.2293203917086788</v>
      </c>
      <c r="E172" s="247">
        <v>3.0877315221168047</v>
      </c>
      <c r="F172" s="217">
        <v>6.7392976798696935E-4</v>
      </c>
      <c r="G172" s="218">
        <v>-1.5747655193639298E-2</v>
      </c>
      <c r="H172" s="218">
        <v>-2.4532493162332081E-2</v>
      </c>
      <c r="I172" s="218">
        <v>-2.4200157746800732E-2</v>
      </c>
      <c r="J172" s="219">
        <v>-2.239240351833538E-3</v>
      </c>
      <c r="L172" s="186"/>
      <c r="M172" s="186"/>
      <c r="N172" s="186"/>
      <c r="O172" s="186"/>
    </row>
    <row r="173" spans="1:15">
      <c r="A173" s="195"/>
      <c r="B173" s="171"/>
      <c r="C173" s="171"/>
    </row>
    <row r="174" spans="1:15">
      <c r="B174" s="171"/>
      <c r="C174" s="171"/>
    </row>
    <row r="175" spans="1:15" ht="16.5" thickBot="1">
      <c r="A175" s="91" t="s">
        <v>147</v>
      </c>
      <c r="B175" s="80"/>
      <c r="C175" s="80"/>
      <c r="D175" s="80"/>
      <c r="E175" s="80"/>
      <c r="F175" s="80"/>
      <c r="G175" s="80"/>
      <c r="H175" s="80"/>
      <c r="I175" s="80"/>
      <c r="J175" s="80"/>
    </row>
    <row r="176" spans="1:15" ht="15.75" thickBot="1">
      <c r="A176" s="177" t="s">
        <v>51</v>
      </c>
      <c r="B176" s="178">
        <v>2000</v>
      </c>
      <c r="C176" s="178">
        <v>2025</v>
      </c>
      <c r="D176" s="178">
        <v>2030</v>
      </c>
      <c r="E176" s="178">
        <v>2050</v>
      </c>
      <c r="F176" s="197" t="s">
        <v>98</v>
      </c>
      <c r="G176" s="198" t="s">
        <v>99</v>
      </c>
      <c r="H176" s="198" t="s">
        <v>100</v>
      </c>
      <c r="I176" s="198" t="s">
        <v>101</v>
      </c>
      <c r="J176" s="199" t="s">
        <v>102</v>
      </c>
    </row>
    <row r="177" spans="1:19">
      <c r="A177" s="181" t="s">
        <v>103</v>
      </c>
      <c r="B177" s="209">
        <v>0.67875655589622275</v>
      </c>
      <c r="C177" s="209">
        <v>0.41349072896673383</v>
      </c>
      <c r="D177" s="209">
        <v>0.2783747952996008</v>
      </c>
      <c r="E177" s="209">
        <v>0.14231770688151879</v>
      </c>
      <c r="F177" s="203">
        <v>-6.2452325127548836E-3</v>
      </c>
      <c r="G177" s="204">
        <v>-1.7044673184611447E-2</v>
      </c>
      <c r="H177" s="204">
        <v>-6.1187438802784877E-2</v>
      </c>
      <c r="I177" s="204">
        <v>-7.608327939658166E-2</v>
      </c>
      <c r="J177" s="205">
        <v>-3.2988917577112642E-2</v>
      </c>
      <c r="L177" s="248"/>
      <c r="M177" s="248"/>
      <c r="N177" s="248"/>
      <c r="O177" s="248"/>
      <c r="P177" s="248"/>
      <c r="Q177" s="248"/>
      <c r="R177" s="248"/>
      <c r="S177" s="248"/>
    </row>
    <row r="178" spans="1:19">
      <c r="A178" s="181" t="s">
        <v>54</v>
      </c>
      <c r="B178" s="209">
        <v>0.95550701195492693</v>
      </c>
      <c r="C178" s="209">
        <v>0.64245054295487036</v>
      </c>
      <c r="D178" s="209">
        <v>0.5589352095883674</v>
      </c>
      <c r="E178" s="209">
        <v>0.38201068689249773</v>
      </c>
      <c r="F178" s="211">
        <v>-5.8463777549722096E-4</v>
      </c>
      <c r="G178" s="212">
        <v>-2.4137047881651941E-2</v>
      </c>
      <c r="H178" s="212">
        <v>-5.1812400269630299E-2</v>
      </c>
      <c r="I178" s="212">
        <v>-2.7466984642139591E-2</v>
      </c>
      <c r="J178" s="213">
        <v>-1.8849335751053742E-2</v>
      </c>
      <c r="L178" s="248"/>
      <c r="M178" s="248"/>
      <c r="N178" s="248"/>
      <c r="O178" s="248"/>
      <c r="P178" s="248"/>
      <c r="Q178" s="248"/>
      <c r="R178" s="248"/>
      <c r="S178" s="248"/>
    </row>
    <row r="179" spans="1:19">
      <c r="A179" s="181" t="s">
        <v>104</v>
      </c>
      <c r="B179" s="209">
        <v>0.82600000000000007</v>
      </c>
      <c r="C179" s="209">
        <v>1.6084817283664707</v>
      </c>
      <c r="D179" s="209">
        <v>1.7944935823414079</v>
      </c>
      <c r="E179" s="209">
        <v>1.9175419082714962</v>
      </c>
      <c r="F179" s="211">
        <v>2.0639238204596122E-2</v>
      </c>
      <c r="G179" s="212">
        <v>2.6695803050380995E-2</v>
      </c>
      <c r="H179" s="212">
        <v>4.6715482882137893E-2</v>
      </c>
      <c r="I179" s="212">
        <v>2.2127694242718876E-2</v>
      </c>
      <c r="J179" s="213">
        <v>3.3215669382815616E-3</v>
      </c>
      <c r="L179" s="248"/>
      <c r="M179" s="248"/>
      <c r="N179" s="248"/>
      <c r="O179" s="248"/>
      <c r="P179" s="222"/>
      <c r="Q179" s="248"/>
      <c r="R179" s="248"/>
      <c r="S179" s="248"/>
    </row>
    <row r="180" spans="1:19">
      <c r="A180" s="181"/>
      <c r="B180" s="182"/>
      <c r="C180" s="182"/>
      <c r="D180" s="182"/>
      <c r="E180" s="243"/>
      <c r="F180" s="211"/>
      <c r="G180" s="212"/>
      <c r="H180" s="212"/>
      <c r="I180" s="212"/>
      <c r="J180" s="213"/>
    </row>
    <row r="181" spans="1:19" ht="15.75" thickBot="1">
      <c r="A181" s="241" t="s">
        <v>10</v>
      </c>
      <c r="B181" s="242">
        <v>2.4602635678511495</v>
      </c>
      <c r="C181" s="247">
        <v>2.6644230002880747</v>
      </c>
      <c r="D181" s="247">
        <v>2.6318035872293759</v>
      </c>
      <c r="E181" s="247">
        <v>2.4418703020455128</v>
      </c>
      <c r="F181" s="217">
        <v>5.899994469378278E-3</v>
      </c>
      <c r="G181" s="218">
        <v>-1.349732281475946E-4</v>
      </c>
      <c r="H181" s="218">
        <v>-1.5679524467334671E-3</v>
      </c>
      <c r="I181" s="218">
        <v>-2.4605953999589092E-3</v>
      </c>
      <c r="J181" s="219">
        <v>-3.7382514184234328E-3</v>
      </c>
    </row>
    <row r="182" spans="1:19">
      <c r="B182" s="171"/>
      <c r="C182" s="171"/>
    </row>
    <row r="183" spans="1:19">
      <c r="B183" s="171"/>
      <c r="C183" s="171"/>
    </row>
    <row r="184" spans="1:19" ht="16.5" thickBot="1">
      <c r="A184" s="91" t="s">
        <v>148</v>
      </c>
      <c r="B184" s="80"/>
      <c r="C184" s="80"/>
      <c r="D184" s="80"/>
      <c r="E184" s="80"/>
      <c r="F184" s="80"/>
      <c r="G184" s="80"/>
      <c r="H184" s="80"/>
      <c r="I184" s="80"/>
      <c r="J184" s="80"/>
    </row>
    <row r="185" spans="1:19" ht="15.75" thickBot="1">
      <c r="A185" s="177"/>
      <c r="B185" s="178">
        <v>2000</v>
      </c>
      <c r="C185" s="178">
        <v>2025</v>
      </c>
      <c r="D185" s="178">
        <v>2030</v>
      </c>
      <c r="E185" s="178">
        <v>2050</v>
      </c>
      <c r="F185" s="197" t="s">
        <v>98</v>
      </c>
      <c r="G185" s="198" t="s">
        <v>99</v>
      </c>
      <c r="H185" s="198" t="s">
        <v>100</v>
      </c>
      <c r="I185" s="198" t="s">
        <v>101</v>
      </c>
      <c r="J185" s="199" t="s">
        <v>102</v>
      </c>
    </row>
    <row r="186" spans="1:19">
      <c r="A186" s="181" t="s">
        <v>149</v>
      </c>
      <c r="B186" s="249">
        <v>24.33355382834463</v>
      </c>
      <c r="C186" s="249">
        <v>30.56320934088988</v>
      </c>
      <c r="D186" s="249">
        <v>31.676713168911213</v>
      </c>
      <c r="E186" s="249">
        <v>34.886850350703753</v>
      </c>
      <c r="F186" s="211">
        <v>1.0211294832557005E-2</v>
      </c>
      <c r="G186" s="212">
        <v>7.970163359137139E-3</v>
      </c>
      <c r="H186" s="212">
        <v>7.1968213529980396E-3</v>
      </c>
      <c r="I186" s="212">
        <v>7.1826391154925506E-3</v>
      </c>
      <c r="J186" s="213">
        <v>4.8380742114828568E-3</v>
      </c>
    </row>
    <row r="187" spans="1:19">
      <c r="A187" s="181" t="s">
        <v>150</v>
      </c>
      <c r="B187" s="250">
        <v>0.72677787849505027</v>
      </c>
      <c r="C187" s="250">
        <v>0.53079364805578111</v>
      </c>
      <c r="D187" s="250">
        <v>0.47158271606779512</v>
      </c>
      <c r="E187" s="250">
        <v>0.2872667690901376</v>
      </c>
      <c r="F187" s="211">
        <v>-9.0821706173750405E-3</v>
      </c>
      <c r="G187" s="212">
        <v>-1.4708755643135452E-2</v>
      </c>
      <c r="H187" s="212">
        <v>-2.0448549698030338E-2</v>
      </c>
      <c r="I187" s="212">
        <v>-2.3378159160086009E-2</v>
      </c>
      <c r="J187" s="213">
        <v>-2.4479555597915037E-2</v>
      </c>
    </row>
    <row r="188" spans="1:19">
      <c r="A188" s="181" t="s">
        <v>151</v>
      </c>
      <c r="B188" s="251">
        <v>2087.8712740325814</v>
      </c>
      <c r="C188" s="251">
        <v>2238.2941406678951</v>
      </c>
      <c r="D188" s="251">
        <v>2097.7632981649776</v>
      </c>
      <c r="E188" s="251">
        <v>1951.6980386195353</v>
      </c>
      <c r="F188" s="211">
        <v>1.2345793868838273E-2</v>
      </c>
      <c r="G188" s="212">
        <v>-1.2812555216551225E-2</v>
      </c>
      <c r="H188" s="212">
        <v>-9.9516231025180701E-3</v>
      </c>
      <c r="I188" s="212">
        <v>-1.2884741805356259E-2</v>
      </c>
      <c r="J188" s="213">
        <v>-3.6020917613875936E-3</v>
      </c>
    </row>
    <row r="189" spans="1:19" ht="15.75" thickBot="1">
      <c r="A189" s="190" t="s">
        <v>152</v>
      </c>
      <c r="B189" s="252">
        <v>4.7055972739865524E-2</v>
      </c>
      <c r="C189" s="252">
        <v>2.8288528764723344E-2</v>
      </c>
      <c r="D189" s="252">
        <v>2.4256523315956641E-2</v>
      </c>
      <c r="E189" s="252">
        <v>1.2263101535418508E-2</v>
      </c>
      <c r="F189" s="217">
        <v>-1.6091354362357646E-2</v>
      </c>
      <c r="G189" s="218">
        <v>-2.5037013656187712E-2</v>
      </c>
      <c r="H189" s="218">
        <v>-2.7372236004291395E-2</v>
      </c>
      <c r="I189" s="218">
        <v>-3.0286060692249261E-2</v>
      </c>
      <c r="J189" s="219">
        <v>-3.3529530892992265E-2</v>
      </c>
    </row>
    <row r="190" spans="1:19">
      <c r="A190" s="238"/>
      <c r="D190" s="170"/>
    </row>
    <row r="191" spans="1:19">
      <c r="D191" s="170"/>
    </row>
    <row r="192" spans="1:19" ht="21">
      <c r="A192" s="78" t="s">
        <v>153</v>
      </c>
      <c r="B192" s="73"/>
      <c r="C192" s="73"/>
      <c r="D192" s="73"/>
      <c r="E192" s="239"/>
      <c r="F192" s="239"/>
      <c r="G192" s="239"/>
      <c r="H192" s="239"/>
      <c r="I192" s="239"/>
      <c r="J192" s="239"/>
    </row>
    <row r="193" spans="1:11">
      <c r="D193" s="170"/>
    </row>
    <row r="194" spans="1:11" ht="16.5" thickBot="1">
      <c r="A194" s="91" t="s">
        <v>154</v>
      </c>
      <c r="B194" s="80"/>
      <c r="C194" s="80"/>
      <c r="D194" s="80"/>
      <c r="E194" s="80"/>
      <c r="F194" s="80"/>
      <c r="G194" s="80"/>
      <c r="H194" s="80"/>
      <c r="I194" s="80"/>
      <c r="J194" s="80"/>
    </row>
    <row r="195" spans="1:11" ht="15.75" thickBot="1">
      <c r="A195" s="235" t="s">
        <v>51</v>
      </c>
      <c r="B195" s="178">
        <v>2000</v>
      </c>
      <c r="C195" s="178">
        <v>2025</v>
      </c>
      <c r="D195" s="178">
        <v>2030</v>
      </c>
      <c r="E195" s="178">
        <v>2050</v>
      </c>
      <c r="F195" s="197" t="s">
        <v>98</v>
      </c>
      <c r="G195" s="198" t="s">
        <v>99</v>
      </c>
      <c r="H195" s="198" t="s">
        <v>100</v>
      </c>
      <c r="I195" s="198" t="s">
        <v>101</v>
      </c>
      <c r="J195" s="199" t="s">
        <v>102</v>
      </c>
    </row>
    <row r="196" spans="1:11">
      <c r="A196" s="181" t="s">
        <v>103</v>
      </c>
      <c r="B196" s="209">
        <v>3.7561</v>
      </c>
      <c r="C196" s="209">
        <v>0.91577378091033934</v>
      </c>
      <c r="D196" s="209">
        <v>0.4614827689525573</v>
      </c>
      <c r="E196" s="209">
        <v>3.3328085224007112E-2</v>
      </c>
      <c r="F196" s="203">
        <v>-3.2335560855585976E-2</v>
      </c>
      <c r="G196" s="204">
        <v>-8.1471283025754904E-2</v>
      </c>
      <c r="H196" s="204">
        <v>-9.3968850614089883E-2</v>
      </c>
      <c r="I196" s="204">
        <v>-0.12808638973734165</v>
      </c>
      <c r="J196" s="205">
        <v>-0.12313498369315445</v>
      </c>
      <c r="K196" s="248"/>
    </row>
    <row r="197" spans="1:11">
      <c r="A197" s="181" t="s">
        <v>54</v>
      </c>
      <c r="B197" s="209">
        <v>5.5961999999999996</v>
      </c>
      <c r="C197" s="209">
        <v>3.9253754708631132</v>
      </c>
      <c r="D197" s="209">
        <v>2.7924101130175507</v>
      </c>
      <c r="E197" s="209">
        <v>0.45020851625292024</v>
      </c>
      <c r="F197" s="211">
        <v>3.6368045657122483E-3</v>
      </c>
      <c r="G197" s="212">
        <v>-3.2320204463460733E-2</v>
      </c>
      <c r="H197" s="212">
        <v>-4.7782442557674054E-2</v>
      </c>
      <c r="I197" s="212">
        <v>-6.5843587022246575E-2</v>
      </c>
      <c r="J197" s="213">
        <v>-8.7208210057492241E-2</v>
      </c>
      <c r="K197" s="248"/>
    </row>
    <row r="198" spans="1:11">
      <c r="A198" s="181" t="s">
        <v>42</v>
      </c>
      <c r="B198" s="209">
        <v>0.15870000000000001</v>
      </c>
      <c r="C198" s="209">
        <v>0</v>
      </c>
      <c r="D198" s="209">
        <v>0</v>
      </c>
      <c r="E198" s="209">
        <v>0</v>
      </c>
      <c r="F198" s="211">
        <v>-6.1317623639847718E-2</v>
      </c>
      <c r="G198" s="212">
        <v>-1</v>
      </c>
      <c r="H198" s="212" t="e">
        <v>#DIV/0!</v>
      </c>
      <c r="I198" s="212" t="e">
        <v>#DIV/0!</v>
      </c>
      <c r="J198" s="213" t="e">
        <v>#DIV/0!</v>
      </c>
      <c r="K198" s="248"/>
    </row>
    <row r="199" spans="1:11">
      <c r="A199" s="181" t="s">
        <v>104</v>
      </c>
      <c r="B199" s="209">
        <v>9.3300278041400002</v>
      </c>
      <c r="C199" s="209">
        <v>11.638236194512082</v>
      </c>
      <c r="D199" s="209">
        <v>11.006572303064363</v>
      </c>
      <c r="E199" s="209">
        <v>9.3348831087369852</v>
      </c>
      <c r="F199" s="211">
        <v>1.6563012389721354E-2</v>
      </c>
      <c r="G199" s="212">
        <v>5.1442548788833697E-3</v>
      </c>
      <c r="H199" s="212">
        <v>-1.0149653412321769E-2</v>
      </c>
      <c r="I199" s="212">
        <v>-1.109861576364779E-2</v>
      </c>
      <c r="J199" s="213">
        <v>-8.2028872666444208E-3</v>
      </c>
      <c r="K199" s="248"/>
    </row>
    <row r="200" spans="1:11">
      <c r="A200" s="181" t="s">
        <v>105</v>
      </c>
      <c r="B200" s="209">
        <v>0.85539999999999994</v>
      </c>
      <c r="C200" s="209">
        <v>0.62608679865874795</v>
      </c>
      <c r="D200" s="209">
        <v>0.6489364458522886</v>
      </c>
      <c r="E200" s="209">
        <v>1.4277110119754055</v>
      </c>
      <c r="F200" s="211">
        <v>-3.0891919597692663E-2</v>
      </c>
      <c r="G200" s="212">
        <v>2.3312622964225982E-2</v>
      </c>
      <c r="H200" s="212">
        <v>8.7140839369357348E-3</v>
      </c>
      <c r="I200" s="212">
        <v>7.1949135337332493E-3</v>
      </c>
      <c r="J200" s="213">
        <v>4.0212114087618156E-2</v>
      </c>
      <c r="K200" s="248"/>
    </row>
    <row r="201" spans="1:11">
      <c r="A201" s="181" t="s">
        <v>134</v>
      </c>
      <c r="B201" s="182">
        <v>0.32080000000000003</v>
      </c>
      <c r="C201" s="182">
        <v>0.57957328619773529</v>
      </c>
      <c r="D201" s="182">
        <v>0.60781576438640272</v>
      </c>
      <c r="E201" s="182">
        <v>0.40500654890806143</v>
      </c>
      <c r="F201" s="211">
        <v>4.1228309505667582E-3</v>
      </c>
      <c r="G201" s="212">
        <v>6.6777455177402079E-2</v>
      </c>
      <c r="H201" s="212">
        <v>4.2174507148687645E-2</v>
      </c>
      <c r="I201" s="212">
        <v>9.5613600365422879E-3</v>
      </c>
      <c r="J201" s="213">
        <v>-2.0093802750761336E-2</v>
      </c>
      <c r="K201" s="248"/>
    </row>
    <row r="202" spans="1:11">
      <c r="A202" s="181" t="s">
        <v>135</v>
      </c>
      <c r="B202" s="182">
        <v>0</v>
      </c>
      <c r="C202" s="182">
        <v>0.41307977334996671</v>
      </c>
      <c r="D202" s="182">
        <v>0.47962513716076938</v>
      </c>
      <c r="E202" s="182">
        <v>0.38611314657298224</v>
      </c>
      <c r="F202" s="211"/>
      <c r="G202" s="212"/>
      <c r="H202" s="212"/>
      <c r="I202" s="212"/>
      <c r="J202" s="213"/>
      <c r="K202" s="248"/>
    </row>
    <row r="203" spans="1:11">
      <c r="A203" s="181" t="s">
        <v>136</v>
      </c>
      <c r="B203" s="182">
        <v>0</v>
      </c>
      <c r="C203" s="182">
        <v>1.4236480127691269</v>
      </c>
      <c r="D203" s="182">
        <v>1.7320243313100603</v>
      </c>
      <c r="E203" s="182">
        <v>1.8224684836634182</v>
      </c>
      <c r="F203" s="211"/>
      <c r="G203" s="212"/>
      <c r="H203" s="212"/>
      <c r="I203" s="212"/>
      <c r="J203" s="213"/>
      <c r="K203" s="248"/>
    </row>
    <row r="204" spans="1:11">
      <c r="A204" s="181"/>
      <c r="B204" s="182"/>
      <c r="C204" s="182"/>
      <c r="D204" s="182"/>
      <c r="E204" s="182"/>
      <c r="F204" s="211"/>
      <c r="G204" s="212"/>
      <c r="H204" s="212"/>
      <c r="I204" s="212"/>
      <c r="J204" s="213"/>
    </row>
    <row r="205" spans="1:11" ht="15.75" thickBot="1">
      <c r="A205" s="190" t="s">
        <v>10</v>
      </c>
      <c r="B205" s="226">
        <v>20.017227804139996</v>
      </c>
      <c r="C205" s="226">
        <v>19.521773317261111</v>
      </c>
      <c r="D205" s="226">
        <v>17.728866863743995</v>
      </c>
      <c r="E205" s="226">
        <v>13.85971890133378</v>
      </c>
      <c r="F205" s="217">
        <v>6.1939804284143474E-3</v>
      </c>
      <c r="G205" s="218">
        <v>-7.459120426147603E-3</v>
      </c>
      <c r="H205" s="218">
        <v>-1.5922008030237689E-2</v>
      </c>
      <c r="I205" s="218">
        <v>-1.9082816168849881E-2</v>
      </c>
      <c r="J205" s="219">
        <v>-1.2234912067208059E-2</v>
      </c>
    </row>
    <row r="206" spans="1:11">
      <c r="A206" s="195"/>
      <c r="B206" s="171"/>
      <c r="C206" s="171"/>
    </row>
    <row r="207" spans="1:11">
      <c r="A207" s="195"/>
      <c r="B207" s="171"/>
      <c r="C207" s="171"/>
    </row>
    <row r="208" spans="1:11" ht="16.5" thickBot="1">
      <c r="A208" s="91" t="s">
        <v>155</v>
      </c>
      <c r="B208" s="80"/>
      <c r="C208" s="80"/>
      <c r="D208" s="80"/>
      <c r="E208" s="80"/>
      <c r="F208" s="80"/>
      <c r="G208" s="80"/>
      <c r="H208" s="80"/>
      <c r="I208" s="80"/>
      <c r="J208" s="80"/>
    </row>
    <row r="209" spans="1:12" ht="15.75" thickBot="1">
      <c r="A209" s="235" t="s">
        <v>51</v>
      </c>
      <c r="B209" s="178">
        <v>2000</v>
      </c>
      <c r="C209" s="178">
        <v>2025</v>
      </c>
      <c r="D209" s="178">
        <v>2030</v>
      </c>
      <c r="E209" s="178">
        <v>2050</v>
      </c>
      <c r="F209" s="197" t="s">
        <v>98</v>
      </c>
      <c r="G209" s="198" t="s">
        <v>99</v>
      </c>
      <c r="H209" s="198" t="s">
        <v>100</v>
      </c>
      <c r="I209" s="198" t="s">
        <v>101</v>
      </c>
      <c r="J209" s="199" t="s">
        <v>102</v>
      </c>
    </row>
    <row r="210" spans="1:12">
      <c r="A210" s="181" t="s">
        <v>138</v>
      </c>
      <c r="B210" s="209">
        <v>9.3037991407357321</v>
      </c>
      <c r="C210" s="209">
        <v>7.7609912080261276</v>
      </c>
      <c r="D210" s="209">
        <v>6.6626634496136381</v>
      </c>
      <c r="E210" s="209">
        <v>4.5884891463066495</v>
      </c>
      <c r="F210" s="203">
        <v>3.4474917456241982E-3</v>
      </c>
      <c r="G210" s="204">
        <v>-2.0982413481280271E-2</v>
      </c>
      <c r="H210" s="204">
        <v>-2.5062164954301025E-2</v>
      </c>
      <c r="I210" s="204">
        <v>-3.0057170045617587E-2</v>
      </c>
      <c r="J210" s="205">
        <v>-1.8475619668650411E-2</v>
      </c>
      <c r="L210" s="186"/>
    </row>
    <row r="211" spans="1:12">
      <c r="A211" s="181" t="s">
        <v>156</v>
      </c>
      <c r="B211" s="182">
        <v>3.8242762748856345</v>
      </c>
      <c r="C211" s="182">
        <v>3.406880100048773</v>
      </c>
      <c r="D211" s="182">
        <v>3.3021092786222539</v>
      </c>
      <c r="E211" s="182">
        <v>2.5825866572536436</v>
      </c>
      <c r="F211" s="211">
        <v>-1.1735115266409246E-2</v>
      </c>
      <c r="G211" s="212">
        <v>1.3093803528589243E-2</v>
      </c>
      <c r="H211" s="212">
        <v>-7.0948215431976269E-4</v>
      </c>
      <c r="I211" s="212">
        <v>-6.2276286723228491E-3</v>
      </c>
      <c r="J211" s="213">
        <v>-1.2213302864828357E-2</v>
      </c>
      <c r="L211" s="186"/>
    </row>
    <row r="212" spans="1:12">
      <c r="A212" s="181" t="s">
        <v>143</v>
      </c>
      <c r="B212" s="209">
        <v>0.26720797829915388</v>
      </c>
      <c r="C212" s="253">
        <v>0.51609148663286786</v>
      </c>
      <c r="D212" s="253">
        <v>0.5232467957589515</v>
      </c>
      <c r="E212" s="253">
        <v>0.54711698805678899</v>
      </c>
      <c r="F212" s="211">
        <v>4.3801381524881888E-2</v>
      </c>
      <c r="G212" s="212">
        <v>7.8328013950903497E-3</v>
      </c>
      <c r="H212" s="212">
        <v>-4.7473015071414215E-3</v>
      </c>
      <c r="I212" s="212">
        <v>2.7576329212564143E-3</v>
      </c>
      <c r="J212" s="213">
        <v>2.2329600556985074E-3</v>
      </c>
      <c r="L212" s="186"/>
    </row>
    <row r="213" spans="1:12">
      <c r="A213" s="181" t="s">
        <v>142</v>
      </c>
      <c r="B213" s="209">
        <v>6.621944410219478</v>
      </c>
      <c r="C213" s="209">
        <v>7.837810522553343</v>
      </c>
      <c r="D213" s="209">
        <v>7.2408473397491493</v>
      </c>
      <c r="E213" s="209">
        <v>6.1415261097166978</v>
      </c>
      <c r="F213" s="211">
        <v>1.6394039767257285E-2</v>
      </c>
      <c r="G213" s="212">
        <v>-1.3490152641688624E-3</v>
      </c>
      <c r="H213" s="212">
        <v>-1.3625622233366275E-2</v>
      </c>
      <c r="I213" s="212">
        <v>-1.5719398022254749E-2</v>
      </c>
      <c r="J213" s="213">
        <v>-8.1994482386018586E-3</v>
      </c>
      <c r="L213" s="186"/>
    </row>
    <row r="214" spans="1:12">
      <c r="A214" s="181"/>
      <c r="B214" s="182"/>
      <c r="C214" s="182"/>
      <c r="D214" s="182"/>
      <c r="E214" s="182"/>
      <c r="F214" s="211"/>
      <c r="G214" s="212"/>
      <c r="H214" s="212"/>
      <c r="I214" s="212"/>
      <c r="J214" s="213"/>
      <c r="L214" s="186"/>
    </row>
    <row r="215" spans="1:12" ht="15.75" thickBot="1">
      <c r="A215" s="190" t="s">
        <v>10</v>
      </c>
      <c r="B215" s="226">
        <v>20.017227804139999</v>
      </c>
      <c r="C215" s="226">
        <v>19.521773317261111</v>
      </c>
      <c r="D215" s="226">
        <v>17.728866863743992</v>
      </c>
      <c r="E215" s="226">
        <v>13.85971890133378</v>
      </c>
      <c r="F215" s="217">
        <v>6.1939804284143474E-3</v>
      </c>
      <c r="G215" s="218">
        <v>-7.459120426147714E-3</v>
      </c>
      <c r="H215" s="218">
        <v>-1.5922008030237689E-2</v>
      </c>
      <c r="I215" s="218">
        <v>-1.9082816168849881E-2</v>
      </c>
      <c r="J215" s="219">
        <v>-1.2234912067208059E-2</v>
      </c>
      <c r="L215" s="186"/>
    </row>
    <row r="216" spans="1:12">
      <c r="A216" s="195"/>
      <c r="B216" s="171"/>
      <c r="C216" s="254"/>
      <c r="D216" s="254"/>
      <c r="E216" s="254"/>
      <c r="L216" s="186"/>
    </row>
    <row r="217" spans="1:12">
      <c r="A217" s="195"/>
      <c r="B217" s="171"/>
      <c r="C217" s="254"/>
      <c r="D217" s="255"/>
      <c r="E217" s="254"/>
      <c r="L217" s="186"/>
    </row>
    <row r="218" spans="1:12" ht="16.5" thickBot="1">
      <c r="A218" s="91" t="s">
        <v>157</v>
      </c>
      <c r="B218" s="80"/>
      <c r="C218" s="256"/>
      <c r="D218" s="256"/>
      <c r="E218" s="256"/>
      <c r="F218" s="80"/>
      <c r="G218" s="80"/>
      <c r="H218" s="80"/>
      <c r="I218" s="80"/>
      <c r="J218" s="80"/>
      <c r="L218" s="186"/>
    </row>
    <row r="219" spans="1:12" ht="15.75" thickBot="1">
      <c r="A219" s="235" t="s">
        <v>51</v>
      </c>
      <c r="B219" s="178">
        <v>2000</v>
      </c>
      <c r="C219" s="178">
        <v>2025</v>
      </c>
      <c r="D219" s="178">
        <v>2030</v>
      </c>
      <c r="E219" s="178">
        <v>2050</v>
      </c>
      <c r="F219" s="197" t="s">
        <v>98</v>
      </c>
      <c r="G219" s="198" t="s">
        <v>99</v>
      </c>
      <c r="H219" s="198" t="s">
        <v>100</v>
      </c>
      <c r="I219" s="198" t="s">
        <v>101</v>
      </c>
      <c r="J219" s="199" t="s">
        <v>102</v>
      </c>
      <c r="L219" s="186"/>
    </row>
    <row r="220" spans="1:12">
      <c r="A220" s="181" t="s">
        <v>103</v>
      </c>
      <c r="B220" s="182">
        <v>3.7561</v>
      </c>
      <c r="C220" s="182">
        <v>0.91577378091033934</v>
      </c>
      <c r="D220" s="182">
        <v>0.4614827689525573</v>
      </c>
      <c r="E220" s="182">
        <v>3.3328085224007112E-2</v>
      </c>
      <c r="F220" s="203">
        <v>-3.2335560855585976E-2</v>
      </c>
      <c r="G220" s="204">
        <v>-8.1471283025754904E-2</v>
      </c>
      <c r="H220" s="204">
        <v>-9.3968850614089883E-2</v>
      </c>
      <c r="I220" s="204">
        <v>-0.12808638973734165</v>
      </c>
      <c r="J220" s="205">
        <v>-0.12313498369315445</v>
      </c>
      <c r="L220" s="186"/>
    </row>
    <row r="221" spans="1:12">
      <c r="A221" s="181" t="s">
        <v>54</v>
      </c>
      <c r="B221" s="182">
        <v>5.5961999999999996</v>
      </c>
      <c r="C221" s="182">
        <v>3.9253754708631132</v>
      </c>
      <c r="D221" s="182">
        <v>2.7924101130175507</v>
      </c>
      <c r="E221" s="182">
        <v>0.45020851625292024</v>
      </c>
      <c r="F221" s="211">
        <v>3.6368045657122483E-3</v>
      </c>
      <c r="G221" s="212">
        <v>-3.2320204463460733E-2</v>
      </c>
      <c r="H221" s="212">
        <v>-4.7782442557674054E-2</v>
      </c>
      <c r="I221" s="212">
        <v>-6.5843587022246575E-2</v>
      </c>
      <c r="J221" s="213">
        <v>-8.7208210057492241E-2</v>
      </c>
      <c r="L221" s="186"/>
    </row>
    <row r="222" spans="1:12">
      <c r="A222" s="181" t="s">
        <v>42</v>
      </c>
      <c r="B222" s="182">
        <v>0.15870000000000001</v>
      </c>
      <c r="C222" s="182">
        <v>0</v>
      </c>
      <c r="D222" s="182">
        <v>0</v>
      </c>
      <c r="E222" s="182">
        <v>0</v>
      </c>
      <c r="F222" s="211">
        <v>-6.1317623639847718E-2</v>
      </c>
      <c r="G222" s="212">
        <v>-1</v>
      </c>
      <c r="H222" s="212" t="e">
        <v>#DIV/0!</v>
      </c>
      <c r="I222" s="212" t="e">
        <v>#DIV/0!</v>
      </c>
      <c r="J222" s="213" t="e">
        <v>#DIV/0!</v>
      </c>
      <c r="L222" s="186"/>
    </row>
    <row r="223" spans="1:12">
      <c r="A223" s="181" t="s">
        <v>104</v>
      </c>
      <c r="B223" s="182">
        <v>2.4408754156213677</v>
      </c>
      <c r="C223" s="182">
        <v>3.2843341853258705</v>
      </c>
      <c r="D223" s="182">
        <v>3.2424781675562633</v>
      </c>
      <c r="E223" s="182">
        <v>2.6462400109634983</v>
      </c>
      <c r="F223" s="211">
        <v>1.3338673160219194E-2</v>
      </c>
      <c r="G223" s="212">
        <v>2.2281445010654322E-2</v>
      </c>
      <c r="H223" s="212">
        <v>-2.4239475209221206E-3</v>
      </c>
      <c r="I223" s="212">
        <v>-2.5619214854888384E-3</v>
      </c>
      <c r="J223" s="213">
        <v>-1.0108469259847097E-2</v>
      </c>
      <c r="L223" s="186"/>
    </row>
    <row r="224" spans="1:12">
      <c r="A224" s="181" t="s">
        <v>105</v>
      </c>
      <c r="B224" s="182">
        <v>0.85539999999999994</v>
      </c>
      <c r="C224" s="182">
        <v>0.62608679865874795</v>
      </c>
      <c r="D224" s="182">
        <v>0.6489364458522886</v>
      </c>
      <c r="E224" s="182">
        <v>1.4277110119754055</v>
      </c>
      <c r="F224" s="211">
        <v>-3.0891919597692663E-2</v>
      </c>
      <c r="G224" s="212">
        <v>2.3312622964225982E-2</v>
      </c>
      <c r="H224" s="212">
        <v>8.7140839369357348E-3</v>
      </c>
      <c r="I224" s="212">
        <v>7.1949135337332493E-3</v>
      </c>
      <c r="J224" s="213">
        <v>4.0212114087618156E-2</v>
      </c>
      <c r="L224" s="186"/>
    </row>
    <row r="225" spans="1:12">
      <c r="A225" s="181" t="s">
        <v>134</v>
      </c>
      <c r="B225" s="182">
        <v>0.32080000000000003</v>
      </c>
      <c r="C225" s="182">
        <v>0.57957328619773529</v>
      </c>
      <c r="D225" s="182">
        <v>0.60781576438640272</v>
      </c>
      <c r="E225" s="182">
        <v>0.40500654890806143</v>
      </c>
      <c r="F225" s="211">
        <v>4.1228309505667582E-3</v>
      </c>
      <c r="G225" s="212">
        <v>6.6777455177402079E-2</v>
      </c>
      <c r="H225" s="212">
        <v>4.2174507148687645E-2</v>
      </c>
      <c r="I225" s="212">
        <v>9.5613600365422879E-3</v>
      </c>
      <c r="J225" s="213">
        <v>-2.0093802750761336E-2</v>
      </c>
      <c r="L225" s="186"/>
    </row>
    <row r="226" spans="1:12">
      <c r="A226" s="181" t="s">
        <v>135</v>
      </c>
      <c r="B226" s="182">
        <v>0</v>
      </c>
      <c r="C226" s="182">
        <v>0.41307977334996671</v>
      </c>
      <c r="D226" s="182">
        <v>0.47962513716076938</v>
      </c>
      <c r="E226" s="182">
        <v>0.38611314657298224</v>
      </c>
      <c r="F226" s="211"/>
      <c r="G226" s="212"/>
      <c r="H226" s="212"/>
      <c r="I226" s="212"/>
      <c r="J226" s="213"/>
      <c r="L226" s="186"/>
    </row>
    <row r="227" spans="1:12">
      <c r="A227" s="181" t="s">
        <v>136</v>
      </c>
      <c r="B227" s="182">
        <v>0</v>
      </c>
      <c r="C227" s="182">
        <v>1.4236480127691269</v>
      </c>
      <c r="D227" s="182">
        <v>1.7320243313100603</v>
      </c>
      <c r="E227" s="182">
        <v>1.8224684836634182</v>
      </c>
      <c r="F227" s="211"/>
      <c r="G227" s="212"/>
      <c r="H227" s="212"/>
      <c r="I227" s="212"/>
      <c r="J227" s="213"/>
      <c r="L227" s="186"/>
    </row>
    <row r="228" spans="1:12">
      <c r="A228" s="181"/>
      <c r="B228" s="182"/>
      <c r="C228" s="182"/>
      <c r="D228" s="182"/>
      <c r="E228" s="182"/>
      <c r="F228" s="211"/>
      <c r="G228" s="212"/>
      <c r="H228" s="212"/>
      <c r="I228" s="212"/>
      <c r="J228" s="213"/>
      <c r="L228" s="186"/>
    </row>
    <row r="229" spans="1:12" ht="15.75" thickBot="1">
      <c r="A229" s="190" t="s">
        <v>10</v>
      </c>
      <c r="B229" s="226">
        <v>13.128075415621366</v>
      </c>
      <c r="C229" s="226">
        <v>11.167871308074899</v>
      </c>
      <c r="D229" s="226">
        <v>9.9647727282358929</v>
      </c>
      <c r="E229" s="226">
        <v>7.1710758035602931</v>
      </c>
      <c r="F229" s="217">
        <v>-6.5136556964595638E-4</v>
      </c>
      <c r="G229" s="218">
        <v>-1.2140889079191863E-2</v>
      </c>
      <c r="H229" s="218">
        <v>-1.8008366046744384E-2</v>
      </c>
      <c r="I229" s="218">
        <v>-2.2539087618029474E-2</v>
      </c>
      <c r="J229" s="219">
        <v>-1.631546027045383E-2</v>
      </c>
      <c r="L229" s="186"/>
    </row>
    <row r="230" spans="1:12">
      <c r="A230" s="195"/>
      <c r="B230" s="171"/>
      <c r="C230" s="171"/>
      <c r="L230" s="186"/>
    </row>
    <row r="231" spans="1:12">
      <c r="A231" s="195"/>
      <c r="B231" s="171"/>
      <c r="C231" s="171"/>
      <c r="L231" s="186"/>
    </row>
    <row r="232" spans="1:12" ht="16.5" thickBot="1">
      <c r="A232" s="91" t="s">
        <v>158</v>
      </c>
      <c r="B232" s="80"/>
      <c r="C232" s="80"/>
      <c r="D232" s="80"/>
      <c r="E232" s="80"/>
      <c r="F232" s="80"/>
      <c r="G232" s="80"/>
      <c r="H232" s="80"/>
      <c r="I232" s="80"/>
      <c r="J232" s="80"/>
      <c r="L232" s="186"/>
    </row>
    <row r="233" spans="1:12" ht="15.75" thickBot="1">
      <c r="A233" s="235" t="s">
        <v>51</v>
      </c>
      <c r="B233" s="178">
        <v>2000</v>
      </c>
      <c r="C233" s="178">
        <v>2025</v>
      </c>
      <c r="D233" s="178">
        <v>2030</v>
      </c>
      <c r="E233" s="178">
        <v>2050</v>
      </c>
      <c r="F233" s="197" t="s">
        <v>98</v>
      </c>
      <c r="G233" s="198" t="s">
        <v>99</v>
      </c>
      <c r="H233" s="198" t="s">
        <v>100</v>
      </c>
      <c r="I233" s="198" t="s">
        <v>101</v>
      </c>
      <c r="J233" s="199" t="s">
        <v>102</v>
      </c>
      <c r="L233" s="257"/>
    </row>
    <row r="234" spans="1:12">
      <c r="A234" s="181" t="s">
        <v>103</v>
      </c>
      <c r="B234" s="209">
        <v>2.6271374019358529</v>
      </c>
      <c r="C234" s="209">
        <v>0.81365554390397421</v>
      </c>
      <c r="D234" s="209">
        <v>0.38417309673559524</v>
      </c>
      <c r="E234" s="209">
        <v>1.2978195519191616E-3</v>
      </c>
      <c r="F234" s="203">
        <v>-1.9968336343000548E-2</v>
      </c>
      <c r="G234" s="204">
        <v>-7.8121121001402227E-2</v>
      </c>
      <c r="H234" s="204">
        <v>-8.8414575245205684E-2</v>
      </c>
      <c r="I234" s="204">
        <v>-0.13936843176079083</v>
      </c>
      <c r="J234" s="205">
        <v>-0.24762497942105766</v>
      </c>
      <c r="K234" s="258"/>
      <c r="L234" s="257"/>
    </row>
    <row r="235" spans="1:12">
      <c r="A235" s="181" t="s">
        <v>54</v>
      </c>
      <c r="B235" s="209">
        <v>3.9701595313874058</v>
      </c>
      <c r="C235" s="209">
        <v>3.2873587229148398</v>
      </c>
      <c r="D235" s="209">
        <v>2.2846596246074227</v>
      </c>
      <c r="E235" s="209">
        <v>0.2818801532956044</v>
      </c>
      <c r="F235" s="211">
        <v>1.3333021631106279E-2</v>
      </c>
      <c r="G235" s="212">
        <v>-2.941775822344106E-2</v>
      </c>
      <c r="H235" s="212">
        <v>-4.6503943962651673E-2</v>
      </c>
      <c r="I235" s="212">
        <v>-7.0188567381903266E-2</v>
      </c>
      <c r="J235" s="213">
        <v>-9.9337357347846988E-2</v>
      </c>
      <c r="K235" s="258"/>
      <c r="L235" s="257"/>
    </row>
    <row r="236" spans="1:12">
      <c r="A236" s="181" t="s">
        <v>42</v>
      </c>
      <c r="B236" s="209">
        <v>0.11470512934855193</v>
      </c>
      <c r="C236" s="209">
        <v>0</v>
      </c>
      <c r="D236" s="209">
        <v>0</v>
      </c>
      <c r="E236" s="209">
        <v>0</v>
      </c>
      <c r="F236" s="211">
        <v>-1</v>
      </c>
      <c r="G236" s="212" t="e">
        <v>#DIV/0!</v>
      </c>
      <c r="H236" s="212" t="e">
        <v>#DIV/0!</v>
      </c>
      <c r="I236" s="212" t="e">
        <v>#DIV/0!</v>
      </c>
      <c r="J236" s="213" t="e">
        <v>#DIV/0!</v>
      </c>
      <c r="K236" s="258"/>
      <c r="L236" s="257"/>
    </row>
    <row r="237" spans="1:12">
      <c r="A237" s="181" t="s">
        <v>104</v>
      </c>
      <c r="B237" s="209">
        <v>1.7416372605000001</v>
      </c>
      <c r="C237" s="209">
        <v>1.483250277268523</v>
      </c>
      <c r="D237" s="209">
        <v>1.4942634265064132</v>
      </c>
      <c r="E237" s="209">
        <v>1.1630055070505922</v>
      </c>
      <c r="F237" s="211">
        <v>-8.6740227800810032E-3</v>
      </c>
      <c r="G237" s="212">
        <v>-4.0799066763319569E-4</v>
      </c>
      <c r="H237" s="212">
        <v>-5.5587976312836407E-3</v>
      </c>
      <c r="I237" s="212">
        <v>1.4806112322043319E-3</v>
      </c>
      <c r="J237" s="213">
        <v>-1.2453099610837959E-2</v>
      </c>
      <c r="K237" s="258"/>
      <c r="L237" s="257"/>
    </row>
    <row r="238" spans="1:12">
      <c r="A238" s="181" t="s">
        <v>105</v>
      </c>
      <c r="B238" s="209">
        <v>0.61828129795404607</v>
      </c>
      <c r="C238" s="209">
        <v>0.48585607223277549</v>
      </c>
      <c r="D238" s="209">
        <v>0.5345206090639244</v>
      </c>
      <c r="E238" s="209">
        <v>1.3293672002893107</v>
      </c>
      <c r="F238" s="211">
        <v>-2.1907494487042212E-2</v>
      </c>
      <c r="G238" s="212">
        <v>1.4703197900608922E-2</v>
      </c>
      <c r="H238" s="212">
        <v>3.6573798572989702E-3</v>
      </c>
      <c r="I238" s="212">
        <v>1.9274980373501727E-2</v>
      </c>
      <c r="J238" s="213">
        <v>4.6607940178492013E-2</v>
      </c>
      <c r="K238" s="258"/>
      <c r="L238" s="257"/>
    </row>
    <row r="239" spans="1:12">
      <c r="A239" s="181" t="s">
        <v>134</v>
      </c>
      <c r="B239" s="209">
        <v>0.23187851960987504</v>
      </c>
      <c r="C239" s="209">
        <v>0.57957328619773529</v>
      </c>
      <c r="D239" s="209">
        <v>0.60781576438640272</v>
      </c>
      <c r="E239" s="209">
        <v>0.40500654890806143</v>
      </c>
      <c r="F239" s="211">
        <v>2.6089155966032784E-2</v>
      </c>
      <c r="G239" s="212">
        <v>6.6777455177402079E-2</v>
      </c>
      <c r="H239" s="212">
        <v>4.2174507148687645E-2</v>
      </c>
      <c r="I239" s="212">
        <v>9.5613600365422879E-3</v>
      </c>
      <c r="J239" s="213">
        <v>-2.0093802750761336E-2</v>
      </c>
      <c r="K239" s="258"/>
      <c r="L239" s="257"/>
    </row>
    <row r="240" spans="1:12">
      <c r="A240" s="181" t="s">
        <v>135</v>
      </c>
      <c r="B240" s="209">
        <v>0</v>
      </c>
      <c r="C240" s="209">
        <v>0.13582199694526742</v>
      </c>
      <c r="D240" s="209">
        <v>0.15372765584619141</v>
      </c>
      <c r="E240" s="209">
        <v>0.11641782052141147</v>
      </c>
      <c r="F240" s="211"/>
      <c r="G240" s="212"/>
      <c r="H240" s="212"/>
      <c r="I240" s="212"/>
      <c r="J240" s="213"/>
      <c r="K240" s="259"/>
      <c r="L240" s="257"/>
    </row>
    <row r="241" spans="1:12">
      <c r="A241" s="181" t="s">
        <v>136</v>
      </c>
      <c r="B241" s="209">
        <v>0</v>
      </c>
      <c r="C241" s="209">
        <v>0.97547530856301168</v>
      </c>
      <c r="D241" s="209">
        <v>1.2035032724676886</v>
      </c>
      <c r="E241" s="209">
        <v>1.2915140966897503</v>
      </c>
      <c r="F241" s="211"/>
      <c r="G241" s="212"/>
      <c r="H241" s="212"/>
      <c r="I241" s="212"/>
      <c r="J241" s="213"/>
      <c r="K241" s="259"/>
      <c r="L241" s="257"/>
    </row>
    <row r="242" spans="1:12">
      <c r="A242" s="181"/>
      <c r="B242" s="182"/>
      <c r="C242" s="182"/>
      <c r="D242" s="182"/>
      <c r="E242" s="182"/>
      <c r="F242" s="211"/>
      <c r="G242" s="212"/>
      <c r="H242" s="212"/>
      <c r="I242" s="212"/>
      <c r="J242" s="213"/>
      <c r="L242" s="186"/>
    </row>
    <row r="243" spans="1:12" ht="15.75" thickBot="1">
      <c r="A243" s="190" t="s">
        <v>10</v>
      </c>
      <c r="B243" s="226">
        <v>9.3037991407357321</v>
      </c>
      <c r="C243" s="226">
        <v>7.7609912080261276</v>
      </c>
      <c r="D243" s="226">
        <v>6.6626634496136381</v>
      </c>
      <c r="E243" s="226">
        <v>4.5884891463066495</v>
      </c>
      <c r="F243" s="217">
        <v>3.4474917456241982E-3</v>
      </c>
      <c r="G243" s="218">
        <v>-2.0982413481280271E-2</v>
      </c>
      <c r="H243" s="218">
        <v>-2.5062164954301025E-2</v>
      </c>
      <c r="I243" s="218">
        <v>-3.0057170045617587E-2</v>
      </c>
      <c r="J243" s="219">
        <v>-1.8475619668650411E-2</v>
      </c>
      <c r="L243" s="186"/>
    </row>
    <row r="244" spans="1:12">
      <c r="A244" s="195"/>
      <c r="B244" s="171"/>
      <c r="C244" s="171"/>
      <c r="E244" s="245"/>
      <c r="L244" s="186"/>
    </row>
    <row r="245" spans="1:12">
      <c r="A245" s="195"/>
      <c r="B245" s="171"/>
      <c r="C245" s="171"/>
      <c r="L245" s="186"/>
    </row>
    <row r="246" spans="1:12" ht="16.5" thickBot="1">
      <c r="A246" s="91" t="s">
        <v>159</v>
      </c>
      <c r="B246" s="80"/>
      <c r="C246" s="80"/>
      <c r="D246" s="80"/>
      <c r="E246" s="80"/>
      <c r="F246" s="80"/>
      <c r="G246" s="80"/>
      <c r="H246" s="80"/>
      <c r="I246" s="80"/>
      <c r="J246" s="80"/>
      <c r="L246" s="186"/>
    </row>
    <row r="247" spans="1:12" ht="15.75" thickBot="1">
      <c r="A247" s="235" t="s">
        <v>51</v>
      </c>
      <c r="B247" s="178">
        <v>2000</v>
      </c>
      <c r="C247" s="178">
        <v>2025</v>
      </c>
      <c r="D247" s="178">
        <v>2030</v>
      </c>
      <c r="E247" s="178">
        <v>2050</v>
      </c>
      <c r="F247" s="197" t="s">
        <v>98</v>
      </c>
      <c r="G247" s="198" t="s">
        <v>99</v>
      </c>
      <c r="H247" s="198" t="s">
        <v>100</v>
      </c>
      <c r="I247" s="198" t="s">
        <v>101</v>
      </c>
      <c r="J247" s="199" t="s">
        <v>102</v>
      </c>
      <c r="L247" s="186"/>
    </row>
    <row r="248" spans="1:12">
      <c r="A248" s="181" t="s">
        <v>103</v>
      </c>
      <c r="B248" s="209">
        <v>1.1289625980641464</v>
      </c>
      <c r="C248" s="209">
        <v>0.10211823700636513</v>
      </c>
      <c r="D248" s="209">
        <v>7.7309672216962055E-2</v>
      </c>
      <c r="E248" s="209">
        <v>3.203026567208795E-2</v>
      </c>
      <c r="F248" s="203">
        <v>-7.4610028539812023E-2</v>
      </c>
      <c r="G248" s="204">
        <v>-0.1008390809533678</v>
      </c>
      <c r="H248" s="204">
        <v>-0.13209345749852719</v>
      </c>
      <c r="I248" s="204">
        <v>-5.4141644411357603E-2</v>
      </c>
      <c r="J248" s="205">
        <v>-4.3100482826194386E-2</v>
      </c>
      <c r="L248" s="186"/>
    </row>
    <row r="249" spans="1:12">
      <c r="A249" s="181" t="s">
        <v>54</v>
      </c>
      <c r="B249" s="209">
        <v>1.6260404686125933</v>
      </c>
      <c r="C249" s="209">
        <v>0.63801674794827345</v>
      </c>
      <c r="D249" s="209">
        <v>0.50775048841012804</v>
      </c>
      <c r="E249" s="209">
        <v>0.16832836295731585</v>
      </c>
      <c r="F249" s="211">
        <v>-2.7717402091364196E-2</v>
      </c>
      <c r="G249" s="212">
        <v>-4.5955995368462066E-2</v>
      </c>
      <c r="H249" s="212">
        <v>-5.4211125776998381E-2</v>
      </c>
      <c r="I249" s="212">
        <v>-4.4647478608088487E-2</v>
      </c>
      <c r="J249" s="213">
        <v>-5.3707610105795056E-2</v>
      </c>
      <c r="L249" s="186"/>
    </row>
    <row r="250" spans="1:12">
      <c r="A250" s="181" t="s">
        <v>42</v>
      </c>
      <c r="B250" s="209">
        <v>4.3994870651448061E-2</v>
      </c>
      <c r="C250" s="209">
        <v>0</v>
      </c>
      <c r="D250" s="209">
        <v>0</v>
      </c>
      <c r="E250" s="209">
        <v>0</v>
      </c>
      <c r="F250" s="211">
        <v>2.2500799424380657E-2</v>
      </c>
      <c r="G250" s="212">
        <v>-1</v>
      </c>
      <c r="H250" s="212" t="e">
        <v>#DIV/0!</v>
      </c>
      <c r="I250" s="212" t="e">
        <v>#DIV/0!</v>
      </c>
      <c r="J250" s="213" t="e">
        <v>#DIV/0!</v>
      </c>
      <c r="L250" s="186"/>
    </row>
    <row r="251" spans="1:12">
      <c r="A251" s="181" t="s">
        <v>104</v>
      </c>
      <c r="B251" s="182">
        <v>0.69923815512136756</v>
      </c>
      <c r="C251" s="209">
        <v>1.8010839080573475</v>
      </c>
      <c r="D251" s="209">
        <v>1.7482147410498501</v>
      </c>
      <c r="E251" s="209">
        <v>1.483234503912906</v>
      </c>
      <c r="F251" s="211">
        <v>4.9789590454425658E-2</v>
      </c>
      <c r="G251" s="212">
        <v>4.4207707641105154E-2</v>
      </c>
      <c r="H251" s="212">
        <v>2.0284333531717103E-4</v>
      </c>
      <c r="I251" s="212">
        <v>-5.9409892249479013E-3</v>
      </c>
      <c r="J251" s="213">
        <v>-8.1848175086691732E-3</v>
      </c>
      <c r="L251" s="186"/>
    </row>
    <row r="252" spans="1:12">
      <c r="A252" s="181" t="s">
        <v>105</v>
      </c>
      <c r="B252" s="209">
        <v>0.23711870204595384</v>
      </c>
      <c r="C252" s="209">
        <v>0.14023072642597245</v>
      </c>
      <c r="D252" s="209">
        <v>0.1144158367883642</v>
      </c>
      <c r="E252" s="209">
        <v>9.8343811686094851E-2</v>
      </c>
      <c r="F252" s="211">
        <v>-6.2010550714744039E-2</v>
      </c>
      <c r="G252" s="212">
        <v>6.168785676802746E-2</v>
      </c>
      <c r="H252" s="212">
        <v>2.7506942147243807E-2</v>
      </c>
      <c r="I252" s="212">
        <v>-3.9873201842772321E-2</v>
      </c>
      <c r="J252" s="213">
        <v>-7.5399251345754648E-3</v>
      </c>
      <c r="L252" s="186"/>
    </row>
    <row r="253" spans="1:12">
      <c r="A253" s="181" t="s">
        <v>134</v>
      </c>
      <c r="B253" s="209">
        <v>8.8921480390124985E-2</v>
      </c>
      <c r="C253" s="209">
        <v>0</v>
      </c>
      <c r="D253" s="209">
        <v>0</v>
      </c>
      <c r="E253" s="209">
        <v>0</v>
      </c>
      <c r="F253" s="211">
        <v>-1</v>
      </c>
      <c r="G253" s="212" t="e">
        <v>#DIV/0!</v>
      </c>
      <c r="H253" s="212" t="e">
        <v>#DIV/0!</v>
      </c>
      <c r="I253" s="212" t="e">
        <v>#DIV/0!</v>
      </c>
      <c r="J253" s="213" t="e">
        <v>#DIV/0!</v>
      </c>
      <c r="L253" s="186"/>
    </row>
    <row r="254" spans="1:12">
      <c r="A254" s="181" t="s">
        <v>135</v>
      </c>
      <c r="B254" s="209">
        <v>0</v>
      </c>
      <c r="C254" s="209">
        <v>0.27725777640469929</v>
      </c>
      <c r="D254" s="209">
        <v>0.32589748131457796</v>
      </c>
      <c r="E254" s="209">
        <v>0.26969532605157076</v>
      </c>
      <c r="F254" s="211"/>
      <c r="G254" s="212"/>
      <c r="H254" s="212"/>
      <c r="I254" s="212"/>
      <c r="J254" s="213"/>
      <c r="L254" s="186"/>
    </row>
    <row r="255" spans="1:12">
      <c r="A255" s="181" t="s">
        <v>136</v>
      </c>
      <c r="B255" s="209">
        <v>0</v>
      </c>
      <c r="C255" s="209">
        <v>0.44817270420611521</v>
      </c>
      <c r="D255" s="209">
        <v>0.52852105884237166</v>
      </c>
      <c r="E255" s="209">
        <v>0.53095438697366792</v>
      </c>
      <c r="F255" s="211"/>
      <c r="G255" s="212"/>
      <c r="H255" s="212"/>
      <c r="I255" s="212"/>
      <c r="J255" s="213"/>
      <c r="L255" s="186"/>
    </row>
    <row r="256" spans="1:12">
      <c r="A256" s="181"/>
      <c r="B256" s="182"/>
      <c r="C256" s="243"/>
      <c r="D256" s="182"/>
      <c r="E256" s="182"/>
      <c r="F256" s="211" t="e">
        <v>#DIV/0!</v>
      </c>
      <c r="G256" s="212" t="e">
        <v>#DIV/0!</v>
      </c>
      <c r="H256" s="212" t="e">
        <v>#DIV/0!</v>
      </c>
      <c r="I256" s="212" t="e">
        <v>#DIV/0!</v>
      </c>
      <c r="J256" s="213" t="e">
        <v>#DIV/0!</v>
      </c>
      <c r="L256" s="186"/>
    </row>
    <row r="257" spans="1:12" ht="15.75" thickBot="1">
      <c r="A257" s="190" t="s">
        <v>10</v>
      </c>
      <c r="B257" s="226">
        <v>3.8242762748856345</v>
      </c>
      <c r="C257" s="226">
        <v>3.406880100048773</v>
      </c>
      <c r="D257" s="226">
        <v>3.3021092786222539</v>
      </c>
      <c r="E257" s="226">
        <v>2.5825866572536436</v>
      </c>
      <c r="F257" s="217">
        <v>-1.1735115266409246E-2</v>
      </c>
      <c r="G257" s="218">
        <v>1.3093803528589243E-2</v>
      </c>
      <c r="H257" s="218">
        <v>-7.0948215431976269E-4</v>
      </c>
      <c r="I257" s="218">
        <v>-6.2276286723228491E-3</v>
      </c>
      <c r="J257" s="219">
        <v>-1.2213302864828357E-2</v>
      </c>
      <c r="L257" s="186"/>
    </row>
    <row r="258" spans="1:12">
      <c r="A258" s="195"/>
      <c r="B258" s="171"/>
      <c r="C258" s="171"/>
    </row>
    <row r="259" spans="1:12">
      <c r="A259" s="195"/>
      <c r="B259" s="171"/>
      <c r="C259" s="171"/>
    </row>
    <row r="260" spans="1:12" ht="16.5" thickBot="1">
      <c r="A260" s="91" t="s">
        <v>160</v>
      </c>
      <c r="B260" s="80"/>
      <c r="C260" s="80"/>
      <c r="D260" s="80"/>
      <c r="E260" s="80"/>
      <c r="F260" s="80"/>
      <c r="G260" s="80"/>
      <c r="H260" s="80"/>
      <c r="I260" s="80"/>
      <c r="J260" s="80"/>
    </row>
    <row r="261" spans="1:12" ht="15.75" thickBot="1">
      <c r="A261" s="177"/>
      <c r="B261" s="178">
        <v>2000</v>
      </c>
      <c r="C261" s="178">
        <v>2025</v>
      </c>
      <c r="D261" s="178">
        <v>2030</v>
      </c>
      <c r="E261" s="178">
        <v>2050</v>
      </c>
      <c r="F261" s="197" t="s">
        <v>98</v>
      </c>
      <c r="G261" s="198" t="s">
        <v>99</v>
      </c>
      <c r="H261" s="198" t="s">
        <v>100</v>
      </c>
      <c r="I261" s="198" t="s">
        <v>101</v>
      </c>
      <c r="J261" s="199" t="s">
        <v>102</v>
      </c>
    </row>
    <row r="262" spans="1:12">
      <c r="A262" s="181" t="s">
        <v>161</v>
      </c>
      <c r="B262" s="250">
        <v>1.4720925580653493E-2</v>
      </c>
      <c r="C262" s="250">
        <v>1.0146302275750297E-2</v>
      </c>
      <c r="D262" s="250">
        <v>8.5924304405191488E-3</v>
      </c>
      <c r="E262" s="250">
        <v>4.751226240245562E-3</v>
      </c>
      <c r="F262" s="211">
        <v>-7.2581463688579095E-3</v>
      </c>
      <c r="G262" s="212">
        <v>-2.3531626519421089E-2</v>
      </c>
      <c r="H262" s="212">
        <v>-2.8355585747873335E-2</v>
      </c>
      <c r="I262" s="212">
        <v>-3.2698980077977446E-2</v>
      </c>
      <c r="J262" s="213">
        <v>-2.918945662625505E-2</v>
      </c>
    </row>
    <row r="263" spans="1:12">
      <c r="A263" s="181" t="s">
        <v>162</v>
      </c>
      <c r="B263" s="260">
        <v>17.813600000000001</v>
      </c>
      <c r="C263" s="209">
        <v>21.028815173946828</v>
      </c>
      <c r="D263" s="209">
        <v>21.396893568966835</v>
      </c>
      <c r="E263" s="209">
        <v>22.74711701186752</v>
      </c>
      <c r="F263" s="211">
        <v>8.3572001738927426E-3</v>
      </c>
      <c r="G263" s="212">
        <v>4.7598327296394238E-3</v>
      </c>
      <c r="H263" s="212">
        <v>3.4763592025344181E-3</v>
      </c>
      <c r="I263" s="212">
        <v>3.4764494492369735E-3</v>
      </c>
      <c r="J263" s="213">
        <v>3.064318527203902E-3</v>
      </c>
    </row>
    <row r="264" spans="1:12">
      <c r="A264" s="181" t="s">
        <v>163</v>
      </c>
      <c r="B264" s="261">
        <v>1.123704798813266</v>
      </c>
      <c r="C264" s="261">
        <v>0.92833443804514326</v>
      </c>
      <c r="D264" s="261">
        <v>0.82857199838845796</v>
      </c>
      <c r="E264" s="261">
        <v>0.60929562608320664</v>
      </c>
      <c r="F264" s="211">
        <v>-2.145291118172632E-3</v>
      </c>
      <c r="G264" s="212">
        <v>-1.2161068503894756E-2</v>
      </c>
      <c r="H264" s="212">
        <v>-1.9331165158876451E-2</v>
      </c>
      <c r="I264" s="212">
        <v>-2.2481111171536283E-2</v>
      </c>
      <c r="J264" s="213">
        <v>-1.5252492100283011E-2</v>
      </c>
    </row>
    <row r="265" spans="1:12" ht="15.75" thickBot="1">
      <c r="A265" s="190" t="s">
        <v>164</v>
      </c>
      <c r="B265" s="262">
        <v>6091.3135672827621</v>
      </c>
      <c r="C265" s="262">
        <v>6436.5341471956854</v>
      </c>
      <c r="D265" s="262">
        <v>5982.4775718982764</v>
      </c>
      <c r="E265" s="262">
        <v>4772.6791266766377</v>
      </c>
      <c r="F265" s="217">
        <v>8.1378029674539221E-3</v>
      </c>
      <c r="G265" s="218">
        <v>3.8260103232778953E-4</v>
      </c>
      <c r="H265" s="218">
        <v>-1.357880780139642E-2</v>
      </c>
      <c r="I265" s="218">
        <v>-1.4524571275075115E-2</v>
      </c>
      <c r="J265" s="219">
        <v>-1.12327849627748E-2</v>
      </c>
    </row>
    <row r="266" spans="1:12">
      <c r="A266" s="238"/>
      <c r="D266" s="170"/>
    </row>
    <row r="267" spans="1:12">
      <c r="D267" s="170"/>
      <c r="E267" s="212"/>
      <c r="F267" s="212"/>
      <c r="G267" s="212"/>
    </row>
    <row r="268" spans="1:12" ht="21">
      <c r="A268" s="78" t="s">
        <v>165</v>
      </c>
      <c r="B268" s="73"/>
      <c r="C268" s="73"/>
      <c r="D268" s="73"/>
      <c r="E268" s="239"/>
      <c r="F268" s="239"/>
      <c r="G268" s="239"/>
      <c r="H268" s="239"/>
      <c r="I268" s="239"/>
      <c r="J268" s="239"/>
    </row>
    <row r="269" spans="1:12" ht="21">
      <c r="A269" s="172"/>
      <c r="C269" s="196"/>
      <c r="D269" s="170"/>
      <c r="E269" s="170"/>
    </row>
    <row r="270" spans="1:12" ht="16.5" thickBot="1">
      <c r="A270" s="91" t="s">
        <v>166</v>
      </c>
      <c r="B270" s="81"/>
      <c r="C270" s="81"/>
      <c r="D270" s="81"/>
      <c r="E270" s="80"/>
      <c r="F270" s="80"/>
      <c r="G270" s="80"/>
      <c r="H270" s="80"/>
      <c r="I270" s="80"/>
      <c r="J270" s="80"/>
    </row>
    <row r="271" spans="1:12" ht="15.75" thickBot="1">
      <c r="A271" s="177"/>
      <c r="B271" s="178">
        <v>2000</v>
      </c>
      <c r="C271" s="178">
        <v>2025</v>
      </c>
      <c r="D271" s="178">
        <v>2030</v>
      </c>
      <c r="E271" s="178">
        <v>2050</v>
      </c>
      <c r="F271" s="197" t="s">
        <v>98</v>
      </c>
      <c r="G271" s="198" t="s">
        <v>99</v>
      </c>
      <c r="H271" s="198" t="s">
        <v>100</v>
      </c>
      <c r="I271" s="198" t="s">
        <v>101</v>
      </c>
      <c r="J271" s="199" t="s">
        <v>102</v>
      </c>
    </row>
    <row r="272" spans="1:12">
      <c r="A272" s="263" t="s">
        <v>167</v>
      </c>
      <c r="B272" s="264"/>
      <c r="C272" s="264"/>
      <c r="D272" s="264"/>
      <c r="E272" s="264"/>
      <c r="F272" s="265"/>
      <c r="G272" s="266"/>
      <c r="H272" s="266"/>
      <c r="I272" s="266"/>
      <c r="J272" s="267"/>
    </row>
    <row r="273" spans="1:13">
      <c r="A273" s="181" t="s">
        <v>168</v>
      </c>
      <c r="B273" s="268">
        <v>687.75139082118562</v>
      </c>
      <c r="C273" s="268">
        <v>732.23441232682694</v>
      </c>
      <c r="D273" s="268">
        <v>742.89450397264022</v>
      </c>
      <c r="E273" s="268">
        <v>815.82122751667885</v>
      </c>
      <c r="F273" s="211">
        <v>3.9283024521541421E-3</v>
      </c>
      <c r="G273" s="212">
        <v>2.03562936676982E-3</v>
      </c>
      <c r="H273" s="212">
        <v>-1.2599311509894351E-3</v>
      </c>
      <c r="I273" s="212">
        <v>2.8948520036853331E-3</v>
      </c>
      <c r="J273" s="213">
        <v>4.6930379180274429E-3</v>
      </c>
    </row>
    <row r="274" spans="1:13">
      <c r="A274" s="181" t="s">
        <v>169</v>
      </c>
      <c r="B274" s="268">
        <v>55.897287896679252</v>
      </c>
      <c r="C274" s="268">
        <v>86.297139713864055</v>
      </c>
      <c r="D274" s="268">
        <v>92.414884905488719</v>
      </c>
      <c r="E274" s="268">
        <v>121.79036470159761</v>
      </c>
      <c r="F274" s="211">
        <v>1.6242320283317069E-2</v>
      </c>
      <c r="G274" s="212">
        <v>2.8924942901046524E-2</v>
      </c>
      <c r="H274" s="212">
        <v>1.0056359931976733E-2</v>
      </c>
      <c r="I274" s="212">
        <v>1.3792572609656606E-2</v>
      </c>
      <c r="J274" s="213">
        <v>1.3896328033659699E-2</v>
      </c>
    </row>
    <row r="275" spans="1:13">
      <c r="A275" s="181" t="s">
        <v>170</v>
      </c>
      <c r="B275" s="268">
        <v>80.924999999999997</v>
      </c>
      <c r="C275" s="268">
        <v>123.70485770027287</v>
      </c>
      <c r="D275" s="268">
        <v>132.47934995950087</v>
      </c>
      <c r="E275" s="268">
        <v>187.42889571060383</v>
      </c>
      <c r="F275" s="211">
        <v>1.7200000000000104E-2</v>
      </c>
      <c r="G275" s="212">
        <v>1.760000000000006E-2</v>
      </c>
      <c r="H275" s="212">
        <v>1.639999999999997E-2</v>
      </c>
      <c r="I275" s="212">
        <v>1.3800000000000034E-2</v>
      </c>
      <c r="J275" s="213">
        <v>1.7500000000000071E-2</v>
      </c>
    </row>
    <row r="276" spans="1:13">
      <c r="A276" s="181" t="s">
        <v>171</v>
      </c>
      <c r="B276" s="268">
        <v>15.128</v>
      </c>
      <c r="C276" s="268">
        <v>15.236921600000002</v>
      </c>
      <c r="D276" s="268">
        <v>15.9797064</v>
      </c>
      <c r="E276" s="268">
        <v>16.0387056</v>
      </c>
      <c r="F276" s="211">
        <v>-3.8416054578340741E-3</v>
      </c>
      <c r="G276" s="212">
        <v>-3.8218767042812463E-3</v>
      </c>
      <c r="H276" s="212">
        <v>1.6953150482852175E-2</v>
      </c>
      <c r="I276" s="212">
        <v>9.5650619982303731E-3</v>
      </c>
      <c r="J276" s="213">
        <v>1.842836643781709E-4</v>
      </c>
    </row>
    <row r="277" spans="1:13">
      <c r="A277" s="181"/>
      <c r="B277" s="268"/>
      <c r="C277" s="268"/>
      <c r="D277" s="268"/>
      <c r="E277" s="268"/>
      <c r="F277" s="211"/>
      <c r="G277" s="212"/>
      <c r="H277" s="212"/>
      <c r="I277" s="212"/>
      <c r="J277" s="213"/>
    </row>
    <row r="278" spans="1:13">
      <c r="A278" s="181"/>
      <c r="B278" s="268"/>
      <c r="C278" s="268"/>
      <c r="D278" s="268"/>
      <c r="E278" s="268"/>
      <c r="F278" s="211"/>
      <c r="G278" s="212"/>
      <c r="H278" s="212"/>
      <c r="I278" s="212"/>
      <c r="J278" s="213"/>
    </row>
    <row r="279" spans="1:13">
      <c r="A279" s="263" t="s">
        <v>172</v>
      </c>
      <c r="B279" s="269"/>
      <c r="C279" s="269"/>
      <c r="D279" s="269"/>
      <c r="E279" s="270"/>
      <c r="F279" s="211"/>
      <c r="G279" s="212"/>
      <c r="H279" s="212"/>
      <c r="I279" s="212"/>
      <c r="J279" s="213"/>
    </row>
    <row r="280" spans="1:13">
      <c r="A280" s="181" t="s">
        <v>173</v>
      </c>
      <c r="B280" s="268">
        <v>276.81829985708532</v>
      </c>
      <c r="C280" s="268">
        <v>315.81597618092042</v>
      </c>
      <c r="D280" s="268">
        <v>327.66328392764575</v>
      </c>
      <c r="E280" s="268">
        <v>395.61353246394816</v>
      </c>
      <c r="F280" s="211">
        <v>1.1061824031974865E-3</v>
      </c>
      <c r="G280" s="212">
        <v>1.7271182297544874E-2</v>
      </c>
      <c r="H280" s="212">
        <v>5.9367806257755174E-3</v>
      </c>
      <c r="I280" s="212">
        <v>7.3925545281789962E-3</v>
      </c>
      <c r="J280" s="213">
        <v>9.4670970691075329E-3</v>
      </c>
    </row>
    <row r="281" spans="1:13">
      <c r="A281" s="181" t="s">
        <v>170</v>
      </c>
      <c r="B281" s="268">
        <v>57.725999999999999</v>
      </c>
      <c r="C281" s="268">
        <v>38.503810606116687</v>
      </c>
      <c r="D281" s="268">
        <v>39.574377037568901</v>
      </c>
      <c r="E281" s="268">
        <v>43.551850725682037</v>
      </c>
      <c r="F281" s="211">
        <v>-3.4200000000000008E-2</v>
      </c>
      <c r="G281" s="212">
        <v>1.9400000000000084E-2</v>
      </c>
      <c r="H281" s="212">
        <v>4.1999999999999815E-3</v>
      </c>
      <c r="I281" s="212">
        <v>5.5000000000000604E-3</v>
      </c>
      <c r="J281" s="213">
        <v>4.7999999999999154E-3</v>
      </c>
    </row>
    <row r="282" spans="1:13">
      <c r="A282" s="181" t="s">
        <v>174</v>
      </c>
      <c r="B282" s="268">
        <v>7.2610000000000001</v>
      </c>
      <c r="C282" s="268">
        <v>7.7726969910686963</v>
      </c>
      <c r="D282" s="268">
        <v>8.0926323605670127</v>
      </c>
      <c r="E282" s="209">
        <v>8.7652451574738421</v>
      </c>
      <c r="F282" s="211">
        <v>1.8000000000000238E-3</v>
      </c>
      <c r="G282" s="212">
        <v>1.1800000000000033E-2</v>
      </c>
      <c r="H282" s="212">
        <v>-3.4999999999999476E-3</v>
      </c>
      <c r="I282" s="212">
        <v>8.0999999999999961E-3</v>
      </c>
      <c r="J282" s="213">
        <v>4.0000000000000036E-3</v>
      </c>
      <c r="M282" s="271"/>
    </row>
    <row r="283" spans="1:13">
      <c r="A283" s="181"/>
      <c r="B283" s="268"/>
      <c r="C283" s="268"/>
      <c r="D283" s="268"/>
      <c r="E283" s="268"/>
      <c r="F283" s="211"/>
      <c r="G283" s="212"/>
      <c r="H283" s="212"/>
      <c r="I283" s="212"/>
      <c r="J283" s="213"/>
    </row>
    <row r="284" spans="1:13">
      <c r="A284" s="181" t="s">
        <v>175</v>
      </c>
      <c r="B284" s="268">
        <v>397.56713730341966</v>
      </c>
      <c r="C284" s="268">
        <v>442.9998259585135</v>
      </c>
      <c r="D284" s="268">
        <v>432.99790404653504</v>
      </c>
      <c r="E284" s="268">
        <v>431.24073766607404</v>
      </c>
      <c r="F284" s="211">
        <v>7.2979366165732973E-3</v>
      </c>
      <c r="G284" s="212">
        <v>2.3526637143203022E-3</v>
      </c>
      <c r="H284" s="212">
        <v>-2.519915114473914E-3</v>
      </c>
      <c r="I284" s="212">
        <v>-4.5568837004187346E-3</v>
      </c>
      <c r="J284" s="213">
        <v>-2.0329919254025164E-4</v>
      </c>
    </row>
    <row r="285" spans="1:13" ht="15.75" thickBot="1">
      <c r="A285" s="241"/>
      <c r="B285" s="272"/>
      <c r="C285" s="272"/>
      <c r="D285" s="272"/>
      <c r="E285" s="272"/>
      <c r="F285" s="217"/>
      <c r="G285" s="218"/>
      <c r="H285" s="218"/>
      <c r="I285" s="218"/>
      <c r="J285" s="219"/>
    </row>
    <row r="286" spans="1:13">
      <c r="A286" s="195"/>
      <c r="B286" s="273"/>
      <c r="C286" s="273"/>
      <c r="D286" s="273"/>
      <c r="E286" s="273"/>
    </row>
    <row r="287" spans="1:13">
      <c r="A287" s="195"/>
      <c r="B287" s="273"/>
      <c r="C287" s="274"/>
      <c r="D287" s="274"/>
      <c r="E287" s="274"/>
    </row>
    <row r="288" spans="1:13" ht="16.5" thickBot="1">
      <c r="A288" s="91" t="s">
        <v>176</v>
      </c>
      <c r="B288" s="80"/>
      <c r="C288" s="80"/>
      <c r="D288" s="80"/>
      <c r="E288" s="80"/>
      <c r="F288" s="80"/>
      <c r="G288" s="80"/>
      <c r="H288" s="80"/>
      <c r="I288" s="80"/>
      <c r="J288" s="80"/>
    </row>
    <row r="289" spans="1:11" ht="15.75" thickBot="1">
      <c r="A289" s="177" t="s">
        <v>51</v>
      </c>
      <c r="B289" s="178">
        <v>2000</v>
      </c>
      <c r="C289" s="178">
        <v>2025</v>
      </c>
      <c r="D289" s="178">
        <v>2030</v>
      </c>
      <c r="E289" s="178">
        <v>2050</v>
      </c>
      <c r="F289" s="197" t="s">
        <v>98</v>
      </c>
      <c r="G289" s="198" t="s">
        <v>99</v>
      </c>
      <c r="H289" s="198" t="s">
        <v>100</v>
      </c>
      <c r="I289" s="198" t="s">
        <v>101</v>
      </c>
      <c r="J289" s="199" t="s">
        <v>102</v>
      </c>
    </row>
    <row r="290" spans="1:11">
      <c r="A290" s="181" t="s">
        <v>177</v>
      </c>
      <c r="B290" s="209">
        <v>13.997119781533799</v>
      </c>
      <c r="C290" s="209">
        <v>7.9367541993999904</v>
      </c>
      <c r="D290" s="209">
        <v>7.3616921669801201</v>
      </c>
      <c r="E290" s="209">
        <v>0.70284517859871498</v>
      </c>
      <c r="F290" s="203">
        <v>-4.8560460379067139E-2</v>
      </c>
      <c r="G290" s="204">
        <v>2.7482116744335539E-2</v>
      </c>
      <c r="H290" s="204">
        <v>8.7951632835900906E-3</v>
      </c>
      <c r="I290" s="204">
        <v>-1.4930336626109986E-2</v>
      </c>
      <c r="J290" s="205">
        <v>-0.1108109603663463</v>
      </c>
      <c r="K290" s="206"/>
    </row>
    <row r="291" spans="1:11">
      <c r="A291" s="181" t="s">
        <v>178</v>
      </c>
      <c r="B291" s="209">
        <v>26.535790998485542</v>
      </c>
      <c r="C291" s="209">
        <v>25.653803520011174</v>
      </c>
      <c r="D291" s="209">
        <v>20.956568236101596</v>
      </c>
      <c r="E291" s="209">
        <v>2.7528416383164336</v>
      </c>
      <c r="F291" s="211">
        <v>1.4687516164497039E-2</v>
      </c>
      <c r="G291" s="212">
        <v>-1.3894208811641939E-2</v>
      </c>
      <c r="H291" s="212">
        <v>-3.5852489404619825E-2</v>
      </c>
      <c r="I291" s="212">
        <v>-3.9640846091020476E-2</v>
      </c>
      <c r="J291" s="213">
        <v>-9.6510617718959413E-2</v>
      </c>
      <c r="K291" s="206"/>
    </row>
    <row r="292" spans="1:11">
      <c r="A292" s="181" t="s">
        <v>179</v>
      </c>
      <c r="B292" s="209">
        <v>1.783802992</v>
      </c>
      <c r="C292" s="209">
        <v>1.530024051708708</v>
      </c>
      <c r="D292" s="209">
        <v>1.5684339680142472</v>
      </c>
      <c r="E292" s="209">
        <v>1.5127612269015085</v>
      </c>
      <c r="F292" s="211">
        <v>-1.2369884935951925E-2</v>
      </c>
      <c r="G292" s="212">
        <v>-6.5069060666167466E-5</v>
      </c>
      <c r="H292" s="212">
        <v>6.7359140300744524E-3</v>
      </c>
      <c r="I292" s="212">
        <v>4.9711541088124367E-3</v>
      </c>
      <c r="J292" s="213">
        <v>-1.8054203114803435E-3</v>
      </c>
      <c r="K292" s="206"/>
    </row>
    <row r="293" spans="1:11">
      <c r="A293" s="181" t="s">
        <v>180</v>
      </c>
      <c r="B293" s="209">
        <v>0.20852249504211356</v>
      </c>
      <c r="C293" s="209">
        <v>0.1313426898913192</v>
      </c>
      <c r="D293" s="209">
        <v>-1.6390543817852597E-3</v>
      </c>
      <c r="E293" s="209">
        <v>1.1109676647870722E-3</v>
      </c>
      <c r="F293" s="211">
        <v>-3.6118422355186475E-2</v>
      </c>
      <c r="G293" s="212">
        <v>9.1425539228615627E-3</v>
      </c>
      <c r="H293" s="212">
        <v>8.8510241075989704E-3</v>
      </c>
      <c r="I293" s="212">
        <v>-1.4161381109390099</v>
      </c>
      <c r="J293" s="213" t="e">
        <v>#NUM!</v>
      </c>
      <c r="K293" s="206"/>
    </row>
    <row r="294" spans="1:11">
      <c r="A294" s="181" t="s">
        <v>181</v>
      </c>
      <c r="B294" s="209">
        <v>0</v>
      </c>
      <c r="C294" s="209">
        <v>0.45902890397400081</v>
      </c>
      <c r="D294" s="209">
        <v>0.93047307809883106</v>
      </c>
      <c r="E294" s="209">
        <v>3.6028639370370201</v>
      </c>
      <c r="F294" s="211"/>
      <c r="G294" s="212">
        <v>0.16081011856725658</v>
      </c>
      <c r="H294" s="212">
        <v>0.20970910495476347</v>
      </c>
      <c r="I294" s="212">
        <v>0.15178854719978596</v>
      </c>
      <c r="J294" s="213">
        <v>7.0033076020741269E-2</v>
      </c>
      <c r="K294" s="206"/>
    </row>
    <row r="295" spans="1:11">
      <c r="A295" s="181" t="s">
        <v>104</v>
      </c>
      <c r="B295" s="209">
        <v>0.80670000000000019</v>
      </c>
      <c r="C295" s="209">
        <v>2.0656497694386395</v>
      </c>
      <c r="D295" s="209">
        <v>3.1050811964351928</v>
      </c>
      <c r="E295" s="209">
        <v>8.1245524383179717</v>
      </c>
      <c r="F295" s="211">
        <v>6.7135895005314694E-3</v>
      </c>
      <c r="G295" s="212">
        <v>6.3487840029791798E-2</v>
      </c>
      <c r="H295" s="212">
        <v>0.11229146425059078</v>
      </c>
      <c r="I295" s="212">
        <v>8.4933837645329913E-2</v>
      </c>
      <c r="J295" s="213">
        <v>4.92677488585469E-2</v>
      </c>
      <c r="K295" s="206"/>
    </row>
    <row r="296" spans="1:11">
      <c r="A296" s="181" t="s">
        <v>109</v>
      </c>
      <c r="B296" s="209">
        <v>0</v>
      </c>
      <c r="C296" s="209">
        <v>0</v>
      </c>
      <c r="D296" s="209">
        <v>0</v>
      </c>
      <c r="E296" s="209">
        <v>8.5984522785898534E-2</v>
      </c>
      <c r="F296" s="211"/>
      <c r="G296" s="212"/>
      <c r="H296" s="212"/>
      <c r="I296" s="212"/>
      <c r="J296" s="213"/>
      <c r="K296" s="206"/>
    </row>
    <row r="297" spans="1:11">
      <c r="A297" s="181"/>
      <c r="B297" s="182"/>
      <c r="C297" s="182"/>
      <c r="D297" s="182"/>
      <c r="E297" s="182"/>
      <c r="F297" s="211"/>
      <c r="G297" s="212"/>
      <c r="H297" s="212"/>
      <c r="I297" s="212"/>
      <c r="J297" s="213"/>
    </row>
    <row r="298" spans="1:11" ht="15.75" thickBot="1">
      <c r="A298" s="190" t="s">
        <v>10</v>
      </c>
      <c r="B298" s="226">
        <v>43.331936267061451</v>
      </c>
      <c r="C298" s="226">
        <v>37.776603134423837</v>
      </c>
      <c r="D298" s="226">
        <v>33.920609591248201</v>
      </c>
      <c r="E298" s="226">
        <v>16.782959909622335</v>
      </c>
      <c r="F298" s="217">
        <v>-1.7114473081362158E-3</v>
      </c>
      <c r="G298" s="218">
        <v>-4.0512974285620285E-3</v>
      </c>
      <c r="H298" s="218">
        <v>-1.8076355074965966E-2</v>
      </c>
      <c r="I298" s="218">
        <v>-2.1303243667912919E-2</v>
      </c>
      <c r="J298" s="219">
        <v>-3.4571210691747067E-2</v>
      </c>
      <c r="K298" s="186"/>
    </row>
    <row r="299" spans="1:11">
      <c r="A299" s="195"/>
      <c r="B299" s="171"/>
      <c r="C299" s="254"/>
      <c r="D299" s="254"/>
      <c r="K299" s="222"/>
    </row>
    <row r="300" spans="1:11">
      <c r="A300" s="195"/>
      <c r="B300" s="171"/>
      <c r="C300" s="254"/>
      <c r="D300" s="254"/>
    </row>
    <row r="301" spans="1:11" ht="16.5" thickBot="1">
      <c r="A301" s="91" t="s">
        <v>182</v>
      </c>
      <c r="B301" s="80"/>
      <c r="C301" s="275"/>
      <c r="D301" s="275"/>
      <c r="E301" s="275"/>
      <c r="F301" s="80"/>
      <c r="G301" s="80"/>
      <c r="H301" s="80"/>
      <c r="I301" s="80"/>
      <c r="J301" s="80"/>
    </row>
    <row r="302" spans="1:11" ht="15.75" thickBot="1">
      <c r="A302" s="177" t="s">
        <v>51</v>
      </c>
      <c r="B302" s="178">
        <v>2000</v>
      </c>
      <c r="C302" s="178">
        <v>2025</v>
      </c>
      <c r="D302" s="178">
        <v>2030</v>
      </c>
      <c r="E302" s="178">
        <v>2050</v>
      </c>
      <c r="F302" s="197" t="s">
        <v>98</v>
      </c>
      <c r="G302" s="198" t="s">
        <v>99</v>
      </c>
      <c r="H302" s="198" t="s">
        <v>100</v>
      </c>
      <c r="I302" s="198" t="s">
        <v>101</v>
      </c>
      <c r="J302" s="199" t="s">
        <v>102</v>
      </c>
    </row>
    <row r="303" spans="1:11">
      <c r="A303" s="181" t="s">
        <v>183</v>
      </c>
      <c r="B303" s="182">
        <v>39.905836568061453</v>
      </c>
      <c r="C303" s="182">
        <v>34.722891807419558</v>
      </c>
      <c r="D303" s="182">
        <v>30.817366953640541</v>
      </c>
      <c r="E303" s="182">
        <v>13.822431129824748</v>
      </c>
      <c r="F303" s="203">
        <v>-1.0591228097824867E-3</v>
      </c>
      <c r="G303" s="204">
        <v>-4.6044738636766835E-3</v>
      </c>
      <c r="H303" s="204">
        <v>-1.9831245959978649E-2</v>
      </c>
      <c r="I303" s="204">
        <v>-2.358165916746735E-2</v>
      </c>
      <c r="J303" s="205">
        <v>-3.929633997209192E-2</v>
      </c>
    </row>
    <row r="304" spans="1:11">
      <c r="A304" s="181" t="s">
        <v>184</v>
      </c>
      <c r="B304" s="209">
        <v>1.1697000000000002</v>
      </c>
      <c r="C304" s="209">
        <v>1.1257957226916904</v>
      </c>
      <c r="D304" s="209">
        <v>1.1633620850321045</v>
      </c>
      <c r="E304" s="209">
        <v>1.231147369555037</v>
      </c>
      <c r="F304" s="211">
        <v>-9.3887516254735903E-3</v>
      </c>
      <c r="G304" s="212">
        <v>1.1899222699643497E-2</v>
      </c>
      <c r="H304" s="212">
        <v>8.8578864839432558E-3</v>
      </c>
      <c r="I304" s="212">
        <v>6.5864091148477577E-3</v>
      </c>
      <c r="J304" s="213">
        <v>2.8356324809348799E-3</v>
      </c>
    </row>
    <row r="305" spans="1:12">
      <c r="A305" s="181" t="s">
        <v>185</v>
      </c>
      <c r="B305" s="209">
        <v>0.47259670699999995</v>
      </c>
      <c r="C305" s="209">
        <v>0.39789155260387177</v>
      </c>
      <c r="D305" s="209">
        <v>0.37144658456130919</v>
      </c>
      <c r="E305" s="209">
        <v>0.21662018334104061</v>
      </c>
      <c r="F305" s="211">
        <v>-1.6759290797919713E-3</v>
      </c>
      <c r="G305" s="212">
        <v>-6.1586392630241793E-3</v>
      </c>
      <c r="H305" s="212">
        <v>-2.2935777745134667E-2</v>
      </c>
      <c r="I305" s="212">
        <v>-1.3660717152266577E-2</v>
      </c>
      <c r="J305" s="213">
        <v>-2.660272192627311E-2</v>
      </c>
    </row>
    <row r="306" spans="1:12">
      <c r="A306" s="181" t="s">
        <v>186</v>
      </c>
      <c r="B306" s="209">
        <v>1.783802992</v>
      </c>
      <c r="C306" s="209">
        <v>1.530024051708708</v>
      </c>
      <c r="D306" s="209">
        <v>1.5684339680142472</v>
      </c>
      <c r="E306" s="209">
        <v>1.5127612269015085</v>
      </c>
      <c r="F306" s="211">
        <v>-1.2369884935951925E-2</v>
      </c>
      <c r="G306" s="212">
        <v>-6.5069060666167466E-5</v>
      </c>
      <c r="H306" s="212">
        <v>6.7359140300744524E-3</v>
      </c>
      <c r="I306" s="212">
        <v>4.9711541088124367E-3</v>
      </c>
      <c r="J306" s="213">
        <v>-1.8054203114803435E-3</v>
      </c>
    </row>
    <row r="307" spans="1:12">
      <c r="A307" s="181"/>
      <c r="B307" s="182"/>
      <c r="C307" s="182"/>
      <c r="D307" s="182"/>
      <c r="E307" s="182"/>
      <c r="F307" s="211"/>
      <c r="G307" s="212"/>
      <c r="H307" s="212"/>
      <c r="I307" s="212"/>
      <c r="J307" s="213"/>
    </row>
    <row r="308" spans="1:12" ht="15.75" thickBot="1">
      <c r="A308" s="241" t="s">
        <v>10</v>
      </c>
      <c r="B308" s="226">
        <v>43.331936267061451</v>
      </c>
      <c r="C308" s="226">
        <v>37.77660313442383</v>
      </c>
      <c r="D308" s="226">
        <v>33.920609591248201</v>
      </c>
      <c r="E308" s="226">
        <v>16.782959909622335</v>
      </c>
      <c r="F308" s="217">
        <v>-1.7114473081362158E-3</v>
      </c>
      <c r="G308" s="218">
        <v>-4.0512974285620285E-3</v>
      </c>
      <c r="H308" s="218">
        <v>-1.8076355074965966E-2</v>
      </c>
      <c r="I308" s="218">
        <v>-2.1303243667912808E-2</v>
      </c>
      <c r="J308" s="219">
        <v>-3.4571210691747067E-2</v>
      </c>
    </row>
    <row r="309" spans="1:12">
      <c r="A309" s="195"/>
      <c r="B309" s="276"/>
      <c r="C309" s="171"/>
    </row>
    <row r="310" spans="1:12">
      <c r="A310" s="195"/>
      <c r="B310" s="276"/>
      <c r="C310" s="171"/>
    </row>
    <row r="311" spans="1:12" ht="16.5" thickBot="1">
      <c r="A311" s="91" t="s">
        <v>187</v>
      </c>
      <c r="B311" s="277"/>
      <c r="C311" s="80"/>
      <c r="D311" s="80"/>
      <c r="E311" s="80"/>
      <c r="F311" s="80"/>
      <c r="G311" s="80"/>
      <c r="H311" s="80"/>
      <c r="I311" s="80"/>
      <c r="J311" s="80"/>
    </row>
    <row r="312" spans="1:12" ht="15.75" thickBot="1">
      <c r="A312" s="177" t="s">
        <v>51</v>
      </c>
      <c r="B312" s="178">
        <v>2000</v>
      </c>
      <c r="C312" s="178">
        <v>2025</v>
      </c>
      <c r="D312" s="178">
        <v>2030</v>
      </c>
      <c r="E312" s="178">
        <v>2050</v>
      </c>
      <c r="F312" s="197" t="s">
        <v>98</v>
      </c>
      <c r="G312" s="198" t="s">
        <v>99</v>
      </c>
      <c r="H312" s="198" t="s">
        <v>100</v>
      </c>
      <c r="I312" s="198" t="s">
        <v>101</v>
      </c>
      <c r="J312" s="199" t="s">
        <v>102</v>
      </c>
    </row>
    <row r="313" spans="1:12">
      <c r="A313" s="263" t="s">
        <v>188</v>
      </c>
      <c r="B313" s="182">
        <v>24.027286900070735</v>
      </c>
      <c r="C313" s="182">
        <v>20.099431800399458</v>
      </c>
      <c r="D313" s="182">
        <v>17.114729421604906</v>
      </c>
      <c r="E313" s="182">
        <v>5.4108673334362987</v>
      </c>
      <c r="F313" s="203">
        <v>-1.6696791447358139E-3</v>
      </c>
      <c r="G313" s="204">
        <v>-6.6004028423241046E-3</v>
      </c>
      <c r="H313" s="204">
        <v>-2.3776978330879994E-2</v>
      </c>
      <c r="I313" s="204">
        <v>-3.1639086548690742E-2</v>
      </c>
      <c r="J313" s="205">
        <v>-5.5950335102449733E-2</v>
      </c>
      <c r="L313" s="248"/>
    </row>
    <row r="314" spans="1:12">
      <c r="A314" s="181" t="s">
        <v>177</v>
      </c>
      <c r="B314" s="209">
        <v>13.39859269494649</v>
      </c>
      <c r="C314" s="209">
        <v>7.5510246343567768</v>
      </c>
      <c r="D314" s="209">
        <v>7.0493412936793911</v>
      </c>
      <c r="E314" s="209">
        <v>0.69666280639901523</v>
      </c>
      <c r="F314" s="211">
        <v>-5.0921821341770257E-2</v>
      </c>
      <c r="G314" s="212">
        <v>3.1446491688119638E-2</v>
      </c>
      <c r="H314" s="212">
        <v>1.1199096554230348E-2</v>
      </c>
      <c r="I314" s="212">
        <v>-1.3655720677873573E-2</v>
      </c>
      <c r="J314" s="213">
        <v>-0.10927487174323569</v>
      </c>
    </row>
    <row r="315" spans="1:12">
      <c r="A315" s="181" t="s">
        <v>178</v>
      </c>
      <c r="B315" s="209">
        <v>10.470294291485542</v>
      </c>
      <c r="C315" s="209">
        <v>11.752123581760772</v>
      </c>
      <c r="D315" s="209">
        <v>8.7753135908489099</v>
      </c>
      <c r="E315" s="209">
        <v>0.54710495232365219</v>
      </c>
      <c r="F315" s="211">
        <v>3.3517742695645003E-2</v>
      </c>
      <c r="G315" s="212">
        <v>-2.2685635126629244E-2</v>
      </c>
      <c r="H315" s="212">
        <v>-5.148675456623053E-2</v>
      </c>
      <c r="I315" s="212">
        <v>-5.6744689180459829E-2</v>
      </c>
      <c r="J315" s="213">
        <v>-0.12955687383007697</v>
      </c>
    </row>
    <row r="316" spans="1:12">
      <c r="A316" s="181" t="s">
        <v>180</v>
      </c>
      <c r="B316" s="209">
        <v>0.15839991363870282</v>
      </c>
      <c r="C316" s="209">
        <v>0.13487994983720197</v>
      </c>
      <c r="D316" s="209">
        <v>5.0098788547381715E-4</v>
      </c>
      <c r="E316" s="209">
        <v>-1.3025685022319245E-4</v>
      </c>
      <c r="F316" s="211">
        <v>-1.3210630531568235E-2</v>
      </c>
      <c r="G316" s="212">
        <v>2.7190924149946838E-3</v>
      </c>
      <c r="H316" s="212">
        <v>5.0457236189127563E-3</v>
      </c>
      <c r="I316" s="212">
        <v>-0.67343024104122451</v>
      </c>
      <c r="J316" s="213" t="e">
        <v>#NUM!</v>
      </c>
    </row>
    <row r="317" spans="1:12">
      <c r="A317" s="181" t="s">
        <v>181</v>
      </c>
      <c r="B317" s="209">
        <v>0</v>
      </c>
      <c r="C317" s="209">
        <v>0</v>
      </c>
      <c r="D317" s="209">
        <v>0</v>
      </c>
      <c r="E317" s="209">
        <v>0</v>
      </c>
      <c r="F317" s="211"/>
      <c r="G317" s="212"/>
      <c r="H317" s="212"/>
      <c r="I317" s="212"/>
      <c r="J317" s="213"/>
    </row>
    <row r="318" spans="1:12">
      <c r="A318" s="181" t="s">
        <v>109</v>
      </c>
      <c r="B318" s="209">
        <v>0</v>
      </c>
      <c r="C318" s="209">
        <v>0</v>
      </c>
      <c r="D318" s="209">
        <v>0</v>
      </c>
      <c r="E318" s="209">
        <v>0</v>
      </c>
      <c r="F318" s="211"/>
      <c r="G318" s="212"/>
      <c r="H318" s="212"/>
      <c r="I318" s="212"/>
      <c r="J318" s="213"/>
    </row>
    <row r="319" spans="1:12">
      <c r="A319" s="181" t="s">
        <v>104</v>
      </c>
      <c r="B319" s="209">
        <v>0</v>
      </c>
      <c r="C319" s="209">
        <v>0.66140363444470751</v>
      </c>
      <c r="D319" s="209">
        <v>1.2895735491911335</v>
      </c>
      <c r="E319" s="209">
        <v>4.1672298315638541</v>
      </c>
      <c r="F319" s="211"/>
      <c r="G319" s="212"/>
      <c r="H319" s="212"/>
      <c r="I319" s="212"/>
      <c r="J319" s="213"/>
    </row>
    <row r="320" spans="1:12">
      <c r="A320" s="181"/>
      <c r="B320" s="182"/>
      <c r="C320" s="182"/>
      <c r="D320" s="182"/>
      <c r="E320" s="244"/>
      <c r="F320" s="211"/>
      <c r="G320" s="212"/>
      <c r="H320" s="212"/>
      <c r="I320" s="212"/>
      <c r="J320" s="213"/>
    </row>
    <row r="321" spans="1:10">
      <c r="A321" s="263" t="s">
        <v>189</v>
      </c>
      <c r="B321" s="182">
        <v>14.86224967499072</v>
      </c>
      <c r="C321" s="182">
        <v>13.205309382739225</v>
      </c>
      <c r="D321" s="182">
        <v>12.385410509510248</v>
      </c>
      <c r="E321" s="182">
        <v>7.4779451697917185</v>
      </c>
      <c r="F321" s="211">
        <v>-2.2478373250710559E-3</v>
      </c>
      <c r="G321" s="212">
        <v>-2.0483570847040777E-3</v>
      </c>
      <c r="H321" s="212">
        <v>-1.4729965365314568E-2</v>
      </c>
      <c r="I321" s="212">
        <v>-1.273812775691141E-2</v>
      </c>
      <c r="J321" s="213">
        <v>-2.4912490022039324E-2</v>
      </c>
    </row>
    <row r="322" spans="1:10">
      <c r="A322" s="181" t="s">
        <v>177</v>
      </c>
      <c r="B322" s="209">
        <v>0.25552709358730952</v>
      </c>
      <c r="C322" s="209">
        <v>-1.8033104599291742E-2</v>
      </c>
      <c r="D322" s="209">
        <v>-1.0659262413274266E-2</v>
      </c>
      <c r="E322" s="209">
        <v>6.1823721996996997E-3</v>
      </c>
      <c r="F322" s="211"/>
      <c r="G322" s="212"/>
      <c r="H322" s="212"/>
      <c r="I322" s="212"/>
      <c r="J322" s="213"/>
    </row>
    <row r="323" spans="1:10">
      <c r="A323" s="181" t="s">
        <v>178</v>
      </c>
      <c r="B323" s="209">
        <v>14.5566</v>
      </c>
      <c r="C323" s="209">
        <v>12.588420029470544</v>
      </c>
      <c r="D323" s="209">
        <v>10.988847813814505</v>
      </c>
      <c r="E323" s="209">
        <v>1.9155549180991991</v>
      </c>
      <c r="F323" s="211">
        <v>-8.9652551095531496E-4</v>
      </c>
      <c r="G323" s="212">
        <v>-4.2493456744144842E-3</v>
      </c>
      <c r="H323" s="212">
        <v>-2.1861739114521272E-2</v>
      </c>
      <c r="I323" s="212">
        <v>-2.6813251452596498E-2</v>
      </c>
      <c r="J323" s="213">
        <v>-8.3637892367373845E-2</v>
      </c>
    </row>
    <row r="324" spans="1:10">
      <c r="A324" s="181" t="s">
        <v>180</v>
      </c>
      <c r="B324" s="209">
        <v>5.0122581403410749E-2</v>
      </c>
      <c r="C324" s="209">
        <v>-3.5372599458827715E-3</v>
      </c>
      <c r="D324" s="209">
        <v>-2.1400422672590768E-3</v>
      </c>
      <c r="E324" s="209">
        <v>1.2412245150102647E-3</v>
      </c>
      <c r="F324" s="211"/>
      <c r="G324" s="212"/>
      <c r="H324" s="212"/>
      <c r="I324" s="212"/>
      <c r="J324" s="213"/>
    </row>
    <row r="325" spans="1:10">
      <c r="A325" s="181" t="s">
        <v>181</v>
      </c>
      <c r="B325" s="209">
        <v>0</v>
      </c>
      <c r="C325" s="209">
        <v>0.40559760229326686</v>
      </c>
      <c r="D325" s="209">
        <v>0.86469514683149262</v>
      </c>
      <c r="E325" s="209">
        <v>3.1713207480369392</v>
      </c>
      <c r="F325" s="211"/>
      <c r="G325" s="212"/>
      <c r="H325" s="212"/>
      <c r="I325" s="212"/>
      <c r="J325" s="213"/>
    </row>
    <row r="326" spans="1:10">
      <c r="A326" s="181" t="s">
        <v>109</v>
      </c>
      <c r="B326" s="209">
        <v>0</v>
      </c>
      <c r="C326" s="209">
        <v>0</v>
      </c>
      <c r="D326" s="209">
        <v>0</v>
      </c>
      <c r="E326" s="209">
        <v>4.2992261392949267E-2</v>
      </c>
      <c r="F326" s="211"/>
      <c r="G326" s="212"/>
      <c r="H326" s="212"/>
      <c r="I326" s="212"/>
      <c r="J326" s="213"/>
    </row>
    <row r="327" spans="1:10">
      <c r="A327" s="181" t="s">
        <v>104</v>
      </c>
      <c r="B327" s="209">
        <v>0</v>
      </c>
      <c r="C327" s="209">
        <v>0.23286211552059005</v>
      </c>
      <c r="D327" s="209">
        <v>0.54466685354478217</v>
      </c>
      <c r="E327" s="209">
        <v>2.340653645547921</v>
      </c>
      <c r="F327" s="211"/>
      <c r="G327" s="212"/>
      <c r="H327" s="212"/>
      <c r="I327" s="212"/>
      <c r="J327" s="213"/>
    </row>
    <row r="328" spans="1:10">
      <c r="A328" s="181"/>
      <c r="B328" s="182"/>
      <c r="C328" s="182"/>
      <c r="D328" s="182"/>
      <c r="E328" s="244"/>
      <c r="F328" s="211"/>
      <c r="G328" s="212"/>
      <c r="H328" s="212"/>
      <c r="I328" s="212"/>
      <c r="J328" s="213"/>
    </row>
    <row r="329" spans="1:10">
      <c r="A329" s="263" t="s">
        <v>190</v>
      </c>
      <c r="B329" s="182">
        <v>0.67330000000000001</v>
      </c>
      <c r="C329" s="182">
        <v>0.93186884520443769</v>
      </c>
      <c r="D329" s="182">
        <v>0.87043822266048954</v>
      </c>
      <c r="E329" s="182">
        <v>0.64480174357798292</v>
      </c>
      <c r="F329" s="211">
        <v>2.0273786312048125E-2</v>
      </c>
      <c r="G329" s="212">
        <v>1.1447699192846272E-2</v>
      </c>
      <c r="H329" s="212">
        <v>-6.573778312624845E-3</v>
      </c>
      <c r="I329" s="212">
        <v>-1.3546467813731922E-2</v>
      </c>
      <c r="J329" s="213">
        <v>-1.4890714964200025E-2</v>
      </c>
    </row>
    <row r="330" spans="1:10">
      <c r="A330" s="181" t="s">
        <v>177</v>
      </c>
      <c r="B330" s="209">
        <v>0</v>
      </c>
      <c r="C330" s="209">
        <v>0</v>
      </c>
      <c r="D330" s="209">
        <v>0</v>
      </c>
      <c r="E330" s="209">
        <v>0</v>
      </c>
      <c r="F330" s="211"/>
      <c r="G330" s="212"/>
      <c r="H330" s="212"/>
      <c r="I330" s="212"/>
      <c r="J330" s="213"/>
    </row>
    <row r="331" spans="1:10">
      <c r="A331" s="181" t="s">
        <v>178</v>
      </c>
      <c r="B331" s="253">
        <v>0.67330000000000001</v>
      </c>
      <c r="C331" s="209">
        <v>0.86835197973851841</v>
      </c>
      <c r="D331" s="209">
        <v>0.78216143938249383</v>
      </c>
      <c r="E331" s="209">
        <v>0.2179750401132351</v>
      </c>
      <c r="F331" s="211">
        <v>1.8895344811516779E-2</v>
      </c>
      <c r="G331" s="212">
        <v>7.2028750151427179E-3</v>
      </c>
      <c r="H331" s="212">
        <v>-1.2375747645057444E-2</v>
      </c>
      <c r="I331" s="212">
        <v>-2.0690154917806236E-2</v>
      </c>
      <c r="J331" s="213">
        <v>-6.1886213821090941E-2</v>
      </c>
    </row>
    <row r="332" spans="1:10">
      <c r="A332" s="181" t="s">
        <v>180</v>
      </c>
      <c r="B332" s="209">
        <v>0</v>
      </c>
      <c r="C332" s="209">
        <v>0</v>
      </c>
      <c r="D332" s="209">
        <v>0</v>
      </c>
      <c r="E332" s="209">
        <v>0</v>
      </c>
      <c r="F332" s="211"/>
      <c r="G332" s="212"/>
      <c r="H332" s="212"/>
      <c r="I332" s="212"/>
      <c r="J332" s="213"/>
    </row>
    <row r="333" spans="1:10">
      <c r="A333" s="181" t="s">
        <v>181</v>
      </c>
      <c r="B333" s="209">
        <v>0</v>
      </c>
      <c r="C333" s="209">
        <v>5.3431301680733942E-2</v>
      </c>
      <c r="D333" s="209">
        <v>6.5777931267338413E-2</v>
      </c>
      <c r="E333" s="209">
        <v>0.28712973343938736</v>
      </c>
      <c r="F333" s="211"/>
      <c r="G333" s="212">
        <v>0.1480817000629886</v>
      </c>
      <c r="H333" s="212">
        <v>7.959882378385208E-2</v>
      </c>
      <c r="I333" s="212">
        <v>4.2453978710176532E-2</v>
      </c>
      <c r="J333" s="213">
        <v>7.6464960445029595E-2</v>
      </c>
    </row>
    <row r="334" spans="1:10">
      <c r="A334" s="181" t="s">
        <v>109</v>
      </c>
      <c r="B334" s="209">
        <v>0</v>
      </c>
      <c r="C334" s="209">
        <v>0</v>
      </c>
      <c r="D334" s="209">
        <v>0</v>
      </c>
      <c r="E334" s="209">
        <v>0</v>
      </c>
      <c r="F334" s="211"/>
      <c r="G334" s="212"/>
      <c r="H334" s="212"/>
      <c r="I334" s="212"/>
      <c r="J334" s="213"/>
    </row>
    <row r="335" spans="1:10">
      <c r="A335" s="181" t="s">
        <v>104</v>
      </c>
      <c r="B335" s="209">
        <v>0</v>
      </c>
      <c r="C335" s="209">
        <v>1.0085563785185377E-2</v>
      </c>
      <c r="D335" s="209">
        <v>2.2498852010657308E-2</v>
      </c>
      <c r="E335" s="209">
        <v>0.13969697002536055</v>
      </c>
      <c r="F335" s="211"/>
      <c r="G335" s="212"/>
      <c r="H335" s="212"/>
      <c r="I335" s="212"/>
      <c r="J335" s="213"/>
    </row>
    <row r="336" spans="1:10">
      <c r="A336" s="181"/>
      <c r="B336" s="182"/>
      <c r="C336" s="182"/>
      <c r="D336" s="182"/>
      <c r="E336" s="244"/>
      <c r="F336" s="211"/>
      <c r="G336" s="212"/>
      <c r="H336" s="212"/>
      <c r="I336" s="212"/>
      <c r="J336" s="213"/>
    </row>
    <row r="337" spans="1:10">
      <c r="A337" s="263" t="s">
        <v>191</v>
      </c>
      <c r="B337" s="253">
        <v>0.342999993</v>
      </c>
      <c r="C337" s="253">
        <v>0.48628177907643327</v>
      </c>
      <c r="D337" s="253">
        <v>0.44678879986489639</v>
      </c>
      <c r="E337" s="253">
        <v>0.28881688301874892</v>
      </c>
      <c r="F337" s="211">
        <v>3.3865411086703379E-2</v>
      </c>
      <c r="G337" s="212">
        <v>-1.4380909674792552E-2</v>
      </c>
      <c r="H337" s="212">
        <v>-1.5495619379813697E-2</v>
      </c>
      <c r="I337" s="212">
        <v>-1.6797767177459955E-2</v>
      </c>
      <c r="J337" s="213">
        <v>-2.1578437916988991E-2</v>
      </c>
    </row>
    <row r="338" spans="1:10">
      <c r="A338" s="181" t="s">
        <v>192</v>
      </c>
      <c r="B338" s="253">
        <v>0.342999993</v>
      </c>
      <c r="C338" s="253">
        <v>0.40376266964250501</v>
      </c>
      <c r="D338" s="253">
        <v>0.323010135714004</v>
      </c>
      <c r="E338" s="253">
        <v>0</v>
      </c>
      <c r="F338" s="211"/>
      <c r="G338" s="212"/>
      <c r="H338" s="212"/>
      <c r="I338" s="212"/>
      <c r="J338" s="213"/>
    </row>
    <row r="339" spans="1:10">
      <c r="A339" s="181" t="s">
        <v>104</v>
      </c>
      <c r="B339" s="253">
        <v>0</v>
      </c>
      <c r="C339" s="253">
        <v>8.2519109433928262E-2</v>
      </c>
      <c r="D339" s="253">
        <v>0.12377866415089239</v>
      </c>
      <c r="E339" s="253">
        <v>0.28881688301874892</v>
      </c>
      <c r="F339" s="211"/>
      <c r="G339" s="212"/>
      <c r="H339" s="212"/>
      <c r="I339" s="212"/>
      <c r="J339" s="213"/>
    </row>
    <row r="340" spans="1:10">
      <c r="A340" s="181"/>
      <c r="B340" s="182"/>
      <c r="C340" s="182"/>
      <c r="D340" s="182"/>
      <c r="E340" s="244"/>
      <c r="F340" s="211"/>
      <c r="G340" s="212"/>
      <c r="H340" s="212"/>
      <c r="I340" s="212"/>
      <c r="J340" s="213"/>
    </row>
    <row r="341" spans="1:10" ht="15.75" thickBot="1">
      <c r="A341" s="241" t="s">
        <v>193</v>
      </c>
      <c r="B341" s="226">
        <v>39.905836568061453</v>
      </c>
      <c r="C341" s="226">
        <v>34.722891807419558</v>
      </c>
      <c r="D341" s="226">
        <v>30.817366953640541</v>
      </c>
      <c r="E341" s="226">
        <v>13.822431129824748</v>
      </c>
      <c r="F341" s="217">
        <v>-1.0591228097824867E-3</v>
      </c>
      <c r="G341" s="218">
        <v>-4.6044738636766835E-3</v>
      </c>
      <c r="H341" s="218">
        <v>-1.9831245959978649E-2</v>
      </c>
      <c r="I341" s="218">
        <v>-2.358165916746735E-2</v>
      </c>
      <c r="J341" s="219">
        <v>-3.929633997209192E-2</v>
      </c>
    </row>
    <row r="342" spans="1:10">
      <c r="A342" s="195"/>
      <c r="B342" s="276"/>
      <c r="C342" s="171"/>
    </row>
    <row r="343" spans="1:10">
      <c r="A343" s="278"/>
      <c r="B343" s="276"/>
      <c r="C343" s="171"/>
    </row>
    <row r="344" spans="1:10" ht="16.5" thickBot="1">
      <c r="A344" s="91" t="s">
        <v>194</v>
      </c>
      <c r="B344" s="277"/>
      <c r="C344" s="80"/>
      <c r="D344" s="80"/>
      <c r="E344" s="80"/>
      <c r="F344" s="80"/>
      <c r="G344" s="80"/>
      <c r="H344" s="80"/>
      <c r="I344" s="80"/>
      <c r="J344" s="80"/>
    </row>
    <row r="345" spans="1:10" ht="15.75" thickBot="1">
      <c r="A345" s="177"/>
      <c r="B345" s="178">
        <v>2000</v>
      </c>
      <c r="C345" s="178">
        <v>2025</v>
      </c>
      <c r="D345" s="178">
        <v>2030</v>
      </c>
      <c r="E345" s="178">
        <v>2050</v>
      </c>
      <c r="F345" s="197" t="s">
        <v>98</v>
      </c>
      <c r="G345" s="198" t="s">
        <v>99</v>
      </c>
      <c r="H345" s="198" t="s">
        <v>100</v>
      </c>
      <c r="I345" s="198" t="s">
        <v>101</v>
      </c>
      <c r="J345" s="199" t="s">
        <v>102</v>
      </c>
    </row>
    <row r="346" spans="1:10">
      <c r="A346" s="279" t="s">
        <v>195</v>
      </c>
      <c r="B346" s="280">
        <v>29.760983773998959</v>
      </c>
      <c r="C346" s="201">
        <v>35.603432606124514</v>
      </c>
      <c r="D346" s="201">
        <v>36.435851335195295</v>
      </c>
      <c r="E346" s="281">
        <v>41.278678652849216</v>
      </c>
      <c r="F346" s="203">
        <v>9.2768512208549758E-3</v>
      </c>
      <c r="G346" s="204">
        <v>2.9551187070533391E-3</v>
      </c>
      <c r="H346" s="204">
        <v>5.2092614552610161E-3</v>
      </c>
      <c r="I346" s="204">
        <v>4.6329313905344449E-3</v>
      </c>
      <c r="J346" s="205">
        <v>6.2591518631291976E-3</v>
      </c>
    </row>
    <row r="347" spans="1:10" ht="15.75" thickBot="1">
      <c r="A347" s="190" t="s">
        <v>196</v>
      </c>
      <c r="B347" s="282">
        <v>2.4457815549611052E-2</v>
      </c>
      <c r="C347" s="237">
        <v>1.5622868880674981E-2</v>
      </c>
      <c r="D347" s="237">
        <v>1.3086146029216225E-2</v>
      </c>
      <c r="E347" s="283">
        <v>4.6216559616605512E-3</v>
      </c>
      <c r="F347" s="217">
        <v>-1.2768442303100258E-2</v>
      </c>
      <c r="G347" s="218">
        <v>-1.9735527037358369E-2</v>
      </c>
      <c r="H347" s="218">
        <v>-3.0677546546349133E-2</v>
      </c>
      <c r="I347" s="218">
        <v>-3.4815820067358616E-2</v>
      </c>
      <c r="J347" s="219">
        <v>-5.0709154984180382E-2</v>
      </c>
    </row>
    <row r="348" spans="1:10">
      <c r="A348" s="238"/>
      <c r="B348" s="276"/>
      <c r="C348" s="171"/>
    </row>
    <row r="349" spans="1:10" ht="15.75">
      <c r="A349" s="284"/>
    </row>
    <row r="350" spans="1:10" ht="21">
      <c r="A350" s="78" t="s">
        <v>197</v>
      </c>
      <c r="B350" s="73"/>
      <c r="C350" s="73"/>
      <c r="D350" s="73"/>
      <c r="E350" s="239"/>
      <c r="F350" s="239"/>
      <c r="G350" s="239"/>
      <c r="H350" s="239"/>
      <c r="I350" s="239"/>
      <c r="J350" s="239"/>
    </row>
    <row r="351" spans="1:10">
      <c r="D351" s="170"/>
    </row>
    <row r="352" spans="1:10" ht="16.5" thickBot="1">
      <c r="A352" s="91" t="s">
        <v>198</v>
      </c>
      <c r="B352" s="80"/>
      <c r="C352" s="80"/>
      <c r="D352" s="80"/>
      <c r="E352" s="80"/>
      <c r="F352" s="80"/>
      <c r="G352" s="80"/>
      <c r="H352" s="80"/>
      <c r="I352" s="80"/>
      <c r="J352" s="80"/>
    </row>
    <row r="353" spans="1:10" ht="15.75" thickBot="1">
      <c r="A353" s="235" t="s">
        <v>51</v>
      </c>
      <c r="B353" s="178">
        <v>2000</v>
      </c>
      <c r="C353" s="178">
        <v>2025</v>
      </c>
      <c r="D353" s="178">
        <v>2030</v>
      </c>
      <c r="E353" s="178">
        <v>2050</v>
      </c>
      <c r="F353" s="197" t="s">
        <v>98</v>
      </c>
      <c r="G353" s="198" t="s">
        <v>99</v>
      </c>
      <c r="H353" s="198" t="s">
        <v>100</v>
      </c>
      <c r="I353" s="198" t="s">
        <v>101</v>
      </c>
      <c r="J353" s="199" t="s">
        <v>102</v>
      </c>
    </row>
    <row r="354" spans="1:10">
      <c r="A354" s="181" t="s">
        <v>103</v>
      </c>
      <c r="B354" s="209">
        <v>3.48</v>
      </c>
      <c r="C354" s="209">
        <v>2.65</v>
      </c>
      <c r="D354" s="209">
        <v>2.28816075231342</v>
      </c>
      <c r="E354" s="209">
        <v>0.21812059733714201</v>
      </c>
      <c r="F354" s="203">
        <v>-2.1192749945424527E-3</v>
      </c>
      <c r="G354" s="204">
        <v>-2.1515527030530501E-2</v>
      </c>
      <c r="H354" s="204">
        <v>-2.6034696614973707E-2</v>
      </c>
      <c r="I354" s="204">
        <v>-2.8935379084694013E-2</v>
      </c>
      <c r="J354" s="205">
        <v>-0.1108797382107628</v>
      </c>
    </row>
    <row r="355" spans="1:10">
      <c r="A355" s="181" t="s">
        <v>54</v>
      </c>
      <c r="B355" s="209">
        <v>0.29509000000000002</v>
      </c>
      <c r="C355" s="209">
        <v>0.41</v>
      </c>
      <c r="D355" s="209">
        <v>0.47763215046268398</v>
      </c>
      <c r="E355" s="209">
        <v>0.69442453716561003</v>
      </c>
      <c r="F355" s="211">
        <v>-2.5471521119387774E-2</v>
      </c>
      <c r="G355" s="212">
        <v>0.1151404629217756</v>
      </c>
      <c r="H355" s="212">
        <v>3.4791119493878142E-2</v>
      </c>
      <c r="I355" s="212">
        <v>3.1007772048435189E-2</v>
      </c>
      <c r="J355" s="213">
        <v>1.8888300141020276E-2</v>
      </c>
    </row>
    <row r="356" spans="1:10">
      <c r="A356" s="181" t="s">
        <v>42</v>
      </c>
      <c r="B356" s="209">
        <v>0</v>
      </c>
      <c r="C356" s="209">
        <v>0</v>
      </c>
      <c r="D356" s="209">
        <v>0</v>
      </c>
      <c r="E356" s="209">
        <v>0</v>
      </c>
      <c r="F356" s="211"/>
      <c r="G356" s="212"/>
      <c r="H356" s="212"/>
      <c r="I356" s="212"/>
      <c r="J356" s="213"/>
    </row>
    <row r="357" spans="1:10">
      <c r="A357" s="181" t="s">
        <v>104</v>
      </c>
      <c r="B357" s="209">
        <v>0.51178999999999997</v>
      </c>
      <c r="C357" s="209">
        <v>0.73170616791472998</v>
      </c>
      <c r="D357" s="209">
        <v>0.77565894251492096</v>
      </c>
      <c r="E357" s="209">
        <v>0.708817452060579</v>
      </c>
      <c r="F357" s="211">
        <v>2.5486351829053122E-2</v>
      </c>
      <c r="G357" s="212">
        <v>8.1672110616808347E-3</v>
      </c>
      <c r="H357" s="212">
        <v>-1.2068663444770866E-2</v>
      </c>
      <c r="I357" s="212">
        <v>1.1735100919725738E-2</v>
      </c>
      <c r="J357" s="213">
        <v>-4.4956091372805318E-3</v>
      </c>
    </row>
    <row r="358" spans="1:10">
      <c r="A358" s="181" t="s">
        <v>105</v>
      </c>
      <c r="B358" s="209">
        <v>0</v>
      </c>
      <c r="C358" s="209">
        <v>0</v>
      </c>
      <c r="D358" s="209">
        <v>0</v>
      </c>
      <c r="E358" s="209">
        <v>0</v>
      </c>
      <c r="F358" s="211"/>
      <c r="G358" s="212"/>
      <c r="H358" s="212"/>
      <c r="I358" s="212"/>
      <c r="J358" s="213"/>
    </row>
    <row r="359" spans="1:10">
      <c r="A359" s="181" t="s">
        <v>134</v>
      </c>
      <c r="B359" s="209">
        <v>7.0879999999999999E-2</v>
      </c>
      <c r="C359" s="209">
        <v>0.19</v>
      </c>
      <c r="D359" s="209">
        <v>0.23881607523134199</v>
      </c>
      <c r="E359" s="209">
        <v>0.21917958954438899</v>
      </c>
      <c r="F359" s="211">
        <v>5.554891447930288E-2</v>
      </c>
      <c r="G359" s="212">
        <v>1.6150995791948342E-2</v>
      </c>
      <c r="H359" s="212">
        <v>1.9184102850383855E-2</v>
      </c>
      <c r="I359" s="212">
        <v>4.679584744416565E-2</v>
      </c>
      <c r="J359" s="213">
        <v>-4.2809235424272618E-3</v>
      </c>
    </row>
    <row r="360" spans="1:10">
      <c r="A360" s="181" t="s">
        <v>136</v>
      </c>
      <c r="B360" s="209">
        <v>0</v>
      </c>
      <c r="C360" s="209">
        <v>0.05</v>
      </c>
      <c r="D360" s="209">
        <v>0.1</v>
      </c>
      <c r="E360" s="209">
        <v>0.44138721696761302</v>
      </c>
      <c r="F360" s="211"/>
      <c r="G360" s="212"/>
      <c r="H360" s="212"/>
      <c r="I360" s="212"/>
      <c r="J360" s="213"/>
    </row>
    <row r="361" spans="1:10">
      <c r="A361" s="181"/>
      <c r="B361" s="182"/>
      <c r="C361" s="182"/>
      <c r="D361" s="182"/>
      <c r="E361" s="182"/>
      <c r="F361" s="211"/>
      <c r="G361" s="212"/>
      <c r="H361" s="212"/>
      <c r="I361" s="212"/>
      <c r="J361" s="213"/>
    </row>
    <row r="362" spans="1:10" ht="15.75" thickBot="1">
      <c r="A362" s="190" t="s">
        <v>10</v>
      </c>
      <c r="B362" s="226">
        <v>4.3577599999999999</v>
      </c>
      <c r="C362" s="226">
        <v>4.0317061679147299</v>
      </c>
      <c r="D362" s="226">
        <v>3.8802679205223671</v>
      </c>
      <c r="E362" s="226">
        <v>2.281929393075333</v>
      </c>
      <c r="F362" s="217">
        <v>1.8400208256650341E-3</v>
      </c>
      <c r="G362" s="218">
        <v>-7.2536715970948906E-3</v>
      </c>
      <c r="H362" s="218">
        <v>-1.3693957837460968E-2</v>
      </c>
      <c r="I362" s="218">
        <v>-7.6278491989812958E-3</v>
      </c>
      <c r="J362" s="219">
        <v>-2.6194945385892621E-2</v>
      </c>
    </row>
    <row r="363" spans="1:10" ht="15.75">
      <c r="A363" s="284"/>
    </row>
    <row r="364" spans="1:10" ht="15.75">
      <c r="A364" s="284"/>
    </row>
    <row r="365" spans="1:10" ht="21">
      <c r="A365" s="78" t="s">
        <v>199</v>
      </c>
      <c r="B365" s="73"/>
      <c r="C365" s="73"/>
      <c r="D365" s="73"/>
      <c r="E365" s="239"/>
      <c r="F365" s="239"/>
      <c r="G365" s="239"/>
      <c r="H365" s="239"/>
      <c r="I365" s="239"/>
      <c r="J365" s="239"/>
    </row>
    <row r="366" spans="1:10">
      <c r="D366" s="170"/>
    </row>
    <row r="367" spans="1:10" ht="16.5" thickBot="1">
      <c r="A367" s="91" t="s">
        <v>200</v>
      </c>
      <c r="B367" s="80"/>
      <c r="C367" s="80"/>
      <c r="D367" s="80"/>
      <c r="E367" s="80"/>
      <c r="F367" s="80"/>
      <c r="G367" s="80"/>
      <c r="H367" s="80"/>
      <c r="I367" s="80"/>
      <c r="J367" s="80"/>
    </row>
    <row r="368" spans="1:10" ht="15.75" thickBot="1">
      <c r="A368" s="235" t="s">
        <v>51</v>
      </c>
      <c r="B368" s="178">
        <v>2000</v>
      </c>
      <c r="C368" s="178">
        <v>2025</v>
      </c>
      <c r="D368" s="178">
        <v>2030</v>
      </c>
      <c r="E368" s="178">
        <v>2050</v>
      </c>
      <c r="F368" s="197" t="s">
        <v>98</v>
      </c>
      <c r="G368" s="198" t="s">
        <v>99</v>
      </c>
      <c r="H368" s="198" t="s">
        <v>100</v>
      </c>
      <c r="I368" s="198" t="s">
        <v>101</v>
      </c>
      <c r="J368" s="199" t="s">
        <v>102</v>
      </c>
    </row>
    <row r="369" spans="1:11">
      <c r="A369" s="181" t="s">
        <v>103</v>
      </c>
      <c r="B369" s="209">
        <v>22.800202114011181</v>
      </c>
      <c r="C369" s="209">
        <v>9.5895397047905817</v>
      </c>
      <c r="D369" s="209">
        <v>5.7819887111288741</v>
      </c>
      <c r="E369" s="209">
        <v>0.56322748731722927</v>
      </c>
      <c r="F369" s="203">
        <v>-2.4663538264336649E-2</v>
      </c>
      <c r="G369" s="204">
        <v>-3.7890281959203409E-2</v>
      </c>
      <c r="H369" s="204">
        <v>-5.7928574077792616E-2</v>
      </c>
      <c r="I369" s="204">
        <v>-9.6234215255071476E-2</v>
      </c>
      <c r="J369" s="205">
        <v>-0.10991736125585239</v>
      </c>
    </row>
    <row r="370" spans="1:11">
      <c r="A370" s="181" t="s">
        <v>201</v>
      </c>
      <c r="B370" s="209">
        <v>42.525236267061452</v>
      </c>
      <c r="C370" s="209">
        <v>35.251924461011193</v>
      </c>
      <c r="D370" s="209">
        <v>29.885055316714176</v>
      </c>
      <c r="E370" s="209">
        <v>4.9695590114814445</v>
      </c>
      <c r="F370" s="211"/>
      <c r="G370" s="212"/>
      <c r="H370" s="212"/>
      <c r="I370" s="212"/>
      <c r="J370" s="213"/>
    </row>
    <row r="371" spans="1:11">
      <c r="A371" s="181" t="s">
        <v>202</v>
      </c>
      <c r="B371" s="182">
        <v>32.847868625078455</v>
      </c>
      <c r="C371" s="182">
        <v>27.065278972896436</v>
      </c>
      <c r="D371" s="182">
        <v>23.258694581457057</v>
      </c>
      <c r="E371" s="182">
        <v>7.1296876763004962</v>
      </c>
      <c r="F371" s="211">
        <v>-3.5564265792484839E-3</v>
      </c>
      <c r="G371" s="212">
        <v>-6.2689883644609923E-3</v>
      </c>
      <c r="H371" s="212">
        <v>-2.1515190497548575E-2</v>
      </c>
      <c r="I371" s="212">
        <v>-2.9859655615526393E-2</v>
      </c>
      <c r="J371" s="213">
        <v>-5.740689525726772E-2</v>
      </c>
    </row>
    <row r="372" spans="1:11">
      <c r="A372" s="181" t="s">
        <v>203</v>
      </c>
      <c r="B372" s="182">
        <v>0</v>
      </c>
      <c r="C372" s="182">
        <v>0.45902890397400081</v>
      </c>
      <c r="D372" s="182">
        <v>0.93047307809883106</v>
      </c>
      <c r="E372" s="182">
        <v>3.6028639370370201</v>
      </c>
      <c r="F372" s="211"/>
      <c r="G372" s="212"/>
      <c r="H372" s="212"/>
      <c r="I372" s="212"/>
      <c r="J372" s="213"/>
    </row>
    <row r="373" spans="1:11">
      <c r="A373" s="181" t="s">
        <v>42</v>
      </c>
      <c r="B373" s="182">
        <v>6.7202903804985699</v>
      </c>
      <c r="C373" s="182">
        <v>2.5423677932736588</v>
      </c>
      <c r="D373" s="182">
        <v>2.1404310060694471</v>
      </c>
      <c r="E373" s="182">
        <v>0.74476022441954859</v>
      </c>
      <c r="F373" s="211">
        <v>-2.6318420143024879E-2</v>
      </c>
      <c r="G373" s="212">
        <v>-5.920682005832234E-2</v>
      </c>
      <c r="H373" s="212">
        <v>-5.1963528653960478E-2</v>
      </c>
      <c r="I373" s="212">
        <v>-3.3832174138232918E-2</v>
      </c>
      <c r="J373" s="213">
        <v>-5.1416072065252116E-2</v>
      </c>
    </row>
    <row r="374" spans="1:11">
      <c r="A374" s="181" t="s">
        <v>104</v>
      </c>
      <c r="B374" s="182">
        <v>32.608098341652791</v>
      </c>
      <c r="C374" s="182">
        <v>37.021432694702263</v>
      </c>
      <c r="D374" s="182">
        <v>36.727079284167004</v>
      </c>
      <c r="E374" s="182">
        <v>45.016078268538166</v>
      </c>
      <c r="F374" s="211">
        <v>9.1907997532998387E-3</v>
      </c>
      <c r="G374" s="212">
        <v>2.3184906988826803E-4</v>
      </c>
      <c r="H374" s="212">
        <v>-2.2883971074457721E-3</v>
      </c>
      <c r="I374" s="212">
        <v>-1.5952599823521041E-3</v>
      </c>
      <c r="J374" s="213">
        <v>1.0227213217079756E-2</v>
      </c>
    </row>
    <row r="375" spans="1:11">
      <c r="A375" s="181" t="s">
        <v>105</v>
      </c>
      <c r="B375" s="182">
        <v>3.6136280543802326</v>
      </c>
      <c r="C375" s="182">
        <v>4.2081695732746223</v>
      </c>
      <c r="D375" s="182">
        <v>4.4932148754867605</v>
      </c>
      <c r="E375" s="182">
        <v>4.2797913311968934</v>
      </c>
      <c r="F375" s="211">
        <v>1.0317444304028811E-3</v>
      </c>
      <c r="G375" s="212">
        <v>7.7748522900427108E-3</v>
      </c>
      <c r="H375" s="212">
        <v>1.9818509083845637E-2</v>
      </c>
      <c r="I375" s="212">
        <v>1.3194424429338492E-2</v>
      </c>
      <c r="J375" s="213">
        <v>-2.430252115850462E-3</v>
      </c>
      <c r="K375" s="285"/>
    </row>
    <row r="376" spans="1:11">
      <c r="A376" s="181" t="s">
        <v>106</v>
      </c>
      <c r="B376" s="209">
        <v>8.2636079446488786</v>
      </c>
      <c r="C376" s="209">
        <v>8.1936096524261401</v>
      </c>
      <c r="D376" s="209">
        <v>9.2879951420401436</v>
      </c>
      <c r="E376" s="209">
        <v>6.2547065010281511</v>
      </c>
      <c r="F376" s="211">
        <v>-1.5285416543815544E-2</v>
      </c>
      <c r="G376" s="212">
        <v>2.6612089801718586E-2</v>
      </c>
      <c r="H376" s="212">
        <v>1.8412284594735873E-2</v>
      </c>
      <c r="I376" s="212">
        <v>2.5390623734395268E-2</v>
      </c>
      <c r="J376" s="213">
        <v>-1.9575291367223024E-2</v>
      </c>
      <c r="K376" s="285"/>
    </row>
    <row r="377" spans="1:11">
      <c r="A377" s="181" t="s">
        <v>135</v>
      </c>
      <c r="B377" s="209">
        <v>2.0606803808999999E-2</v>
      </c>
      <c r="C377" s="209">
        <v>0.58609109640498669</v>
      </c>
      <c r="D377" s="209">
        <v>0.6897361816565879</v>
      </c>
      <c r="E377" s="209">
        <v>0.7545784485628344</v>
      </c>
      <c r="F377" s="211"/>
      <c r="G377" s="212"/>
      <c r="H377" s="212"/>
      <c r="I377" s="212"/>
      <c r="J377" s="213"/>
      <c r="K377" s="285"/>
    </row>
    <row r="378" spans="1:11">
      <c r="A378" s="181" t="s">
        <v>136</v>
      </c>
      <c r="B378" s="209">
        <v>0</v>
      </c>
      <c r="C378" s="209">
        <v>2.3973967126256399</v>
      </c>
      <c r="D378" s="209">
        <v>3.2469417094936275</v>
      </c>
      <c r="E378" s="209">
        <v>5.6245793298238835</v>
      </c>
      <c r="F378" s="211"/>
      <c r="G378" s="212"/>
      <c r="H378" s="212"/>
      <c r="I378" s="212"/>
      <c r="J378" s="213"/>
      <c r="K378" s="285"/>
    </row>
    <row r="379" spans="1:11">
      <c r="A379" s="181" t="s">
        <v>109</v>
      </c>
      <c r="B379" s="209">
        <v>0</v>
      </c>
      <c r="C379" s="209">
        <v>0</v>
      </c>
      <c r="D379" s="209">
        <v>0</v>
      </c>
      <c r="E379" s="209">
        <v>8.5984522785898534E-2</v>
      </c>
      <c r="F379" s="211"/>
      <c r="G379" s="212"/>
      <c r="H379" s="212"/>
      <c r="I379" s="212"/>
      <c r="J379" s="213"/>
      <c r="K379" s="285"/>
    </row>
    <row r="380" spans="1:11">
      <c r="A380" s="181"/>
      <c r="B380" s="182"/>
      <c r="C380" s="182"/>
      <c r="D380" s="182"/>
      <c r="E380" s="182"/>
      <c r="F380" s="211"/>
      <c r="G380" s="212"/>
      <c r="H380" s="212"/>
      <c r="I380" s="212"/>
      <c r="J380" s="213"/>
      <c r="K380" s="285"/>
    </row>
    <row r="381" spans="1:11" ht="15.75" thickBot="1">
      <c r="A381" s="190" t="s">
        <v>10</v>
      </c>
      <c r="B381" s="226">
        <v>149.39953853114051</v>
      </c>
      <c r="C381" s="226">
        <v>127.3148395653795</v>
      </c>
      <c r="D381" s="226">
        <v>116.44160988631251</v>
      </c>
      <c r="E381" s="226">
        <v>79.025816738491571</v>
      </c>
      <c r="F381" s="217">
        <v>-3.5825120954279255E-3</v>
      </c>
      <c r="G381" s="218">
        <v>-6.0857999820592701E-3</v>
      </c>
      <c r="H381" s="218">
        <v>-1.5007246590185708E-2</v>
      </c>
      <c r="I381" s="218">
        <v>-1.7696175741339082E-2</v>
      </c>
      <c r="J381" s="219">
        <v>-1.919416792153894E-2</v>
      </c>
    </row>
    <row r="382" spans="1:11">
      <c r="A382" s="286"/>
      <c r="D382" s="287"/>
      <c r="E382" s="287"/>
      <c r="F382" s="287"/>
    </row>
    <row r="383" spans="1:11">
      <c r="A383" s="288"/>
      <c r="D383" s="287"/>
      <c r="E383" s="287"/>
      <c r="F383" s="287"/>
    </row>
    <row r="384" spans="1:11" ht="16.5" thickBot="1">
      <c r="A384" s="91" t="s">
        <v>204</v>
      </c>
      <c r="B384" s="80"/>
      <c r="C384" s="80"/>
      <c r="D384" s="80"/>
      <c r="E384" s="80"/>
      <c r="F384" s="80"/>
      <c r="G384" s="80"/>
      <c r="H384" s="80"/>
      <c r="I384" s="80"/>
      <c r="J384" s="80"/>
    </row>
    <row r="385" spans="1:10" ht="15.75" thickBot="1">
      <c r="A385" s="235" t="s">
        <v>51</v>
      </c>
      <c r="B385" s="178">
        <v>2000</v>
      </c>
      <c r="C385" s="178">
        <v>2025</v>
      </c>
      <c r="D385" s="178">
        <v>2030</v>
      </c>
      <c r="E385" s="178">
        <v>2050</v>
      </c>
      <c r="F385" s="197" t="s">
        <v>98</v>
      </c>
      <c r="G385" s="198" t="s">
        <v>99</v>
      </c>
      <c r="H385" s="198" t="s">
        <v>100</v>
      </c>
      <c r="I385" s="198" t="s">
        <v>101</v>
      </c>
      <c r="J385" s="199" t="s">
        <v>102</v>
      </c>
    </row>
    <row r="386" spans="1:10">
      <c r="A386" s="289" t="s">
        <v>78</v>
      </c>
      <c r="B386" s="182">
        <v>38.915922087477441</v>
      </c>
      <c r="C386" s="182">
        <v>29.635626821361569</v>
      </c>
      <c r="D386" s="182">
        <v>27.499902680015332</v>
      </c>
      <c r="E386" s="182">
        <v>22.436954513361478</v>
      </c>
      <c r="F386" s="203">
        <v>-1.3273030719028855E-2</v>
      </c>
      <c r="G386" s="204">
        <v>-3.4098804545312777E-3</v>
      </c>
      <c r="H386" s="204">
        <v>-1.0923722377949918E-2</v>
      </c>
      <c r="I386" s="204">
        <v>-1.484762675992457E-2</v>
      </c>
      <c r="J386" s="205">
        <v>-1.0122078981262161E-2</v>
      </c>
    </row>
    <row r="387" spans="1:10">
      <c r="A387" s="289" t="s">
        <v>80</v>
      </c>
      <c r="B387" s="182">
        <v>42.776692372461667</v>
      </c>
      <c r="C387" s="182">
        <v>36.349130124418281</v>
      </c>
      <c r="D387" s="182">
        <v>33.411962830782613</v>
      </c>
      <c r="E387" s="182">
        <v>23.664254021098639</v>
      </c>
      <c r="F387" s="211">
        <v>-2.7444237679368211E-3</v>
      </c>
      <c r="G387" s="212">
        <v>-9.437605874686672E-3</v>
      </c>
      <c r="H387" s="212">
        <v>-1.4728075072347302E-2</v>
      </c>
      <c r="I387" s="212">
        <v>-1.6710065541940655E-2</v>
      </c>
      <c r="J387" s="213">
        <v>-1.7099532918173233E-2</v>
      </c>
    </row>
    <row r="388" spans="1:10">
      <c r="A388" s="289" t="s">
        <v>81</v>
      </c>
      <c r="B388" s="182">
        <v>20.017227804139996</v>
      </c>
      <c r="C388" s="182">
        <v>19.521773317261111</v>
      </c>
      <c r="D388" s="182">
        <v>17.728866863743995</v>
      </c>
      <c r="E388" s="182">
        <v>13.85971890133378</v>
      </c>
      <c r="F388" s="211">
        <v>6.1939804284143474E-3</v>
      </c>
      <c r="G388" s="212">
        <v>-7.459120426147603E-3</v>
      </c>
      <c r="H388" s="212">
        <v>-1.5922008030237689E-2</v>
      </c>
      <c r="I388" s="212">
        <v>-1.9082816168849881E-2</v>
      </c>
      <c r="J388" s="213">
        <v>-1.2234912067208059E-2</v>
      </c>
    </row>
    <row r="389" spans="1:10">
      <c r="A389" s="289" t="s">
        <v>82</v>
      </c>
      <c r="B389" s="182">
        <v>4.3577599999999999</v>
      </c>
      <c r="C389" s="182">
        <v>4.0317061679147299</v>
      </c>
      <c r="D389" s="182">
        <v>3.8802679205223671</v>
      </c>
      <c r="E389" s="182">
        <v>2.281929393075333</v>
      </c>
      <c r="F389" s="211">
        <v>1.8400208256650341E-3</v>
      </c>
      <c r="G389" s="212">
        <v>-7.2536715970948906E-3</v>
      </c>
      <c r="H389" s="212">
        <v>-1.3693957837460968E-2</v>
      </c>
      <c r="I389" s="212">
        <v>-7.6278491989812958E-3</v>
      </c>
      <c r="J389" s="213">
        <v>-2.6194945385892621E-2</v>
      </c>
    </row>
    <row r="390" spans="1:10">
      <c r="A390" s="289" t="s">
        <v>79</v>
      </c>
      <c r="B390" s="182">
        <v>43.331936267061451</v>
      </c>
      <c r="C390" s="182">
        <v>37.77660313442383</v>
      </c>
      <c r="D390" s="182">
        <v>33.920609591248201</v>
      </c>
      <c r="E390" s="182">
        <v>16.782959909622335</v>
      </c>
      <c r="F390" s="211">
        <v>-1.7114473081362158E-3</v>
      </c>
      <c r="G390" s="212">
        <v>-4.0512974285620285E-3</v>
      </c>
      <c r="H390" s="212">
        <v>-1.8076355074965966E-2</v>
      </c>
      <c r="I390" s="212">
        <v>-2.1303243667912808E-2</v>
      </c>
      <c r="J390" s="213">
        <v>-3.4571210691747067E-2</v>
      </c>
    </row>
    <row r="391" spans="1:10">
      <c r="A391" s="289"/>
      <c r="B391" s="182"/>
      <c r="C391" s="182"/>
      <c r="D391" s="182"/>
      <c r="E391" s="182"/>
      <c r="F391" s="211"/>
      <c r="G391" s="212"/>
      <c r="H391" s="212"/>
      <c r="I391" s="212"/>
      <c r="J391" s="213"/>
    </row>
    <row r="392" spans="1:10" ht="15.75" thickBot="1">
      <c r="A392" s="290" t="s">
        <v>10</v>
      </c>
      <c r="B392" s="226">
        <v>149.39953853114054</v>
      </c>
      <c r="C392" s="226">
        <v>127.31483956537951</v>
      </c>
      <c r="D392" s="226">
        <v>116.44160988631251</v>
      </c>
      <c r="E392" s="226">
        <v>79.025816738491557</v>
      </c>
      <c r="F392" s="217">
        <v>-3.5825120954279255E-3</v>
      </c>
      <c r="G392" s="218">
        <v>-6.0857999820591591E-3</v>
      </c>
      <c r="H392" s="218">
        <v>-1.5007246590185708E-2</v>
      </c>
      <c r="I392" s="218">
        <v>-1.7696175741339082E-2</v>
      </c>
      <c r="J392" s="219">
        <v>-1.919416792153894E-2</v>
      </c>
    </row>
    <row r="393" spans="1:10" ht="15.75">
      <c r="A393" s="284"/>
    </row>
    <row r="394" spans="1:10" ht="15.75">
      <c r="A394" s="284"/>
    </row>
    <row r="395" spans="1:10" ht="16.5" thickBot="1">
      <c r="A395" s="91" t="s">
        <v>205</v>
      </c>
      <c r="B395" s="277"/>
      <c r="C395" s="80"/>
      <c r="D395" s="80"/>
      <c r="E395" s="80"/>
      <c r="F395" s="80"/>
      <c r="G395" s="80"/>
      <c r="H395" s="80"/>
      <c r="I395" s="80"/>
      <c r="J395" s="80"/>
    </row>
    <row r="396" spans="1:10" ht="15.75" thickBot="1">
      <c r="A396" s="177"/>
      <c r="B396" s="178">
        <v>2000</v>
      </c>
      <c r="C396" s="178">
        <v>2025</v>
      </c>
      <c r="D396" s="178">
        <v>2030</v>
      </c>
      <c r="E396" s="178">
        <v>2050</v>
      </c>
      <c r="F396" s="197" t="s">
        <v>98</v>
      </c>
      <c r="G396" s="198" t="s">
        <v>99</v>
      </c>
      <c r="H396" s="198" t="s">
        <v>100</v>
      </c>
      <c r="I396" s="198" t="s">
        <v>101</v>
      </c>
      <c r="J396" s="199" t="s">
        <v>102</v>
      </c>
    </row>
    <row r="397" spans="1:10">
      <c r="A397" s="181" t="s">
        <v>196</v>
      </c>
      <c r="B397" s="291">
        <v>8.4325480727922203E-2</v>
      </c>
      <c r="C397" s="291">
        <v>5.265224715987242E-2</v>
      </c>
      <c r="D397" s="291">
        <v>4.4921713648756446E-2</v>
      </c>
      <c r="E397" s="291">
        <v>2.1761962074707864E-2</v>
      </c>
      <c r="F397" s="211">
        <v>-1.4618783268674718E-2</v>
      </c>
      <c r="G397" s="212">
        <v>-2.1737990184502287E-2</v>
      </c>
      <c r="H397" s="212">
        <v>-2.764782444752989E-2</v>
      </c>
      <c r="I397" s="212">
        <v>-3.1258553859877525E-2</v>
      </c>
      <c r="J397" s="213">
        <v>-3.5589152259137946E-2</v>
      </c>
    </row>
    <row r="398" spans="1:10">
      <c r="A398" s="181" t="s">
        <v>206</v>
      </c>
      <c r="B398" s="268">
        <v>214.04976557185552</v>
      </c>
      <c r="C398" s="268">
        <v>178.06182507702849</v>
      </c>
      <c r="D398" s="268">
        <v>164.78368899653216</v>
      </c>
      <c r="E398" s="268">
        <v>144.17050777866757</v>
      </c>
      <c r="F398" s="211">
        <v>-1.98694799483079E-3</v>
      </c>
      <c r="G398" s="212">
        <v>-1.5519831656577554E-2</v>
      </c>
      <c r="H398" s="212">
        <v>-1.5092198101798626E-2</v>
      </c>
      <c r="I398" s="212">
        <v>-1.537993867855858E-2</v>
      </c>
      <c r="J398" s="213">
        <v>-6.6595739495622919E-3</v>
      </c>
    </row>
    <row r="399" spans="1:10">
      <c r="A399" s="181" t="s">
        <v>150</v>
      </c>
      <c r="B399" s="253">
        <v>2.5383047084702253</v>
      </c>
      <c r="C399" s="253">
        <v>1.9028940581530103</v>
      </c>
      <c r="D399" s="253">
        <v>1.7110907815790266</v>
      </c>
      <c r="E399" s="253">
        <v>1.1025037736349335</v>
      </c>
      <c r="F399" s="211">
        <v>-9.4269338035228856E-3</v>
      </c>
      <c r="G399" s="212">
        <v>-1.0341261228513532E-2</v>
      </c>
      <c r="H399" s="212">
        <v>-1.8638172082507065E-2</v>
      </c>
      <c r="I399" s="212">
        <v>-2.102480410428953E-2</v>
      </c>
      <c r="J399" s="213">
        <v>-2.1737622229799247E-2</v>
      </c>
    </row>
    <row r="400" spans="1:10" ht="15.75" thickBot="1">
      <c r="A400" s="190" t="s">
        <v>151</v>
      </c>
      <c r="B400" s="292">
        <v>6443.1714246733154</v>
      </c>
      <c r="C400" s="292">
        <v>6435.2958743457202</v>
      </c>
      <c r="D400" s="292">
        <v>6276.6940148632757</v>
      </c>
      <c r="E400" s="292">
        <v>7303.9613030838946</v>
      </c>
      <c r="F400" s="217">
        <v>3.2714570186680447E-3</v>
      </c>
      <c r="G400" s="218">
        <v>-4.0506613028475913E-3</v>
      </c>
      <c r="H400" s="218">
        <v>-5.9662074064421589E-3</v>
      </c>
      <c r="I400" s="218">
        <v>-4.9784478039357483E-3</v>
      </c>
      <c r="J400" s="219">
        <v>7.6074625245969862E-3</v>
      </c>
    </row>
    <row r="401" spans="1:1" ht="15.75">
      <c r="A401" s="284"/>
    </row>
    <row r="402" spans="1:1" ht="15.75">
      <c r="A402" s="284"/>
    </row>
    <row r="427" spans="2:12">
      <c r="B427" s="168"/>
      <c r="C427" s="168"/>
      <c r="D427" s="168"/>
      <c r="E427" s="168"/>
      <c r="F427" s="168"/>
      <c r="G427" s="168"/>
      <c r="H427" s="168"/>
      <c r="I427" s="168"/>
      <c r="J427" s="168"/>
      <c r="L427" s="293"/>
    </row>
    <row r="428" spans="2:12">
      <c r="B428" s="168"/>
      <c r="C428" s="168"/>
      <c r="D428" s="168"/>
      <c r="E428" s="168"/>
      <c r="F428" s="168"/>
      <c r="G428" s="168"/>
      <c r="H428" s="168"/>
      <c r="I428" s="168"/>
      <c r="J428" s="168"/>
      <c r="L428" s="207"/>
    </row>
    <row r="429" spans="2:12">
      <c r="B429" s="168"/>
      <c r="C429" s="168"/>
      <c r="D429" s="168"/>
      <c r="E429" s="168"/>
      <c r="F429" s="168"/>
      <c r="G429" s="168"/>
      <c r="H429" s="168"/>
      <c r="I429" s="168"/>
      <c r="J429" s="168"/>
      <c r="L429" s="206"/>
    </row>
    <row r="541" spans="2:10">
      <c r="B541" s="168"/>
      <c r="C541" s="168"/>
      <c r="D541" s="168"/>
      <c r="E541" s="168"/>
      <c r="F541" s="168"/>
      <c r="G541" s="168"/>
      <c r="H541" s="168"/>
      <c r="I541" s="168"/>
      <c r="J541" s="168"/>
    </row>
    <row r="542" spans="2:10">
      <c r="B542" s="168"/>
      <c r="C542" s="168"/>
      <c r="D542" s="168"/>
      <c r="E542" s="168"/>
      <c r="F542" s="168"/>
      <c r="G542" s="168"/>
      <c r="H542" s="168"/>
      <c r="I542" s="168"/>
      <c r="J542" s="168"/>
    </row>
    <row r="543" spans="2:10">
      <c r="B543" s="168"/>
      <c r="C543" s="168"/>
      <c r="D543" s="168"/>
      <c r="E543" s="168"/>
      <c r="F543" s="168"/>
      <c r="G543" s="168"/>
      <c r="H543" s="168"/>
      <c r="I543" s="168"/>
      <c r="J543" s="168"/>
    </row>
    <row r="544" spans="2:10">
      <c r="B544" s="168"/>
      <c r="C544" s="168"/>
      <c r="D544" s="168"/>
      <c r="E544" s="168"/>
      <c r="F544" s="168"/>
      <c r="G544" s="168"/>
      <c r="H544" s="168"/>
      <c r="I544" s="168"/>
      <c r="J544" s="168"/>
    </row>
    <row r="545" spans="2:10">
      <c r="B545" s="168"/>
      <c r="C545" s="168"/>
      <c r="D545" s="168"/>
      <c r="E545" s="168"/>
      <c r="F545" s="168"/>
      <c r="G545" s="168"/>
      <c r="H545" s="168"/>
      <c r="I545" s="168"/>
      <c r="J545" s="168"/>
    </row>
    <row r="546" spans="2:10">
      <c r="B546" s="168"/>
      <c r="C546" s="168"/>
      <c r="D546" s="168"/>
      <c r="E546" s="168"/>
      <c r="F546" s="168"/>
      <c r="G546" s="168"/>
      <c r="H546" s="168"/>
      <c r="I546" s="168"/>
      <c r="J546" s="168"/>
    </row>
    <row r="547" spans="2:10">
      <c r="B547" s="168"/>
      <c r="C547" s="168"/>
      <c r="D547" s="168"/>
      <c r="E547" s="168"/>
      <c r="F547" s="168"/>
      <c r="G547" s="168"/>
      <c r="H547" s="168"/>
      <c r="I547" s="168"/>
      <c r="J547" s="168"/>
    </row>
    <row r="548" spans="2:10">
      <c r="B548" s="168"/>
      <c r="C548" s="168"/>
      <c r="D548" s="168"/>
      <c r="E548" s="168"/>
      <c r="F548" s="168"/>
      <c r="G548" s="168"/>
      <c r="H548" s="168"/>
      <c r="I548" s="168"/>
      <c r="J548" s="168"/>
    </row>
    <row r="549" spans="2:10">
      <c r="B549" s="168"/>
      <c r="C549" s="168"/>
      <c r="D549" s="168"/>
      <c r="E549" s="168"/>
      <c r="F549" s="168"/>
      <c r="G549" s="168"/>
      <c r="H549" s="168"/>
      <c r="I549" s="168"/>
      <c r="J549" s="168"/>
    </row>
    <row r="550" spans="2:10">
      <c r="B550" s="168"/>
      <c r="C550" s="168"/>
      <c r="D550" s="168"/>
      <c r="E550" s="168"/>
      <c r="F550" s="168"/>
      <c r="G550" s="168"/>
      <c r="H550" s="168"/>
      <c r="I550" s="168"/>
      <c r="J550" s="168"/>
    </row>
    <row r="551" spans="2:10">
      <c r="B551" s="168"/>
      <c r="C551" s="168"/>
      <c r="D551" s="168"/>
      <c r="E551" s="168"/>
      <c r="F551" s="168"/>
      <c r="G551" s="168"/>
      <c r="H551" s="168"/>
      <c r="I551" s="168"/>
      <c r="J551" s="168"/>
    </row>
    <row r="552" spans="2:10">
      <c r="B552" s="168"/>
      <c r="C552" s="168"/>
      <c r="D552" s="168"/>
      <c r="E552" s="168"/>
      <c r="F552" s="168"/>
      <c r="G552" s="168"/>
      <c r="H552" s="168"/>
      <c r="I552" s="168"/>
      <c r="J552" s="168"/>
    </row>
    <row r="553" spans="2:10">
      <c r="B553" s="168"/>
      <c r="C553" s="168"/>
      <c r="D553" s="168"/>
      <c r="E553" s="168"/>
      <c r="F553" s="168"/>
      <c r="G553" s="168"/>
      <c r="H553" s="168"/>
      <c r="I553" s="168"/>
      <c r="J553" s="168"/>
    </row>
    <row r="554" spans="2:10">
      <c r="B554" s="168"/>
      <c r="C554" s="168"/>
      <c r="D554" s="168"/>
      <c r="E554" s="168"/>
      <c r="F554" s="168"/>
      <c r="G554" s="168"/>
      <c r="H554" s="168"/>
      <c r="I554" s="168"/>
      <c r="J554" s="168"/>
    </row>
    <row r="555" spans="2:10">
      <c r="B555" s="168"/>
      <c r="C555" s="168"/>
      <c r="D555" s="168"/>
      <c r="E555" s="168"/>
      <c r="F555" s="168"/>
      <c r="G555" s="168"/>
      <c r="H555" s="168"/>
      <c r="I555" s="168"/>
      <c r="J555" s="168"/>
    </row>
    <row r="556" spans="2:10">
      <c r="B556" s="168"/>
      <c r="C556" s="168"/>
      <c r="D556" s="168"/>
      <c r="E556" s="168"/>
      <c r="F556" s="168"/>
      <c r="G556" s="168"/>
      <c r="H556" s="168"/>
      <c r="I556" s="168"/>
      <c r="J556" s="168"/>
    </row>
    <row r="557" spans="2:10">
      <c r="B557" s="168"/>
      <c r="C557" s="168"/>
      <c r="D557" s="168"/>
      <c r="E557" s="168"/>
      <c r="F557" s="168"/>
      <c r="G557" s="168"/>
      <c r="H557" s="168"/>
      <c r="I557" s="168"/>
      <c r="J557" s="168"/>
    </row>
    <row r="558" spans="2:10">
      <c r="B558" s="168"/>
      <c r="C558" s="168"/>
      <c r="D558" s="168"/>
      <c r="E558" s="168"/>
      <c r="F558" s="168"/>
      <c r="G558" s="168"/>
      <c r="H558" s="168"/>
      <c r="I558" s="168"/>
      <c r="J558" s="168"/>
    </row>
    <row r="559" spans="2:10">
      <c r="B559" s="168"/>
      <c r="C559" s="168"/>
      <c r="D559" s="168"/>
      <c r="E559" s="168"/>
      <c r="F559" s="168"/>
      <c r="G559" s="168"/>
      <c r="H559" s="168"/>
      <c r="I559" s="168"/>
      <c r="J559" s="168"/>
    </row>
    <row r="560" spans="2:10">
      <c r="B560" s="168"/>
      <c r="C560" s="168"/>
      <c r="D560" s="168"/>
      <c r="E560" s="168"/>
      <c r="F560" s="168"/>
      <c r="G560" s="168"/>
      <c r="H560" s="168"/>
      <c r="I560" s="168"/>
      <c r="J560" s="168"/>
    </row>
    <row r="561" spans="1:76">
      <c r="B561" s="168"/>
      <c r="C561" s="168"/>
      <c r="D561" s="168"/>
      <c r="E561" s="168"/>
      <c r="F561" s="168"/>
      <c r="G561" s="168"/>
      <c r="H561" s="168"/>
      <c r="I561" s="168"/>
      <c r="J561" s="168"/>
    </row>
    <row r="562" spans="1:76">
      <c r="B562" s="168"/>
      <c r="C562" s="168"/>
      <c r="D562" s="168"/>
      <c r="E562" s="168"/>
      <c r="F562" s="168"/>
      <c r="G562" s="168"/>
      <c r="H562" s="168"/>
      <c r="I562" s="168"/>
      <c r="J562" s="168"/>
    </row>
    <row r="563" spans="1:76">
      <c r="B563" s="168"/>
      <c r="C563" s="168"/>
      <c r="D563" s="168"/>
      <c r="E563" s="168"/>
      <c r="F563" s="168"/>
      <c r="G563" s="168"/>
      <c r="H563" s="168"/>
      <c r="I563" s="168"/>
      <c r="J563" s="168"/>
    </row>
    <row r="564" spans="1:76">
      <c r="A564" s="171"/>
      <c r="B564" s="171"/>
      <c r="C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1"/>
      <c r="AT564" s="171"/>
      <c r="AU564" s="171"/>
      <c r="AV564" s="171"/>
      <c r="AW564" s="171"/>
      <c r="AX564" s="171"/>
      <c r="AY564" s="171"/>
      <c r="AZ564" s="171"/>
      <c r="BA564" s="171"/>
      <c r="BB564" s="171"/>
      <c r="BC564" s="171"/>
      <c r="BD564" s="171"/>
      <c r="BE564" s="171"/>
      <c r="BF564" s="171"/>
      <c r="BG564" s="171"/>
      <c r="BH564" s="171"/>
      <c r="BI564" s="171"/>
      <c r="BJ564" s="171"/>
      <c r="BK564" s="171"/>
      <c r="BL564" s="171"/>
      <c r="BM564" s="171"/>
      <c r="BN564" s="171"/>
      <c r="BO564" s="171"/>
      <c r="BP564" s="171"/>
      <c r="BQ564" s="171"/>
      <c r="BR564" s="171"/>
      <c r="BS564" s="171"/>
      <c r="BT564" s="171"/>
      <c r="BU564" s="171"/>
      <c r="BV564" s="171"/>
      <c r="BW564" s="171"/>
      <c r="BX564" s="171"/>
    </row>
    <row r="565" spans="1:76">
      <c r="A565" s="171"/>
      <c r="B565" s="171"/>
      <c r="C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1"/>
      <c r="AT565" s="171"/>
      <c r="AU565" s="171"/>
      <c r="AV565" s="171"/>
      <c r="AW565" s="171"/>
      <c r="AX565" s="171"/>
      <c r="AY565" s="171"/>
      <c r="AZ565" s="171"/>
      <c r="BA565" s="171"/>
      <c r="BB565" s="171"/>
      <c r="BC565" s="171"/>
      <c r="BD565" s="171"/>
      <c r="BE565" s="171"/>
      <c r="BF565" s="171"/>
      <c r="BG565" s="171"/>
      <c r="BH565" s="171"/>
      <c r="BI565" s="171"/>
      <c r="BJ565" s="171"/>
      <c r="BK565" s="171"/>
      <c r="BL565" s="171"/>
      <c r="BM565" s="171"/>
      <c r="BN565" s="171"/>
      <c r="BO565" s="171"/>
      <c r="BP565" s="171"/>
      <c r="BQ565" s="171"/>
      <c r="BR565" s="171"/>
      <c r="BS565" s="171"/>
      <c r="BT565" s="171"/>
      <c r="BU565" s="171"/>
      <c r="BV565" s="171"/>
      <c r="BW565" s="171"/>
      <c r="BX565" s="171"/>
    </row>
    <row r="566" spans="1:76">
      <c r="A566" s="171"/>
      <c r="B566" s="171"/>
      <c r="C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1"/>
      <c r="AT566" s="171"/>
      <c r="AU566" s="171"/>
      <c r="AV566" s="171"/>
      <c r="AW566" s="171"/>
      <c r="AX566" s="171"/>
      <c r="AY566" s="171"/>
      <c r="AZ566" s="171"/>
      <c r="BA566" s="171"/>
      <c r="BB566" s="171"/>
      <c r="BC566" s="171"/>
      <c r="BD566" s="171"/>
      <c r="BE566" s="171"/>
      <c r="BF566" s="171"/>
      <c r="BG566" s="171"/>
      <c r="BH566" s="171"/>
      <c r="BI566" s="171"/>
      <c r="BJ566" s="171"/>
      <c r="BK566" s="171"/>
      <c r="BL566" s="171"/>
      <c r="BM566" s="171"/>
      <c r="BN566" s="171"/>
      <c r="BO566" s="171"/>
      <c r="BP566" s="171"/>
      <c r="BQ566" s="171"/>
      <c r="BR566" s="171"/>
      <c r="BS566" s="171"/>
      <c r="BT566" s="171"/>
      <c r="BU566" s="171"/>
      <c r="BV566" s="171"/>
      <c r="BW566" s="171"/>
      <c r="BX566" s="171"/>
    </row>
    <row r="567" spans="1:76">
      <c r="A567" s="171"/>
      <c r="B567" s="171"/>
      <c r="C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1"/>
      <c r="AT567" s="171"/>
      <c r="AU567" s="171"/>
      <c r="AV567" s="171"/>
      <c r="AW567" s="171"/>
      <c r="AX567" s="171"/>
      <c r="AY567" s="171"/>
      <c r="AZ567" s="171"/>
      <c r="BA567" s="171"/>
      <c r="BB567" s="171"/>
      <c r="BC567" s="171"/>
      <c r="BD567" s="171"/>
      <c r="BE567" s="171"/>
      <c r="BF567" s="171"/>
      <c r="BG567" s="171"/>
      <c r="BH567" s="171"/>
      <c r="BI567" s="171"/>
      <c r="BJ567" s="171"/>
      <c r="BK567" s="171"/>
      <c r="BL567" s="171"/>
      <c r="BM567" s="171"/>
      <c r="BN567" s="171"/>
      <c r="BO567" s="171"/>
      <c r="BP567" s="171"/>
      <c r="BQ567" s="171"/>
      <c r="BR567" s="171"/>
      <c r="BS567" s="171"/>
      <c r="BT567" s="171"/>
      <c r="BU567" s="171"/>
      <c r="BV567" s="171"/>
      <c r="BW567" s="171"/>
      <c r="BX567" s="171"/>
    </row>
    <row r="568" spans="1:76">
      <c r="B568" s="168"/>
      <c r="C568" s="168"/>
      <c r="D568" s="168"/>
      <c r="E568" s="168"/>
      <c r="F568" s="168"/>
      <c r="G568" s="168"/>
      <c r="H568" s="168"/>
      <c r="I568" s="168"/>
      <c r="J568" s="168"/>
    </row>
    <row r="569" spans="1:76">
      <c r="A569" s="171"/>
      <c r="B569" s="171"/>
      <c r="C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1"/>
      <c r="AT569" s="171"/>
      <c r="AU569" s="171"/>
      <c r="AV569" s="171"/>
      <c r="AW569" s="171"/>
      <c r="AX569" s="171"/>
      <c r="AY569" s="171"/>
      <c r="AZ569" s="171"/>
      <c r="BA569" s="171"/>
      <c r="BB569" s="171"/>
      <c r="BC569" s="171"/>
      <c r="BD569" s="171"/>
      <c r="BE569" s="171"/>
      <c r="BF569" s="171"/>
      <c r="BG569" s="171"/>
      <c r="BH569" s="171"/>
      <c r="BI569" s="171"/>
      <c r="BJ569" s="171"/>
      <c r="BK569" s="171"/>
      <c r="BL569" s="171"/>
      <c r="BM569" s="171"/>
      <c r="BN569" s="171"/>
      <c r="BO569" s="171"/>
      <c r="BP569" s="171"/>
      <c r="BQ569" s="171"/>
      <c r="BR569" s="171"/>
      <c r="BS569" s="171"/>
      <c r="BT569" s="171"/>
      <c r="BU569" s="171"/>
      <c r="BV569" s="171"/>
      <c r="BW569" s="171"/>
      <c r="BX569" s="171"/>
    </row>
    <row r="570" spans="1:76">
      <c r="A570" s="171"/>
      <c r="B570" s="171"/>
      <c r="C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1"/>
      <c r="AT570" s="171"/>
      <c r="AU570" s="171"/>
      <c r="AV570" s="171"/>
      <c r="AW570" s="171"/>
      <c r="AX570" s="171"/>
      <c r="AY570" s="171"/>
      <c r="AZ570" s="171"/>
      <c r="BA570" s="171"/>
      <c r="BB570" s="171"/>
      <c r="BC570" s="171"/>
      <c r="BD570" s="171"/>
      <c r="BE570" s="171"/>
      <c r="BF570" s="171"/>
      <c r="BG570" s="171"/>
      <c r="BH570" s="171"/>
      <c r="BI570" s="171"/>
      <c r="BJ570" s="171"/>
      <c r="BK570" s="171"/>
      <c r="BL570" s="171"/>
      <c r="BM570" s="171"/>
      <c r="BN570" s="171"/>
      <c r="BO570" s="171"/>
      <c r="BP570" s="171"/>
      <c r="BQ570" s="171"/>
      <c r="BR570" s="171"/>
      <c r="BS570" s="171"/>
      <c r="BT570" s="171"/>
      <c r="BU570" s="171"/>
      <c r="BV570" s="171"/>
      <c r="BW570" s="171"/>
      <c r="BX570" s="171"/>
    </row>
    <row r="571" spans="1:76">
      <c r="A571" s="171"/>
      <c r="B571" s="171"/>
      <c r="C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1"/>
      <c r="AT571" s="171"/>
      <c r="AU571" s="171"/>
      <c r="AV571" s="171"/>
      <c r="AW571" s="171"/>
      <c r="AX571" s="171"/>
      <c r="AY571" s="171"/>
      <c r="AZ571" s="171"/>
      <c r="BA571" s="171"/>
      <c r="BB571" s="171"/>
      <c r="BC571" s="171"/>
      <c r="BD571" s="171"/>
      <c r="BE571" s="171"/>
      <c r="BF571" s="171"/>
      <c r="BG571" s="171"/>
      <c r="BH571" s="171"/>
      <c r="BI571" s="171"/>
      <c r="BJ571" s="171"/>
      <c r="BK571" s="171"/>
      <c r="BL571" s="171"/>
      <c r="BM571" s="171"/>
      <c r="BN571" s="171"/>
      <c r="BO571" s="171"/>
      <c r="BP571" s="171"/>
      <c r="BQ571" s="171"/>
      <c r="BR571" s="171"/>
      <c r="BS571" s="171"/>
      <c r="BT571" s="171"/>
      <c r="BU571" s="171"/>
      <c r="BV571" s="171"/>
      <c r="BW571" s="171"/>
      <c r="BX571" s="171"/>
    </row>
    <row r="572" spans="1:76">
      <c r="A572" s="171"/>
      <c r="B572" s="171"/>
      <c r="C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1"/>
      <c r="AT572" s="171"/>
      <c r="AU572" s="171"/>
      <c r="AV572" s="171"/>
      <c r="AW572" s="171"/>
      <c r="AX572" s="171"/>
      <c r="AY572" s="171"/>
      <c r="AZ572" s="171"/>
      <c r="BA572" s="171"/>
      <c r="BB572" s="171"/>
      <c r="BC572" s="171"/>
      <c r="BD572" s="171"/>
      <c r="BE572" s="171"/>
      <c r="BF572" s="171"/>
      <c r="BG572" s="171"/>
      <c r="BH572" s="171"/>
      <c r="BI572" s="171"/>
      <c r="BJ572" s="171"/>
      <c r="BK572" s="171"/>
      <c r="BL572" s="171"/>
      <c r="BM572" s="171"/>
      <c r="BN572" s="171"/>
      <c r="BO572" s="171"/>
      <c r="BP572" s="171"/>
      <c r="BQ572" s="171"/>
      <c r="BR572" s="171"/>
      <c r="BS572" s="171"/>
      <c r="BT572" s="171"/>
      <c r="BU572" s="171"/>
      <c r="BV572" s="171"/>
      <c r="BW572" s="171"/>
      <c r="BX572" s="171"/>
    </row>
    <row r="573" spans="1:76">
      <c r="A573" s="171"/>
      <c r="B573" s="171"/>
      <c r="C573" s="171"/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1"/>
      <c r="AT573" s="171"/>
      <c r="AU573" s="171"/>
      <c r="AV573" s="171"/>
      <c r="AW573" s="171"/>
      <c r="AX573" s="171"/>
      <c r="AY573" s="171"/>
      <c r="AZ573" s="171"/>
      <c r="BA573" s="171"/>
      <c r="BB573" s="171"/>
      <c r="BC573" s="171"/>
      <c r="BD573" s="171"/>
      <c r="BE573" s="171"/>
      <c r="BF573" s="171"/>
      <c r="BG573" s="171"/>
      <c r="BH573" s="171"/>
      <c r="BI573" s="171"/>
      <c r="BJ573" s="171"/>
      <c r="BK573" s="171"/>
      <c r="BL573" s="171"/>
      <c r="BM573" s="171"/>
      <c r="BN573" s="171"/>
      <c r="BO573" s="171"/>
      <c r="BP573" s="171"/>
      <c r="BQ573" s="171"/>
      <c r="BR573" s="171"/>
      <c r="BS573" s="171"/>
      <c r="BT573" s="171"/>
      <c r="BU573" s="171"/>
      <c r="BV573" s="171"/>
      <c r="BW573" s="171"/>
      <c r="BX573" s="171"/>
    </row>
    <row r="574" spans="1:76">
      <c r="A574" s="171"/>
      <c r="B574" s="171"/>
      <c r="C574" s="171"/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171"/>
      <c r="AR574" s="171"/>
      <c r="AS574" s="171"/>
      <c r="AT574" s="171"/>
      <c r="AU574" s="171"/>
      <c r="AV574" s="171"/>
      <c r="AW574" s="171"/>
      <c r="AX574" s="171"/>
      <c r="AY574" s="171"/>
      <c r="AZ574" s="171"/>
      <c r="BA574" s="171"/>
      <c r="BB574" s="171"/>
      <c r="BC574" s="171"/>
      <c r="BD574" s="171"/>
      <c r="BE574" s="171"/>
      <c r="BF574" s="171"/>
      <c r="BG574" s="171"/>
      <c r="BH574" s="171"/>
      <c r="BI574" s="171"/>
      <c r="BJ574" s="171"/>
      <c r="BK574" s="171"/>
      <c r="BL574" s="171"/>
      <c r="BM574" s="171"/>
      <c r="BN574" s="171"/>
      <c r="BO574" s="171"/>
      <c r="BP574" s="171"/>
      <c r="BQ574" s="171"/>
      <c r="BR574" s="171"/>
      <c r="BS574" s="171"/>
      <c r="BT574" s="171"/>
      <c r="BU574" s="171"/>
      <c r="BV574" s="171"/>
      <c r="BW574" s="171"/>
      <c r="BX574" s="171"/>
    </row>
    <row r="575" spans="1:76">
      <c r="A575" s="171"/>
      <c r="B575" s="171"/>
      <c r="C575" s="171"/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  <c r="AF575" s="171"/>
      <c r="AG575" s="171"/>
      <c r="AH575" s="171"/>
      <c r="AI575" s="171"/>
      <c r="AJ575" s="171"/>
      <c r="AK575" s="171"/>
      <c r="AL575" s="171"/>
      <c r="AM575" s="171"/>
      <c r="AN575" s="171"/>
      <c r="AO575" s="171"/>
      <c r="AP575" s="171"/>
      <c r="AQ575" s="171"/>
      <c r="AR575" s="171"/>
      <c r="AS575" s="171"/>
      <c r="AT575" s="171"/>
      <c r="AU575" s="171"/>
      <c r="AV575" s="171"/>
      <c r="AW575" s="171"/>
      <c r="AX575" s="171"/>
      <c r="AY575" s="171"/>
      <c r="AZ575" s="171"/>
      <c r="BA575" s="171"/>
      <c r="BB575" s="171"/>
      <c r="BC575" s="171"/>
      <c r="BD575" s="171"/>
      <c r="BE575" s="171"/>
      <c r="BF575" s="171"/>
      <c r="BG575" s="171"/>
      <c r="BH575" s="171"/>
      <c r="BI575" s="171"/>
      <c r="BJ575" s="171"/>
      <c r="BK575" s="171"/>
      <c r="BL575" s="171"/>
      <c r="BM575" s="171"/>
      <c r="BN575" s="171"/>
      <c r="BO575" s="171"/>
      <c r="BP575" s="171"/>
      <c r="BQ575" s="171"/>
      <c r="BR575" s="171"/>
      <c r="BS575" s="171"/>
      <c r="BT575" s="171"/>
      <c r="BU575" s="171"/>
      <c r="BV575" s="171"/>
      <c r="BW575" s="171"/>
      <c r="BX575" s="171"/>
    </row>
    <row r="576" spans="1:76">
      <c r="A576" s="171"/>
      <c r="B576" s="171"/>
      <c r="C576" s="171"/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171"/>
      <c r="AR576" s="171"/>
      <c r="AS576" s="171"/>
      <c r="AT576" s="171"/>
      <c r="AU576" s="171"/>
      <c r="AV576" s="171"/>
      <c r="AW576" s="171"/>
      <c r="AX576" s="171"/>
      <c r="AY576" s="171"/>
      <c r="AZ576" s="171"/>
      <c r="BA576" s="171"/>
      <c r="BB576" s="171"/>
      <c r="BC576" s="171"/>
      <c r="BD576" s="171"/>
      <c r="BE576" s="171"/>
      <c r="BF576" s="171"/>
      <c r="BG576" s="171"/>
      <c r="BH576" s="171"/>
      <c r="BI576" s="171"/>
      <c r="BJ576" s="171"/>
      <c r="BK576" s="171"/>
      <c r="BL576" s="171"/>
      <c r="BM576" s="171"/>
      <c r="BN576" s="171"/>
      <c r="BO576" s="171"/>
      <c r="BP576" s="171"/>
      <c r="BQ576" s="171"/>
      <c r="BR576" s="171"/>
      <c r="BS576" s="171"/>
      <c r="BT576" s="171"/>
      <c r="BU576" s="171"/>
      <c r="BV576" s="171"/>
      <c r="BW576" s="171"/>
      <c r="BX576" s="171"/>
    </row>
    <row r="577" spans="1:76">
      <c r="A577" s="171"/>
      <c r="B577" s="171"/>
      <c r="C577" s="171"/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  <c r="AF577" s="171"/>
      <c r="AG577" s="171"/>
      <c r="AH577" s="171"/>
      <c r="AI577" s="171"/>
      <c r="AJ577" s="171"/>
      <c r="AK577" s="171"/>
      <c r="AL577" s="171"/>
      <c r="AM577" s="171"/>
      <c r="AN577" s="171"/>
      <c r="AO577" s="171"/>
      <c r="AP577" s="171"/>
      <c r="AQ577" s="171"/>
      <c r="AR577" s="171"/>
      <c r="AS577" s="171"/>
      <c r="AT577" s="171"/>
      <c r="AU577" s="171"/>
      <c r="AV577" s="171"/>
      <c r="AW577" s="171"/>
      <c r="AX577" s="171"/>
      <c r="AY577" s="171"/>
      <c r="AZ577" s="171"/>
      <c r="BA577" s="171"/>
      <c r="BB577" s="171"/>
      <c r="BC577" s="171"/>
      <c r="BD577" s="171"/>
      <c r="BE577" s="171"/>
      <c r="BF577" s="171"/>
      <c r="BG577" s="171"/>
      <c r="BH577" s="171"/>
      <c r="BI577" s="171"/>
      <c r="BJ577" s="171"/>
      <c r="BK577" s="171"/>
      <c r="BL577" s="171"/>
      <c r="BM577" s="171"/>
      <c r="BN577" s="171"/>
      <c r="BO577" s="171"/>
      <c r="BP577" s="171"/>
      <c r="BQ577" s="171"/>
      <c r="BR577" s="171"/>
      <c r="BS577" s="171"/>
      <c r="BT577" s="171"/>
      <c r="BU577" s="171"/>
      <c r="BV577" s="171"/>
      <c r="BW577" s="171"/>
      <c r="BX577" s="171"/>
    </row>
    <row r="578" spans="1:76">
      <c r="A578" s="171"/>
      <c r="B578" s="171"/>
      <c r="C578" s="171"/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  <c r="AS578" s="171"/>
      <c r="AT578" s="171"/>
      <c r="AU578" s="171"/>
      <c r="AV578" s="171"/>
      <c r="AW578" s="171"/>
      <c r="AX578" s="171"/>
      <c r="AY578" s="171"/>
      <c r="AZ578" s="171"/>
      <c r="BA578" s="171"/>
      <c r="BB578" s="171"/>
      <c r="BC578" s="171"/>
      <c r="BD578" s="171"/>
      <c r="BE578" s="171"/>
      <c r="BF578" s="171"/>
      <c r="BG578" s="171"/>
      <c r="BH578" s="171"/>
      <c r="BI578" s="171"/>
      <c r="BJ578" s="171"/>
      <c r="BK578" s="171"/>
      <c r="BL578" s="171"/>
      <c r="BM578" s="171"/>
      <c r="BN578" s="171"/>
      <c r="BO578" s="171"/>
      <c r="BP578" s="171"/>
      <c r="BQ578" s="171"/>
      <c r="BR578" s="171"/>
      <c r="BS578" s="171"/>
      <c r="BT578" s="171"/>
      <c r="BU578" s="171"/>
      <c r="BV578" s="171"/>
      <c r="BW578" s="171"/>
      <c r="BX578" s="171"/>
    </row>
    <row r="579" spans="1:76">
      <c r="B579" s="168"/>
      <c r="C579" s="168"/>
      <c r="D579" s="168"/>
      <c r="E579" s="168"/>
      <c r="F579" s="168"/>
      <c r="G579" s="168"/>
      <c r="H579" s="168"/>
      <c r="I579" s="168"/>
      <c r="J579" s="168"/>
    </row>
    <row r="580" spans="1:76">
      <c r="B580" s="168"/>
      <c r="C580" s="168"/>
      <c r="D580" s="168"/>
      <c r="E580" s="168"/>
      <c r="F580" s="168"/>
      <c r="G580" s="168"/>
      <c r="H580" s="168"/>
      <c r="I580" s="168"/>
      <c r="J580" s="168"/>
    </row>
    <row r="581" spans="1:76">
      <c r="A581" s="171"/>
      <c r="B581" s="171"/>
      <c r="C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  <c r="AS581" s="171"/>
      <c r="AT581" s="171"/>
      <c r="AU581" s="171"/>
      <c r="AV581" s="171"/>
      <c r="AW581" s="171"/>
      <c r="AX581" s="171"/>
      <c r="AY581" s="171"/>
      <c r="AZ581" s="171"/>
      <c r="BA581" s="171"/>
      <c r="BB581" s="171"/>
      <c r="BC581" s="171"/>
      <c r="BD581" s="171"/>
      <c r="BE581" s="171"/>
      <c r="BF581" s="171"/>
      <c r="BG581" s="171"/>
      <c r="BH581" s="171"/>
      <c r="BI581" s="171"/>
      <c r="BJ581" s="171"/>
      <c r="BK581" s="171"/>
      <c r="BL581" s="171"/>
      <c r="BM581" s="171"/>
      <c r="BN581" s="171"/>
      <c r="BO581" s="171"/>
      <c r="BP581" s="171"/>
      <c r="BQ581" s="171"/>
      <c r="BR581" s="171"/>
      <c r="BS581" s="171"/>
      <c r="BT581" s="171"/>
      <c r="BU581" s="171"/>
      <c r="BV581" s="171"/>
      <c r="BW581" s="171"/>
      <c r="BX581" s="171"/>
    </row>
    <row r="582" spans="1:76">
      <c r="A582" s="171"/>
      <c r="B582" s="171"/>
      <c r="C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  <c r="AS582" s="171"/>
      <c r="AT582" s="171"/>
      <c r="AU582" s="171"/>
      <c r="AV582" s="171"/>
      <c r="AW582" s="171"/>
      <c r="AX582" s="171"/>
      <c r="AY582" s="171"/>
      <c r="AZ582" s="171"/>
      <c r="BA582" s="171"/>
      <c r="BB582" s="171"/>
      <c r="BC582" s="171"/>
      <c r="BD582" s="171"/>
      <c r="BE582" s="171"/>
      <c r="BF582" s="171"/>
      <c r="BG582" s="171"/>
      <c r="BH582" s="171"/>
      <c r="BI582" s="171"/>
      <c r="BJ582" s="171"/>
      <c r="BK582" s="171"/>
      <c r="BL582" s="171"/>
      <c r="BM582" s="171"/>
      <c r="BN582" s="171"/>
      <c r="BO582" s="171"/>
      <c r="BP582" s="171"/>
      <c r="BQ582" s="171"/>
      <c r="BR582" s="171"/>
      <c r="BS582" s="171"/>
      <c r="BT582" s="171"/>
      <c r="BU582" s="171"/>
      <c r="BV582" s="171"/>
      <c r="BW582" s="171"/>
      <c r="BX582" s="171"/>
    </row>
    <row r="583" spans="1:76">
      <c r="A583" s="171"/>
      <c r="B583" s="171"/>
      <c r="C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  <c r="AS583" s="171"/>
      <c r="AT583" s="171"/>
      <c r="AU583" s="171"/>
      <c r="AV583" s="171"/>
      <c r="AW583" s="171"/>
      <c r="AX583" s="171"/>
      <c r="AY583" s="171"/>
      <c r="AZ583" s="171"/>
      <c r="BA583" s="171"/>
      <c r="BB583" s="171"/>
      <c r="BC583" s="171"/>
      <c r="BD583" s="171"/>
      <c r="BE583" s="171"/>
      <c r="BF583" s="171"/>
      <c r="BG583" s="171"/>
      <c r="BH583" s="171"/>
      <c r="BI583" s="171"/>
      <c r="BJ583" s="171"/>
      <c r="BK583" s="171"/>
      <c r="BL583" s="171"/>
      <c r="BM583" s="171"/>
      <c r="BN583" s="171"/>
      <c r="BO583" s="171"/>
      <c r="BP583" s="171"/>
      <c r="BQ583" s="171"/>
      <c r="BR583" s="171"/>
      <c r="BS583" s="171"/>
      <c r="BT583" s="171"/>
      <c r="BU583" s="171"/>
      <c r="BV583" s="171"/>
      <c r="BW583" s="171"/>
      <c r="BX583" s="171"/>
    </row>
    <row r="584" spans="1:76">
      <c r="A584" s="171"/>
      <c r="B584" s="171"/>
      <c r="C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  <c r="AS584" s="171"/>
      <c r="AT584" s="171"/>
      <c r="AU584" s="171"/>
      <c r="AV584" s="171"/>
      <c r="AW584" s="171"/>
      <c r="AX584" s="171"/>
      <c r="AY584" s="171"/>
      <c r="AZ584" s="171"/>
      <c r="BA584" s="171"/>
      <c r="BB584" s="171"/>
      <c r="BC584" s="171"/>
      <c r="BD584" s="171"/>
      <c r="BE584" s="171"/>
      <c r="BF584" s="171"/>
      <c r="BG584" s="171"/>
      <c r="BH584" s="171"/>
      <c r="BI584" s="171"/>
      <c r="BJ584" s="171"/>
      <c r="BK584" s="171"/>
      <c r="BL584" s="171"/>
      <c r="BM584" s="171"/>
      <c r="BN584" s="171"/>
      <c r="BO584" s="171"/>
      <c r="BP584" s="171"/>
      <c r="BQ584" s="171"/>
      <c r="BR584" s="171"/>
      <c r="BS584" s="171"/>
      <c r="BT584" s="171"/>
      <c r="BU584" s="171"/>
      <c r="BV584" s="171"/>
      <c r="BW584" s="171"/>
      <c r="BX584" s="171"/>
    </row>
    <row r="585" spans="1:76">
      <c r="A585" s="171"/>
      <c r="B585" s="171"/>
      <c r="C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  <c r="AS585" s="171"/>
      <c r="AT585" s="171"/>
      <c r="AU585" s="171"/>
      <c r="AV585" s="171"/>
      <c r="AW585" s="171"/>
      <c r="AX585" s="171"/>
      <c r="AY585" s="171"/>
      <c r="AZ585" s="171"/>
      <c r="BA585" s="171"/>
      <c r="BB585" s="171"/>
      <c r="BC585" s="171"/>
      <c r="BD585" s="171"/>
      <c r="BE585" s="171"/>
      <c r="BF585" s="171"/>
      <c r="BG585" s="171"/>
      <c r="BH585" s="171"/>
      <c r="BI585" s="171"/>
      <c r="BJ585" s="171"/>
      <c r="BK585" s="171"/>
      <c r="BL585" s="171"/>
      <c r="BM585" s="171"/>
      <c r="BN585" s="171"/>
      <c r="BO585" s="171"/>
      <c r="BP585" s="171"/>
      <c r="BQ585" s="171"/>
      <c r="BR585" s="171"/>
      <c r="BS585" s="171"/>
      <c r="BT585" s="171"/>
      <c r="BU585" s="171"/>
      <c r="BV585" s="171"/>
      <c r="BW585" s="171"/>
      <c r="BX585" s="171"/>
    </row>
    <row r="586" spans="1:76">
      <c r="A586" s="171"/>
      <c r="B586" s="171"/>
      <c r="C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  <c r="AS586" s="171"/>
      <c r="AT586" s="171"/>
      <c r="AU586" s="171"/>
      <c r="AV586" s="171"/>
      <c r="AW586" s="171"/>
      <c r="AX586" s="171"/>
      <c r="AY586" s="171"/>
      <c r="AZ586" s="171"/>
      <c r="BA586" s="171"/>
      <c r="BB586" s="171"/>
      <c r="BC586" s="171"/>
      <c r="BD586" s="171"/>
      <c r="BE586" s="171"/>
      <c r="BF586" s="171"/>
      <c r="BG586" s="171"/>
      <c r="BH586" s="171"/>
      <c r="BI586" s="171"/>
      <c r="BJ586" s="171"/>
      <c r="BK586" s="171"/>
      <c r="BL586" s="171"/>
      <c r="BM586" s="171"/>
      <c r="BN586" s="171"/>
      <c r="BO586" s="171"/>
      <c r="BP586" s="171"/>
      <c r="BQ586" s="171"/>
      <c r="BR586" s="171"/>
      <c r="BS586" s="171"/>
      <c r="BT586" s="171"/>
      <c r="BU586" s="171"/>
      <c r="BV586" s="171"/>
      <c r="BW586" s="171"/>
      <c r="BX586" s="171"/>
    </row>
    <row r="587" spans="1:76">
      <c r="A587" s="171"/>
      <c r="B587" s="171"/>
      <c r="C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  <c r="AF587" s="171"/>
      <c r="AG587" s="171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171"/>
      <c r="AR587" s="171"/>
      <c r="AS587" s="171"/>
      <c r="AT587" s="171"/>
      <c r="AU587" s="171"/>
      <c r="AV587" s="171"/>
      <c r="AW587" s="171"/>
      <c r="AX587" s="171"/>
      <c r="AY587" s="171"/>
      <c r="AZ587" s="171"/>
      <c r="BA587" s="171"/>
      <c r="BB587" s="171"/>
      <c r="BC587" s="171"/>
      <c r="BD587" s="171"/>
      <c r="BE587" s="171"/>
      <c r="BF587" s="171"/>
      <c r="BG587" s="171"/>
      <c r="BH587" s="171"/>
      <c r="BI587" s="171"/>
      <c r="BJ587" s="171"/>
      <c r="BK587" s="171"/>
      <c r="BL587" s="171"/>
      <c r="BM587" s="171"/>
      <c r="BN587" s="171"/>
      <c r="BO587" s="171"/>
      <c r="BP587" s="171"/>
      <c r="BQ587" s="171"/>
      <c r="BR587" s="171"/>
      <c r="BS587" s="171"/>
      <c r="BT587" s="171"/>
      <c r="BU587" s="171"/>
      <c r="BV587" s="171"/>
      <c r="BW587" s="171"/>
      <c r="BX587" s="171"/>
    </row>
    <row r="588" spans="1:76">
      <c r="A588" s="171"/>
      <c r="B588" s="171"/>
      <c r="C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  <c r="AF588" s="171"/>
      <c r="AG588" s="171"/>
      <c r="AH588" s="171"/>
      <c r="AI588" s="171"/>
      <c r="AJ588" s="171"/>
      <c r="AK588" s="171"/>
      <c r="AL588" s="171"/>
      <c r="AM588" s="171"/>
      <c r="AN588" s="171"/>
      <c r="AO588" s="171"/>
      <c r="AP588" s="171"/>
      <c r="AQ588" s="171"/>
      <c r="AR588" s="171"/>
      <c r="AS588" s="171"/>
      <c r="AT588" s="171"/>
      <c r="AU588" s="171"/>
      <c r="AV588" s="171"/>
      <c r="AW588" s="171"/>
      <c r="AX588" s="171"/>
      <c r="AY588" s="171"/>
      <c r="AZ588" s="171"/>
      <c r="BA588" s="171"/>
      <c r="BB588" s="171"/>
      <c r="BC588" s="171"/>
      <c r="BD588" s="171"/>
      <c r="BE588" s="171"/>
      <c r="BF588" s="171"/>
      <c r="BG588" s="171"/>
      <c r="BH588" s="171"/>
      <c r="BI588" s="171"/>
      <c r="BJ588" s="171"/>
      <c r="BK588" s="171"/>
      <c r="BL588" s="171"/>
      <c r="BM588" s="171"/>
      <c r="BN588" s="171"/>
      <c r="BO588" s="171"/>
      <c r="BP588" s="171"/>
      <c r="BQ588" s="171"/>
      <c r="BR588" s="171"/>
      <c r="BS588" s="171"/>
      <c r="BT588" s="171"/>
      <c r="BU588" s="171"/>
      <c r="BV588" s="171"/>
      <c r="BW588" s="171"/>
      <c r="BX588" s="171"/>
    </row>
    <row r="589" spans="1:76">
      <c r="A589" s="171"/>
      <c r="B589" s="171"/>
      <c r="C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  <c r="AF589" s="171"/>
      <c r="AG589" s="171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171"/>
      <c r="AR589" s="171"/>
      <c r="AS589" s="171"/>
      <c r="AT589" s="171"/>
      <c r="AU589" s="171"/>
      <c r="AV589" s="171"/>
      <c r="AW589" s="171"/>
      <c r="AX589" s="171"/>
      <c r="AY589" s="171"/>
      <c r="AZ589" s="171"/>
      <c r="BA589" s="171"/>
      <c r="BB589" s="171"/>
      <c r="BC589" s="171"/>
      <c r="BD589" s="171"/>
      <c r="BE589" s="171"/>
      <c r="BF589" s="171"/>
      <c r="BG589" s="171"/>
      <c r="BH589" s="171"/>
      <c r="BI589" s="171"/>
      <c r="BJ589" s="171"/>
      <c r="BK589" s="171"/>
      <c r="BL589" s="171"/>
      <c r="BM589" s="171"/>
      <c r="BN589" s="171"/>
      <c r="BO589" s="171"/>
      <c r="BP589" s="171"/>
      <c r="BQ589" s="171"/>
      <c r="BR589" s="171"/>
      <c r="BS589" s="171"/>
      <c r="BT589" s="171"/>
      <c r="BU589" s="171"/>
      <c r="BV589" s="171"/>
      <c r="BW589" s="171"/>
      <c r="BX589" s="171"/>
    </row>
    <row r="590" spans="1:76">
      <c r="A590" s="171"/>
      <c r="B590" s="171"/>
      <c r="C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71"/>
      <c r="AT590" s="171"/>
      <c r="AU590" s="171"/>
      <c r="AV590" s="171"/>
      <c r="AW590" s="171"/>
      <c r="AX590" s="171"/>
      <c r="AY590" s="171"/>
      <c r="AZ590" s="171"/>
      <c r="BA590" s="171"/>
      <c r="BB590" s="171"/>
      <c r="BC590" s="171"/>
      <c r="BD590" s="171"/>
      <c r="BE590" s="171"/>
      <c r="BF590" s="171"/>
      <c r="BG590" s="171"/>
      <c r="BH590" s="171"/>
      <c r="BI590" s="171"/>
      <c r="BJ590" s="171"/>
      <c r="BK590" s="171"/>
      <c r="BL590" s="171"/>
      <c r="BM590" s="171"/>
      <c r="BN590" s="171"/>
      <c r="BO590" s="171"/>
      <c r="BP590" s="171"/>
      <c r="BQ590" s="171"/>
      <c r="BR590" s="171"/>
      <c r="BS590" s="171"/>
      <c r="BT590" s="171"/>
      <c r="BU590" s="171"/>
      <c r="BV590" s="171"/>
      <c r="BW590" s="171"/>
      <c r="BX590" s="171"/>
    </row>
    <row r="591" spans="1:76">
      <c r="B591" s="168"/>
      <c r="C591" s="168"/>
      <c r="D591" s="168"/>
      <c r="E591" s="168"/>
      <c r="F591" s="168"/>
      <c r="G591" s="168"/>
      <c r="H591" s="168"/>
      <c r="I591" s="168"/>
      <c r="J591" s="168"/>
    </row>
    <row r="592" spans="1:76">
      <c r="B592" s="168"/>
      <c r="C592" s="168"/>
      <c r="D592" s="168"/>
      <c r="E592" s="168"/>
      <c r="F592" s="168"/>
      <c r="G592" s="168"/>
      <c r="H592" s="168"/>
      <c r="I592" s="168"/>
      <c r="J592" s="168"/>
    </row>
    <row r="593" spans="1:76">
      <c r="A593" s="171"/>
      <c r="B593" s="171"/>
      <c r="C593" s="171"/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71"/>
      <c r="AL593" s="171"/>
      <c r="AM593" s="171"/>
      <c r="AN593" s="171"/>
      <c r="AO593" s="171"/>
      <c r="AP593" s="171"/>
      <c r="AQ593" s="171"/>
      <c r="AR593" s="171"/>
      <c r="AS593" s="171"/>
      <c r="AT593" s="171"/>
      <c r="AU593" s="171"/>
      <c r="AV593" s="171"/>
      <c r="AW593" s="171"/>
      <c r="AX593" s="171"/>
      <c r="AY593" s="171"/>
      <c r="AZ593" s="171"/>
      <c r="BA593" s="171"/>
      <c r="BB593" s="171"/>
      <c r="BC593" s="171"/>
      <c r="BD593" s="171"/>
      <c r="BE593" s="171"/>
      <c r="BF593" s="171"/>
      <c r="BG593" s="171"/>
      <c r="BH593" s="171"/>
      <c r="BI593" s="171"/>
      <c r="BJ593" s="171"/>
      <c r="BK593" s="171"/>
      <c r="BL593" s="171"/>
      <c r="BM593" s="171"/>
      <c r="BN593" s="171"/>
      <c r="BO593" s="171"/>
      <c r="BP593" s="171"/>
      <c r="BQ593" s="171"/>
      <c r="BR593" s="171"/>
      <c r="BS593" s="171"/>
      <c r="BT593" s="171"/>
      <c r="BU593" s="171"/>
      <c r="BV593" s="171"/>
      <c r="BW593" s="171"/>
      <c r="BX593" s="171"/>
    </row>
    <row r="594" spans="1:76">
      <c r="A594" s="171"/>
      <c r="B594" s="171"/>
      <c r="C594" s="171"/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71"/>
      <c r="AL594" s="171"/>
      <c r="AM594" s="171"/>
      <c r="AN594" s="171"/>
      <c r="AO594" s="171"/>
      <c r="AP594" s="171"/>
      <c r="AQ594" s="171"/>
      <c r="AR594" s="171"/>
      <c r="AS594" s="171"/>
      <c r="AT594" s="171"/>
      <c r="AU594" s="171"/>
      <c r="AV594" s="171"/>
      <c r="AW594" s="171"/>
      <c r="AX594" s="171"/>
      <c r="AY594" s="171"/>
      <c r="AZ594" s="171"/>
      <c r="BA594" s="171"/>
      <c r="BB594" s="171"/>
      <c r="BC594" s="171"/>
      <c r="BD594" s="171"/>
      <c r="BE594" s="171"/>
      <c r="BF594" s="171"/>
      <c r="BG594" s="171"/>
      <c r="BH594" s="171"/>
      <c r="BI594" s="171"/>
      <c r="BJ594" s="171"/>
      <c r="BK594" s="171"/>
      <c r="BL594" s="171"/>
      <c r="BM594" s="171"/>
      <c r="BN594" s="171"/>
      <c r="BO594" s="171"/>
      <c r="BP594" s="171"/>
      <c r="BQ594" s="171"/>
      <c r="BR594" s="171"/>
      <c r="BS594" s="171"/>
      <c r="BT594" s="171"/>
      <c r="BU594" s="171"/>
      <c r="BV594" s="171"/>
      <c r="BW594" s="171"/>
      <c r="BX594" s="171"/>
    </row>
    <row r="595" spans="1:76">
      <c r="A595" s="171"/>
      <c r="B595" s="171"/>
      <c r="C595" s="171"/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71"/>
      <c r="AL595" s="171"/>
      <c r="AM595" s="171"/>
      <c r="AN595" s="171"/>
      <c r="AO595" s="171"/>
      <c r="AP595" s="171"/>
      <c r="AQ595" s="171"/>
      <c r="AR595" s="171"/>
      <c r="AS595" s="171"/>
      <c r="AT595" s="171"/>
      <c r="AU595" s="171"/>
      <c r="AV595" s="171"/>
      <c r="AW595" s="171"/>
      <c r="AX595" s="171"/>
      <c r="AY595" s="171"/>
      <c r="AZ595" s="171"/>
      <c r="BA595" s="171"/>
      <c r="BB595" s="171"/>
      <c r="BC595" s="171"/>
      <c r="BD595" s="171"/>
      <c r="BE595" s="171"/>
      <c r="BF595" s="171"/>
      <c r="BG595" s="171"/>
      <c r="BH595" s="171"/>
      <c r="BI595" s="171"/>
      <c r="BJ595" s="171"/>
      <c r="BK595" s="171"/>
      <c r="BL595" s="171"/>
      <c r="BM595" s="171"/>
      <c r="BN595" s="171"/>
      <c r="BO595" s="171"/>
      <c r="BP595" s="171"/>
      <c r="BQ595" s="171"/>
      <c r="BR595" s="171"/>
      <c r="BS595" s="171"/>
      <c r="BT595" s="171"/>
      <c r="BU595" s="171"/>
      <c r="BV595" s="171"/>
      <c r="BW595" s="171"/>
      <c r="BX595" s="171"/>
    </row>
    <row r="596" spans="1:76">
      <c r="B596" s="168"/>
      <c r="C596" s="168"/>
      <c r="D596" s="168"/>
      <c r="E596" s="168"/>
      <c r="F596" s="168"/>
      <c r="G596" s="168"/>
      <c r="H596" s="168"/>
      <c r="I596" s="168"/>
      <c r="J596" s="168"/>
    </row>
    <row r="597" spans="1:76">
      <c r="B597" s="168"/>
      <c r="C597" s="168"/>
      <c r="D597" s="168"/>
      <c r="E597" s="168"/>
      <c r="F597" s="168"/>
      <c r="G597" s="168"/>
      <c r="H597" s="168"/>
      <c r="I597" s="168"/>
      <c r="J597" s="168"/>
    </row>
    <row r="598" spans="1:76">
      <c r="B598" s="168"/>
      <c r="C598" s="168"/>
      <c r="D598" s="168"/>
      <c r="E598" s="168"/>
      <c r="F598" s="168"/>
      <c r="G598" s="168"/>
      <c r="H598" s="168"/>
      <c r="I598" s="168"/>
      <c r="J598" s="168"/>
    </row>
    <row r="599" spans="1:76">
      <c r="B599" s="168"/>
      <c r="C599" s="168"/>
      <c r="D599" s="168"/>
      <c r="E599" s="168"/>
      <c r="F599" s="168"/>
      <c r="G599" s="168"/>
      <c r="H599" s="168"/>
      <c r="I599" s="168"/>
      <c r="J599" s="168"/>
    </row>
    <row r="600" spans="1:76">
      <c r="B600" s="168"/>
      <c r="C600" s="168"/>
      <c r="D600" s="168"/>
      <c r="E600" s="168"/>
      <c r="F600" s="168"/>
      <c r="G600" s="168"/>
      <c r="H600" s="168"/>
      <c r="I600" s="168"/>
      <c r="J600" s="168"/>
    </row>
    <row r="601" spans="1:76">
      <c r="B601" s="168"/>
      <c r="C601" s="168"/>
      <c r="D601" s="168"/>
      <c r="E601" s="168"/>
      <c r="F601" s="168"/>
      <c r="G601" s="168"/>
      <c r="H601" s="168"/>
      <c r="I601" s="168"/>
      <c r="J601" s="168"/>
    </row>
    <row r="602" spans="1:76">
      <c r="B602" s="168"/>
      <c r="C602" s="168"/>
      <c r="D602" s="168"/>
      <c r="E602" s="168"/>
      <c r="F602" s="168"/>
      <c r="G602" s="168"/>
      <c r="H602" s="168"/>
      <c r="I602" s="168"/>
      <c r="J602" s="168"/>
    </row>
    <row r="603" spans="1:76">
      <c r="B603" s="168"/>
      <c r="C603" s="168"/>
      <c r="D603" s="168"/>
      <c r="E603" s="168"/>
      <c r="F603" s="168"/>
      <c r="G603" s="168"/>
      <c r="H603" s="168"/>
      <c r="I603" s="168"/>
      <c r="J603" s="168"/>
    </row>
    <row r="604" spans="1:76">
      <c r="B604" s="168"/>
      <c r="C604" s="168"/>
      <c r="D604" s="168"/>
      <c r="E604" s="168"/>
      <c r="F604" s="168"/>
      <c r="G604" s="168"/>
      <c r="H604" s="168"/>
      <c r="I604" s="168"/>
      <c r="J604" s="168"/>
    </row>
    <row r="605" spans="1:76">
      <c r="B605" s="168"/>
      <c r="C605" s="168"/>
      <c r="D605" s="168"/>
      <c r="E605" s="168"/>
      <c r="F605" s="168"/>
      <c r="G605" s="168"/>
      <c r="H605" s="168"/>
      <c r="I605" s="168"/>
      <c r="J605" s="168"/>
    </row>
    <row r="606" spans="1:76">
      <c r="B606" s="168"/>
      <c r="C606" s="168"/>
      <c r="D606" s="168"/>
      <c r="E606" s="168"/>
      <c r="F606" s="168"/>
      <c r="G606" s="168"/>
      <c r="H606" s="168"/>
      <c r="I606" s="168"/>
      <c r="J606" s="168"/>
    </row>
    <row r="607" spans="1:76">
      <c r="B607" s="168"/>
      <c r="C607" s="168"/>
      <c r="D607" s="168"/>
      <c r="E607" s="168"/>
      <c r="F607" s="168"/>
      <c r="G607" s="168"/>
      <c r="H607" s="168"/>
      <c r="I607" s="168"/>
      <c r="J607" s="168"/>
    </row>
    <row r="608" spans="1:76">
      <c r="B608" s="168"/>
      <c r="C608" s="168"/>
      <c r="D608" s="168"/>
      <c r="E608" s="168"/>
      <c r="F608" s="168"/>
      <c r="G608" s="168"/>
      <c r="H608" s="168"/>
      <c r="I608" s="168"/>
      <c r="J608" s="168"/>
    </row>
    <row r="609" spans="2:10">
      <c r="B609" s="168"/>
      <c r="C609" s="168"/>
      <c r="D609" s="168"/>
      <c r="E609" s="168"/>
      <c r="F609" s="168"/>
      <c r="G609" s="168"/>
      <c r="H609" s="168"/>
      <c r="I609" s="168"/>
      <c r="J609" s="168"/>
    </row>
    <row r="610" spans="2:10">
      <c r="B610" s="168"/>
      <c r="C610" s="168"/>
      <c r="D610" s="168"/>
      <c r="E610" s="168"/>
      <c r="F610" s="168"/>
      <c r="G610" s="168"/>
      <c r="H610" s="168"/>
      <c r="I610" s="168"/>
      <c r="J610" s="168"/>
    </row>
    <row r="611" spans="2:10">
      <c r="B611" s="168"/>
      <c r="C611" s="168"/>
      <c r="D611" s="168"/>
      <c r="E611" s="168"/>
      <c r="F611" s="168"/>
      <c r="G611" s="168"/>
      <c r="H611" s="168"/>
      <c r="I611" s="168"/>
      <c r="J611" s="168"/>
    </row>
    <row r="612" spans="2:10">
      <c r="B612" s="168"/>
      <c r="C612" s="168"/>
      <c r="D612" s="168"/>
      <c r="E612" s="168"/>
      <c r="F612" s="168"/>
      <c r="G612" s="168"/>
      <c r="H612" s="168"/>
      <c r="I612" s="168"/>
      <c r="J612" s="168"/>
    </row>
    <row r="613" spans="2:10">
      <c r="B613" s="168"/>
      <c r="C613" s="168"/>
      <c r="D613" s="168"/>
      <c r="E613" s="168"/>
      <c r="F613" s="168"/>
      <c r="G613" s="168"/>
      <c r="H613" s="168"/>
      <c r="I613" s="168"/>
      <c r="J613" s="168"/>
    </row>
    <row r="614" spans="2:10">
      <c r="B614" s="168"/>
      <c r="C614" s="168"/>
      <c r="D614" s="168"/>
      <c r="E614" s="168"/>
      <c r="F614" s="168"/>
      <c r="G614" s="168"/>
      <c r="H614" s="168"/>
      <c r="I614" s="168"/>
      <c r="J614" s="168"/>
    </row>
    <row r="615" spans="2:10">
      <c r="B615" s="168"/>
      <c r="C615" s="168"/>
      <c r="D615" s="168"/>
      <c r="E615" s="168"/>
      <c r="F615" s="168"/>
      <c r="G615" s="168"/>
      <c r="H615" s="168"/>
      <c r="I615" s="168"/>
      <c r="J615" s="168"/>
    </row>
    <row r="616" spans="2:10">
      <c r="B616" s="168"/>
      <c r="C616" s="168"/>
      <c r="D616" s="168"/>
      <c r="E616" s="168"/>
      <c r="F616" s="168"/>
      <c r="G616" s="168"/>
      <c r="H616" s="168"/>
      <c r="I616" s="168"/>
      <c r="J616" s="168"/>
    </row>
    <row r="617" spans="2:10">
      <c r="B617" s="168"/>
      <c r="C617" s="168"/>
      <c r="D617" s="168"/>
      <c r="E617" s="168"/>
      <c r="F617" s="168"/>
      <c r="G617" s="168"/>
      <c r="H617" s="168"/>
      <c r="I617" s="168"/>
      <c r="J617" s="168"/>
    </row>
    <row r="618" spans="2:10">
      <c r="B618" s="168"/>
      <c r="C618" s="168"/>
      <c r="D618" s="168"/>
      <c r="E618" s="168"/>
      <c r="F618" s="168"/>
      <c r="G618" s="168"/>
      <c r="H618" s="168"/>
      <c r="I618" s="168"/>
      <c r="J618" s="168"/>
    </row>
    <row r="619" spans="2:10">
      <c r="B619" s="168"/>
      <c r="C619" s="168"/>
      <c r="D619" s="168"/>
      <c r="E619" s="168"/>
      <c r="F619" s="168"/>
      <c r="G619" s="168"/>
      <c r="H619" s="168"/>
      <c r="I619" s="168"/>
      <c r="J619" s="168"/>
    </row>
    <row r="620" spans="2:10">
      <c r="B620" s="168"/>
      <c r="C620" s="168"/>
      <c r="D620" s="168"/>
      <c r="E620" s="168"/>
      <c r="F620" s="168"/>
      <c r="G620" s="168"/>
      <c r="H620" s="168"/>
      <c r="I620" s="168"/>
      <c r="J620" s="168"/>
    </row>
    <row r="621" spans="2:10">
      <c r="B621" s="168"/>
      <c r="C621" s="168"/>
      <c r="D621" s="168"/>
      <c r="E621" s="168"/>
      <c r="F621" s="168"/>
      <c r="G621" s="168"/>
      <c r="H621" s="168"/>
      <c r="I621" s="168"/>
      <c r="J621" s="168"/>
    </row>
    <row r="622" spans="2:10">
      <c r="B622" s="168"/>
      <c r="C622" s="168"/>
      <c r="D622" s="168"/>
      <c r="E622" s="168"/>
      <c r="F622" s="168"/>
      <c r="G622" s="168"/>
      <c r="H622" s="168"/>
      <c r="I622" s="168"/>
      <c r="J622" s="168"/>
    </row>
    <row r="623" spans="2:10">
      <c r="B623" s="168"/>
      <c r="C623" s="168"/>
      <c r="D623" s="168"/>
      <c r="E623" s="168"/>
      <c r="F623" s="168"/>
      <c r="G623" s="168"/>
      <c r="H623" s="168"/>
      <c r="I623" s="168"/>
      <c r="J623" s="168"/>
    </row>
    <row r="624" spans="2:10">
      <c r="B624" s="168"/>
      <c r="C624" s="168"/>
      <c r="D624" s="168"/>
      <c r="E624" s="168"/>
      <c r="F624" s="168"/>
      <c r="G624" s="168"/>
      <c r="H624" s="168"/>
      <c r="I624" s="168"/>
      <c r="J624" s="168"/>
    </row>
    <row r="625" spans="1:76">
      <c r="B625" s="168"/>
      <c r="C625" s="168"/>
      <c r="D625" s="168"/>
      <c r="E625" s="168"/>
      <c r="F625" s="168"/>
      <c r="G625" s="168"/>
      <c r="H625" s="168"/>
      <c r="I625" s="168"/>
      <c r="J625" s="168"/>
    </row>
    <row r="626" spans="1:76">
      <c r="B626" s="168"/>
      <c r="C626" s="168"/>
      <c r="D626" s="168"/>
      <c r="E626" s="168"/>
      <c r="F626" s="168"/>
      <c r="G626" s="168"/>
      <c r="H626" s="168"/>
      <c r="I626" s="168"/>
      <c r="J626" s="168"/>
    </row>
    <row r="627" spans="1:76">
      <c r="B627" s="168"/>
      <c r="C627" s="168"/>
      <c r="D627" s="168"/>
      <c r="E627" s="168"/>
      <c r="F627" s="168"/>
      <c r="G627" s="168"/>
      <c r="H627" s="168"/>
      <c r="I627" s="168"/>
      <c r="J627" s="168"/>
    </row>
    <row r="628" spans="1:76">
      <c r="A628" s="171"/>
      <c r="B628" s="171"/>
      <c r="C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1"/>
      <c r="AR628" s="171"/>
      <c r="AS628" s="171"/>
      <c r="AT628" s="171"/>
      <c r="AU628" s="171"/>
      <c r="AV628" s="171"/>
      <c r="AW628" s="171"/>
      <c r="AX628" s="171"/>
      <c r="AY628" s="171"/>
      <c r="AZ628" s="171"/>
      <c r="BA628" s="171"/>
      <c r="BB628" s="171"/>
      <c r="BC628" s="171"/>
      <c r="BD628" s="171"/>
      <c r="BE628" s="171"/>
      <c r="BF628" s="171"/>
      <c r="BG628" s="171"/>
      <c r="BH628" s="171"/>
      <c r="BI628" s="171"/>
      <c r="BJ628" s="171"/>
      <c r="BK628" s="171"/>
      <c r="BL628" s="171"/>
      <c r="BM628" s="171"/>
      <c r="BN628" s="171"/>
      <c r="BO628" s="171"/>
      <c r="BP628" s="171"/>
      <c r="BQ628" s="171"/>
      <c r="BR628" s="171"/>
      <c r="BS628" s="171"/>
      <c r="BT628" s="171"/>
      <c r="BU628" s="171"/>
      <c r="BV628" s="171"/>
      <c r="BW628" s="171"/>
      <c r="BX628" s="171"/>
    </row>
    <row r="629" spans="1:76">
      <c r="A629" s="171"/>
      <c r="B629" s="171"/>
      <c r="C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71"/>
      <c r="AL629" s="171"/>
      <c r="AM629" s="171"/>
      <c r="AN629" s="171"/>
      <c r="AO629" s="171"/>
      <c r="AP629" s="171"/>
      <c r="AQ629" s="171"/>
      <c r="AR629" s="171"/>
      <c r="AS629" s="171"/>
      <c r="AT629" s="171"/>
      <c r="AU629" s="171"/>
      <c r="AV629" s="171"/>
      <c r="AW629" s="171"/>
      <c r="AX629" s="171"/>
      <c r="AY629" s="171"/>
      <c r="AZ629" s="171"/>
      <c r="BA629" s="171"/>
      <c r="BB629" s="171"/>
      <c r="BC629" s="171"/>
      <c r="BD629" s="171"/>
      <c r="BE629" s="171"/>
      <c r="BF629" s="171"/>
      <c r="BG629" s="171"/>
      <c r="BH629" s="171"/>
      <c r="BI629" s="171"/>
      <c r="BJ629" s="171"/>
      <c r="BK629" s="171"/>
      <c r="BL629" s="171"/>
      <c r="BM629" s="171"/>
      <c r="BN629" s="171"/>
      <c r="BO629" s="171"/>
      <c r="BP629" s="171"/>
      <c r="BQ629" s="171"/>
      <c r="BR629" s="171"/>
      <c r="BS629" s="171"/>
      <c r="BT629" s="171"/>
      <c r="BU629" s="171"/>
      <c r="BV629" s="171"/>
      <c r="BW629" s="171"/>
      <c r="BX629" s="171"/>
    </row>
    <row r="630" spans="1:76">
      <c r="A630" s="171"/>
      <c r="B630" s="171"/>
      <c r="C630" s="171"/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  <c r="AB630" s="171"/>
      <c r="AC630" s="171"/>
      <c r="AD630" s="171"/>
      <c r="AE630" s="171"/>
      <c r="AF630" s="171"/>
      <c r="AG630" s="171"/>
      <c r="AH630" s="171"/>
      <c r="AI630" s="171"/>
      <c r="AJ630" s="171"/>
      <c r="AK630" s="171"/>
      <c r="AL630" s="171"/>
      <c r="AM630" s="171"/>
      <c r="AN630" s="171"/>
      <c r="AO630" s="171"/>
      <c r="AP630" s="171"/>
      <c r="AQ630" s="171"/>
      <c r="AR630" s="171"/>
      <c r="AS630" s="171"/>
      <c r="AT630" s="171"/>
      <c r="AU630" s="171"/>
      <c r="AV630" s="171"/>
      <c r="AW630" s="171"/>
      <c r="AX630" s="171"/>
      <c r="AY630" s="171"/>
      <c r="AZ630" s="171"/>
      <c r="BA630" s="171"/>
      <c r="BB630" s="171"/>
      <c r="BC630" s="171"/>
      <c r="BD630" s="171"/>
      <c r="BE630" s="171"/>
      <c r="BF630" s="171"/>
      <c r="BG630" s="171"/>
      <c r="BH630" s="171"/>
      <c r="BI630" s="171"/>
      <c r="BJ630" s="171"/>
      <c r="BK630" s="171"/>
      <c r="BL630" s="171"/>
      <c r="BM630" s="171"/>
      <c r="BN630" s="171"/>
      <c r="BO630" s="171"/>
      <c r="BP630" s="171"/>
      <c r="BQ630" s="171"/>
      <c r="BR630" s="171"/>
      <c r="BS630" s="171"/>
      <c r="BT630" s="171"/>
      <c r="BU630" s="171"/>
      <c r="BV630" s="171"/>
      <c r="BW630" s="171"/>
      <c r="BX630" s="171"/>
    </row>
    <row r="631" spans="1:76">
      <c r="A631" s="171"/>
      <c r="B631" s="171"/>
      <c r="C631" s="171"/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71"/>
      <c r="AL631" s="171"/>
      <c r="AM631" s="171"/>
      <c r="AN631" s="171"/>
      <c r="AO631" s="171"/>
      <c r="AP631" s="171"/>
      <c r="AQ631" s="171"/>
      <c r="AR631" s="171"/>
      <c r="AS631" s="171"/>
      <c r="AT631" s="171"/>
      <c r="AU631" s="171"/>
      <c r="AV631" s="171"/>
      <c r="AW631" s="171"/>
      <c r="AX631" s="171"/>
      <c r="AY631" s="171"/>
      <c r="AZ631" s="171"/>
      <c r="BA631" s="171"/>
      <c r="BB631" s="171"/>
      <c r="BC631" s="171"/>
      <c r="BD631" s="171"/>
      <c r="BE631" s="171"/>
      <c r="BF631" s="171"/>
      <c r="BG631" s="171"/>
      <c r="BH631" s="171"/>
      <c r="BI631" s="171"/>
      <c r="BJ631" s="171"/>
      <c r="BK631" s="171"/>
      <c r="BL631" s="171"/>
      <c r="BM631" s="171"/>
      <c r="BN631" s="171"/>
      <c r="BO631" s="171"/>
      <c r="BP631" s="171"/>
      <c r="BQ631" s="171"/>
      <c r="BR631" s="171"/>
      <c r="BS631" s="171"/>
      <c r="BT631" s="171"/>
      <c r="BU631" s="171"/>
      <c r="BV631" s="171"/>
      <c r="BW631" s="171"/>
      <c r="BX631" s="171"/>
    </row>
    <row r="632" spans="1:76">
      <c r="A632" s="171"/>
      <c r="B632" s="171"/>
      <c r="C632" s="171"/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71"/>
      <c r="AL632" s="171"/>
      <c r="AM632" s="171"/>
      <c r="AN632" s="171"/>
      <c r="AO632" s="171"/>
      <c r="AP632" s="171"/>
      <c r="AQ632" s="171"/>
      <c r="AR632" s="171"/>
      <c r="AS632" s="171"/>
      <c r="AT632" s="171"/>
      <c r="AU632" s="171"/>
      <c r="AV632" s="171"/>
      <c r="AW632" s="171"/>
      <c r="AX632" s="171"/>
      <c r="AY632" s="171"/>
      <c r="AZ632" s="171"/>
      <c r="BA632" s="171"/>
      <c r="BB632" s="171"/>
      <c r="BC632" s="171"/>
      <c r="BD632" s="171"/>
      <c r="BE632" s="171"/>
      <c r="BF632" s="171"/>
      <c r="BG632" s="171"/>
      <c r="BH632" s="171"/>
      <c r="BI632" s="171"/>
      <c r="BJ632" s="171"/>
      <c r="BK632" s="171"/>
      <c r="BL632" s="171"/>
      <c r="BM632" s="171"/>
      <c r="BN632" s="171"/>
      <c r="BO632" s="171"/>
      <c r="BP632" s="171"/>
      <c r="BQ632" s="171"/>
      <c r="BR632" s="171"/>
      <c r="BS632" s="171"/>
      <c r="BT632" s="171"/>
      <c r="BU632" s="171"/>
      <c r="BV632" s="171"/>
      <c r="BW632" s="171"/>
      <c r="BX632" s="171"/>
    </row>
    <row r="633" spans="1:76">
      <c r="A633" s="171"/>
      <c r="B633" s="171"/>
      <c r="C633" s="171"/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71"/>
      <c r="AL633" s="171"/>
      <c r="AM633" s="171"/>
      <c r="AN633" s="171"/>
      <c r="AO633" s="171"/>
      <c r="AP633" s="171"/>
      <c r="AQ633" s="171"/>
      <c r="AR633" s="171"/>
      <c r="AS633" s="171"/>
      <c r="AT633" s="171"/>
      <c r="AU633" s="171"/>
      <c r="AV633" s="171"/>
      <c r="AW633" s="171"/>
      <c r="AX633" s="171"/>
      <c r="AY633" s="171"/>
      <c r="AZ633" s="171"/>
      <c r="BA633" s="171"/>
      <c r="BB633" s="171"/>
      <c r="BC633" s="171"/>
      <c r="BD633" s="171"/>
      <c r="BE633" s="171"/>
      <c r="BF633" s="171"/>
      <c r="BG633" s="171"/>
      <c r="BH633" s="171"/>
      <c r="BI633" s="171"/>
      <c r="BJ633" s="171"/>
      <c r="BK633" s="171"/>
      <c r="BL633" s="171"/>
      <c r="BM633" s="171"/>
      <c r="BN633" s="171"/>
      <c r="BO633" s="171"/>
      <c r="BP633" s="171"/>
      <c r="BQ633" s="171"/>
      <c r="BR633" s="171"/>
      <c r="BS633" s="171"/>
      <c r="BT633" s="171"/>
      <c r="BU633" s="171"/>
      <c r="BV633" s="171"/>
      <c r="BW633" s="171"/>
      <c r="BX633" s="171"/>
    </row>
    <row r="634" spans="1:76">
      <c r="A634" s="171"/>
      <c r="B634" s="171"/>
      <c r="C634" s="171"/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1"/>
      <c r="AR634" s="171"/>
      <c r="AS634" s="171"/>
      <c r="AT634" s="171"/>
      <c r="AU634" s="171"/>
      <c r="AV634" s="171"/>
      <c r="AW634" s="171"/>
      <c r="AX634" s="171"/>
      <c r="AY634" s="171"/>
      <c r="AZ634" s="171"/>
      <c r="BA634" s="171"/>
      <c r="BB634" s="171"/>
      <c r="BC634" s="171"/>
      <c r="BD634" s="171"/>
      <c r="BE634" s="171"/>
      <c r="BF634" s="171"/>
      <c r="BG634" s="171"/>
      <c r="BH634" s="171"/>
      <c r="BI634" s="171"/>
      <c r="BJ634" s="171"/>
      <c r="BK634" s="171"/>
      <c r="BL634" s="171"/>
      <c r="BM634" s="171"/>
      <c r="BN634" s="171"/>
      <c r="BO634" s="171"/>
      <c r="BP634" s="171"/>
      <c r="BQ634" s="171"/>
      <c r="BR634" s="171"/>
      <c r="BS634" s="171"/>
      <c r="BT634" s="171"/>
      <c r="BU634" s="171"/>
      <c r="BV634" s="171"/>
      <c r="BW634" s="171"/>
      <c r="BX634" s="171"/>
    </row>
    <row r="635" spans="1:76">
      <c r="B635" s="168"/>
      <c r="C635" s="168"/>
      <c r="D635" s="168"/>
      <c r="E635" s="168"/>
      <c r="F635" s="168"/>
      <c r="G635" s="168"/>
      <c r="H635" s="168"/>
      <c r="I635" s="168"/>
      <c r="J635" s="168"/>
    </row>
    <row r="636" spans="1:76">
      <c r="A636" s="171"/>
      <c r="B636" s="171"/>
      <c r="C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  <c r="AS636" s="171"/>
      <c r="AT636" s="171"/>
      <c r="AU636" s="171"/>
      <c r="AV636" s="171"/>
      <c r="AW636" s="171"/>
      <c r="AX636" s="171"/>
      <c r="AY636" s="171"/>
      <c r="AZ636" s="171"/>
      <c r="BA636" s="171"/>
      <c r="BB636" s="171"/>
      <c r="BC636" s="171"/>
      <c r="BD636" s="171"/>
      <c r="BE636" s="171"/>
      <c r="BF636" s="171"/>
      <c r="BG636" s="171"/>
      <c r="BH636" s="171"/>
      <c r="BI636" s="171"/>
      <c r="BJ636" s="171"/>
      <c r="BK636" s="171"/>
      <c r="BL636" s="171"/>
      <c r="BM636" s="171"/>
      <c r="BN636" s="171"/>
      <c r="BO636" s="171"/>
      <c r="BP636" s="171"/>
      <c r="BQ636" s="171"/>
      <c r="BR636" s="171"/>
      <c r="BS636" s="171"/>
      <c r="BT636" s="171"/>
      <c r="BU636" s="171"/>
      <c r="BV636" s="171"/>
      <c r="BW636" s="171"/>
      <c r="BX636" s="171"/>
    </row>
    <row r="637" spans="1:76">
      <c r="B637" s="168"/>
      <c r="C637" s="168"/>
      <c r="D637" s="168"/>
      <c r="E637" s="168"/>
      <c r="F637" s="168"/>
      <c r="G637" s="168"/>
      <c r="H637" s="168"/>
      <c r="I637" s="168"/>
      <c r="J637" s="168"/>
    </row>
    <row r="638" spans="1:76">
      <c r="B638" s="168"/>
      <c r="C638" s="168"/>
      <c r="D638" s="168"/>
      <c r="E638" s="168"/>
      <c r="F638" s="168"/>
      <c r="G638" s="168"/>
      <c r="H638" s="168"/>
      <c r="I638" s="168"/>
      <c r="J638" s="168"/>
    </row>
    <row r="639" spans="1:76">
      <c r="B639" s="168"/>
      <c r="C639" s="168"/>
      <c r="D639" s="168"/>
      <c r="E639" s="168"/>
      <c r="F639" s="168"/>
      <c r="G639" s="168"/>
      <c r="H639" s="168"/>
      <c r="I639" s="168"/>
      <c r="J639" s="168"/>
    </row>
    <row r="640" spans="1:76">
      <c r="B640" s="168"/>
      <c r="C640" s="168"/>
      <c r="D640" s="168"/>
      <c r="E640" s="168"/>
      <c r="F640" s="168"/>
      <c r="G640" s="168"/>
      <c r="H640" s="168"/>
      <c r="I640" s="168"/>
      <c r="J640" s="168"/>
    </row>
    <row r="641" spans="2:10">
      <c r="B641" s="168"/>
      <c r="C641" s="168"/>
      <c r="D641" s="168"/>
      <c r="E641" s="168"/>
      <c r="F641" s="168"/>
      <c r="G641" s="168"/>
      <c r="H641" s="168"/>
      <c r="I641" s="168"/>
      <c r="J641" s="168"/>
    </row>
    <row r="642" spans="2:10">
      <c r="B642" s="168"/>
      <c r="C642" s="168"/>
      <c r="D642" s="168"/>
      <c r="E642" s="168"/>
      <c r="F642" s="168"/>
      <c r="G642" s="168"/>
      <c r="H642" s="168"/>
      <c r="I642" s="168"/>
      <c r="J642" s="16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BW642"/>
  <sheetViews>
    <sheetView workbookViewId="0"/>
  </sheetViews>
  <sheetFormatPr baseColWidth="10" defaultRowHeight="15"/>
  <cols>
    <col min="1" max="1" width="38.140625" style="168" customWidth="1"/>
    <col min="2" max="2" width="12.28515625" style="170" customWidth="1"/>
    <col min="3" max="4" width="12.28515625" style="171" customWidth="1"/>
    <col min="5" max="9" width="13.140625" style="171" customWidth="1"/>
    <col min="10" max="75" width="11.42578125" style="168"/>
    <col min="76" max="16384" width="11.42578125" style="300"/>
  </cols>
  <sheetData>
    <row r="1" spans="1:15" ht="28.5">
      <c r="A1" s="72" t="s">
        <v>45</v>
      </c>
      <c r="B1" s="73"/>
      <c r="C1" s="74" t="s">
        <v>46</v>
      </c>
      <c r="D1" s="75" t="s">
        <v>47</v>
      </c>
      <c r="E1" s="75"/>
      <c r="F1" s="74" t="s">
        <v>48</v>
      </c>
      <c r="G1" s="75">
        <v>4</v>
      </c>
      <c r="H1" s="74" t="s">
        <v>49</v>
      </c>
      <c r="I1" s="167">
        <v>43273</v>
      </c>
    </row>
    <row r="2" spans="1:15" ht="26.25">
      <c r="B2" s="169"/>
    </row>
    <row r="3" spans="1:15" ht="21">
      <c r="A3" s="172"/>
      <c r="B3" s="173"/>
      <c r="C3" s="175"/>
    </row>
    <row r="4" spans="1:15">
      <c r="B4" s="168"/>
    </row>
    <row r="5" spans="1:15" ht="21">
      <c r="A5" s="78" t="s">
        <v>96</v>
      </c>
      <c r="B5" s="176"/>
      <c r="C5" s="176"/>
      <c r="D5" s="176"/>
      <c r="E5" s="176"/>
      <c r="F5" s="176"/>
      <c r="G5" s="176"/>
      <c r="H5" s="176"/>
      <c r="I5" s="176"/>
    </row>
    <row r="6" spans="1:15">
      <c r="B6" s="171"/>
    </row>
    <row r="7" spans="1:15" ht="16.5" thickBot="1">
      <c r="A7" s="91" t="s">
        <v>97</v>
      </c>
      <c r="B7" s="81"/>
      <c r="C7" s="80"/>
      <c r="D7" s="80"/>
      <c r="E7" s="80"/>
      <c r="F7" s="80"/>
      <c r="G7" s="80"/>
      <c r="H7" s="80"/>
      <c r="I7" s="80"/>
    </row>
    <row r="8" spans="1:15" ht="15.75" thickBot="1">
      <c r="A8" s="177" t="s">
        <v>51</v>
      </c>
      <c r="B8" s="178">
        <v>2000</v>
      </c>
      <c r="C8" s="178">
        <v>2030</v>
      </c>
      <c r="D8" s="178">
        <v>2050</v>
      </c>
      <c r="E8" s="179" t="s">
        <v>98</v>
      </c>
      <c r="F8" s="178" t="s">
        <v>99</v>
      </c>
      <c r="G8" s="178" t="s">
        <v>100</v>
      </c>
      <c r="H8" s="178" t="s">
        <v>101</v>
      </c>
      <c r="I8" s="180" t="s">
        <v>102</v>
      </c>
    </row>
    <row r="9" spans="1:15">
      <c r="A9" s="181" t="s">
        <v>103</v>
      </c>
      <c r="B9" s="182">
        <v>6.4882208233774001</v>
      </c>
      <c r="C9" s="182">
        <v>1.2792356916645726</v>
      </c>
      <c r="D9" s="182">
        <v>0.14301841888332004</v>
      </c>
      <c r="E9" s="183">
        <v>-4.3856717185363436E-2</v>
      </c>
      <c r="F9" s="184">
        <v>-3.9155890253509851E-2</v>
      </c>
      <c r="G9" s="184">
        <v>-5.2617380910608635E-2</v>
      </c>
      <c r="H9" s="184">
        <v>-9.1724270817560183E-2</v>
      </c>
      <c r="I9" s="185">
        <v>-0.10376464890595904</v>
      </c>
      <c r="J9" s="186"/>
    </row>
    <row r="10" spans="1:15">
      <c r="A10" s="181" t="s">
        <v>54</v>
      </c>
      <c r="B10" s="182">
        <v>11.950886234578043</v>
      </c>
      <c r="C10" s="182">
        <v>9.5477189838742351</v>
      </c>
      <c r="D10" s="182">
        <v>2.6943614795288058</v>
      </c>
      <c r="E10" s="187">
        <v>-8.6230762237680114E-3</v>
      </c>
      <c r="F10" s="188">
        <v>1.3010127628632517E-2</v>
      </c>
      <c r="G10" s="188">
        <v>-7.1705369024327448E-3</v>
      </c>
      <c r="H10" s="188">
        <v>-2.4347768444455964E-2</v>
      </c>
      <c r="I10" s="189">
        <v>-6.129785201037008E-2</v>
      </c>
      <c r="J10" s="186"/>
    </row>
    <row r="11" spans="1:15">
      <c r="A11" s="181" t="s">
        <v>42</v>
      </c>
      <c r="B11" s="182">
        <v>6.5015903804985697</v>
      </c>
      <c r="C11" s="182">
        <v>2.1404310060694471</v>
      </c>
      <c r="D11" s="182">
        <v>0.74476022441954859</v>
      </c>
      <c r="E11" s="187">
        <v>-2.5093702071978807E-2</v>
      </c>
      <c r="F11" s="188">
        <v>-5.6525684335671289E-2</v>
      </c>
      <c r="G11" s="188">
        <v>-5.1963528653960478E-2</v>
      </c>
      <c r="H11" s="188">
        <v>-3.3832174138232918E-2</v>
      </c>
      <c r="I11" s="189">
        <v>-5.1416072065252116E-2</v>
      </c>
      <c r="J11" s="186"/>
    </row>
    <row r="12" spans="1:15">
      <c r="A12" s="181" t="s">
        <v>104</v>
      </c>
      <c r="B12" s="182">
        <v>11.393120739833542</v>
      </c>
      <c r="C12" s="182">
        <v>9.7332714684845882</v>
      </c>
      <c r="D12" s="182">
        <v>15.514724172011537</v>
      </c>
      <c r="E12" s="187">
        <v>-8.9509795210076515E-3</v>
      </c>
      <c r="F12" s="188">
        <v>5.3024071355434188E-5</v>
      </c>
      <c r="G12" s="188">
        <v>-3.0631622876613473E-3</v>
      </c>
      <c r="H12" s="188">
        <v>-1.502122314941734E-3</v>
      </c>
      <c r="I12" s="189">
        <v>2.3585820623661213E-2</v>
      </c>
      <c r="J12" s="186"/>
    </row>
    <row r="13" spans="1:15">
      <c r="A13" s="181" t="s">
        <v>105</v>
      </c>
      <c r="B13" s="182">
        <v>1.006189880699035</v>
      </c>
      <c r="C13" s="182">
        <v>1.5963024649877231</v>
      </c>
      <c r="D13" s="182">
        <v>0.65813392858338293</v>
      </c>
      <c r="E13" s="187">
        <v>3.9932893011980886E-2</v>
      </c>
      <c r="F13" s="188">
        <v>8.0091143316862734E-4</v>
      </c>
      <c r="G13" s="188">
        <v>-1.0206804551134763E-2</v>
      </c>
      <c r="H13" s="188">
        <v>-1.5583359495910276E-2</v>
      </c>
      <c r="I13" s="189">
        <v>-4.333484711513258E-2</v>
      </c>
      <c r="J13" s="186"/>
      <c r="L13" s="186"/>
      <c r="M13" s="186"/>
      <c r="N13" s="186"/>
      <c r="O13" s="186"/>
    </row>
    <row r="14" spans="1:15">
      <c r="A14" s="181" t="s">
        <v>106</v>
      </c>
      <c r="B14" s="182">
        <v>1.5759140284908504</v>
      </c>
      <c r="C14" s="182">
        <v>3.202943064934769</v>
      </c>
      <c r="D14" s="182">
        <v>2.6819562899348819</v>
      </c>
      <c r="E14" s="187">
        <v>1.0203505635017596E-2</v>
      </c>
      <c r="F14" s="188">
        <v>4.6708447719812751E-2</v>
      </c>
      <c r="G14" s="188">
        <v>3.1341703280112876E-2</v>
      </c>
      <c r="H14" s="188">
        <v>3.5495979797013355E-2</v>
      </c>
      <c r="I14" s="189">
        <v>-8.8369033947823805E-3</v>
      </c>
      <c r="J14" s="186"/>
    </row>
    <row r="15" spans="1:15">
      <c r="A15" s="181"/>
      <c r="B15" s="182"/>
      <c r="C15" s="182"/>
      <c r="D15" s="182"/>
      <c r="E15" s="187"/>
      <c r="F15" s="188"/>
      <c r="G15" s="188"/>
      <c r="H15" s="188"/>
      <c r="I15" s="189"/>
      <c r="L15" s="186"/>
      <c r="M15" s="186"/>
      <c r="N15" s="186"/>
    </row>
    <row r="16" spans="1:15" ht="15.75" thickBot="1">
      <c r="A16" s="190" t="s">
        <v>10</v>
      </c>
      <c r="B16" s="191">
        <v>38.915922087477441</v>
      </c>
      <c r="C16" s="191">
        <v>27.499902680015332</v>
      </c>
      <c r="D16" s="191">
        <v>22.436954513361478</v>
      </c>
      <c r="E16" s="192">
        <v>-1.3273030719028855E-2</v>
      </c>
      <c r="F16" s="193">
        <v>-3.4098804545312777E-3</v>
      </c>
      <c r="G16" s="193">
        <v>-1.0923722377949918E-2</v>
      </c>
      <c r="H16" s="193">
        <v>-1.484762675992457E-2</v>
      </c>
      <c r="I16" s="194">
        <v>-1.0122078981262161E-2</v>
      </c>
    </row>
    <row r="17" spans="1:16">
      <c r="A17" s="195"/>
      <c r="C17" s="196"/>
      <c r="D17" s="196"/>
    </row>
    <row r="18" spans="1:16">
      <c r="C18" s="170"/>
    </row>
    <row r="19" spans="1:16" ht="16.5" thickBot="1">
      <c r="A19" s="91" t="s">
        <v>107</v>
      </c>
      <c r="B19" s="81"/>
      <c r="C19" s="81"/>
      <c r="D19" s="80"/>
      <c r="E19" s="80"/>
      <c r="F19" s="80"/>
      <c r="G19" s="80"/>
      <c r="H19" s="80"/>
      <c r="I19" s="80"/>
    </row>
    <row r="20" spans="1:16" ht="15.75" thickBot="1">
      <c r="A20" s="177" t="s">
        <v>51</v>
      </c>
      <c r="B20" s="178">
        <v>2000</v>
      </c>
      <c r="C20" s="178">
        <v>2030</v>
      </c>
      <c r="D20" s="178">
        <v>2050</v>
      </c>
      <c r="E20" s="197" t="s">
        <v>98</v>
      </c>
      <c r="F20" s="198" t="s">
        <v>99</v>
      </c>
      <c r="G20" s="198" t="s">
        <v>100</v>
      </c>
      <c r="H20" s="198" t="s">
        <v>101</v>
      </c>
      <c r="I20" s="199" t="s">
        <v>102</v>
      </c>
    </row>
    <row r="21" spans="1:16">
      <c r="A21" s="181" t="s">
        <v>108</v>
      </c>
      <c r="B21" s="200">
        <v>12.835644288573071</v>
      </c>
      <c r="C21" s="201">
        <v>8.5269295194929953</v>
      </c>
      <c r="D21" s="202">
        <v>3.1558487374952491</v>
      </c>
      <c r="E21" s="203">
        <v>-2.0418210296894168E-3</v>
      </c>
      <c r="F21" s="204">
        <v>-1.2981656397325958E-2</v>
      </c>
      <c r="G21" s="204">
        <v>-2.4214441228512018E-2</v>
      </c>
      <c r="H21" s="204">
        <v>-3.7372279095381211E-2</v>
      </c>
      <c r="I21" s="205">
        <v>-4.8483825121501511E-2</v>
      </c>
      <c r="O21" s="206"/>
      <c r="P21" s="207"/>
    </row>
    <row r="22" spans="1:16">
      <c r="A22" s="181" t="s">
        <v>54</v>
      </c>
      <c r="B22" s="208">
        <v>1.6286979567685305</v>
      </c>
      <c r="C22" s="209">
        <v>0.65798930805195532</v>
      </c>
      <c r="D22" s="210">
        <v>0.28608823842971293</v>
      </c>
      <c r="E22" s="211">
        <v>-2.5734767101810885E-2</v>
      </c>
      <c r="F22" s="212">
        <v>-1.3689799048109075E-2</v>
      </c>
      <c r="G22" s="212">
        <v>-3.5649036012973534E-2</v>
      </c>
      <c r="H22" s="212">
        <v>-5.1591584964612802E-2</v>
      </c>
      <c r="I22" s="213">
        <v>-4.0789203540956387E-2</v>
      </c>
    </row>
    <row r="23" spans="1:16">
      <c r="A23" s="181" t="s">
        <v>42</v>
      </c>
      <c r="B23" s="214">
        <v>0.15113499999999999</v>
      </c>
      <c r="C23" s="209">
        <v>0</v>
      </c>
      <c r="D23" s="210">
        <v>0</v>
      </c>
      <c r="E23" s="211"/>
      <c r="F23" s="212"/>
      <c r="G23" s="212"/>
      <c r="H23" s="212"/>
      <c r="I23" s="213"/>
    </row>
    <row r="24" spans="1:16">
      <c r="A24" s="181" t="s">
        <v>109</v>
      </c>
      <c r="B24" s="214">
        <v>0</v>
      </c>
      <c r="C24" s="209">
        <v>1.2897678417884793</v>
      </c>
      <c r="D24" s="210">
        <v>1.7196904557179702</v>
      </c>
      <c r="E24" s="211"/>
      <c r="F24" s="212"/>
      <c r="G24" s="212"/>
      <c r="H24" s="212"/>
      <c r="I24" s="213"/>
    </row>
    <row r="25" spans="1:16">
      <c r="A25" s="181"/>
      <c r="B25" s="214"/>
      <c r="C25" s="209"/>
      <c r="D25" s="210"/>
      <c r="E25" s="211"/>
      <c r="F25" s="212"/>
      <c r="G25" s="212"/>
      <c r="H25" s="212"/>
      <c r="I25" s="213"/>
    </row>
    <row r="26" spans="1:16" ht="15.75" thickBot="1">
      <c r="A26" s="190" t="s">
        <v>10</v>
      </c>
      <c r="B26" s="215">
        <v>14.615477245341602</v>
      </c>
      <c r="C26" s="191">
        <v>10.47468666933343</v>
      </c>
      <c r="D26" s="216">
        <v>5.1616274316429323</v>
      </c>
      <c r="E26" s="217">
        <v>-3.5586811437722243E-3</v>
      </c>
      <c r="F26" s="218">
        <v>-1.4068897056350838E-2</v>
      </c>
      <c r="G26" s="218">
        <v>-1.914657319213442E-2</v>
      </c>
      <c r="H26" s="218">
        <v>-2.2178137489036853E-2</v>
      </c>
      <c r="I26" s="219">
        <v>-3.4766735015457351E-2</v>
      </c>
      <c r="P26" s="207"/>
    </row>
    <row r="27" spans="1:16">
      <c r="A27" s="195"/>
      <c r="C27" s="170"/>
    </row>
    <row r="28" spans="1:16">
      <c r="A28" s="195"/>
      <c r="C28" s="170"/>
    </row>
    <row r="29" spans="1:16" ht="16.5" thickBot="1">
      <c r="A29" s="91" t="s">
        <v>110</v>
      </c>
      <c r="B29" s="81"/>
      <c r="C29" s="81"/>
      <c r="D29" s="80"/>
      <c r="E29" s="80"/>
      <c r="F29" s="80"/>
      <c r="G29" s="80"/>
      <c r="H29" s="80"/>
      <c r="I29" s="80"/>
      <c r="O29" s="207"/>
      <c r="P29" s="207"/>
    </row>
    <row r="30" spans="1:16" ht="15.75" thickBot="1">
      <c r="A30" s="177" t="s">
        <v>51</v>
      </c>
      <c r="B30" s="178">
        <v>2000</v>
      </c>
      <c r="C30" s="178">
        <v>2030</v>
      </c>
      <c r="D30" s="178">
        <v>2050</v>
      </c>
      <c r="E30" s="197" t="s">
        <v>98</v>
      </c>
      <c r="F30" s="198" t="s">
        <v>99</v>
      </c>
      <c r="G30" s="198" t="s">
        <v>100</v>
      </c>
      <c r="H30" s="198" t="s">
        <v>101</v>
      </c>
      <c r="I30" s="199" t="s">
        <v>102</v>
      </c>
    </row>
    <row r="31" spans="1:16">
      <c r="A31" s="220" t="s">
        <v>111</v>
      </c>
      <c r="B31" s="221">
        <v>8.0394712179039001</v>
      </c>
      <c r="C31" s="221">
        <v>4.034274047820249</v>
      </c>
      <c r="D31" s="221">
        <v>2.3625478953926566</v>
      </c>
      <c r="E31" s="203">
        <v>-2.882004035877217E-2</v>
      </c>
      <c r="F31" s="204">
        <v>-1.4526041240476739E-2</v>
      </c>
      <c r="G31" s="204">
        <v>-1.4652860485782848E-2</v>
      </c>
      <c r="H31" s="204">
        <v>-2.0568577068076799E-2</v>
      </c>
      <c r="I31" s="205">
        <v>-2.639956052647785E-2</v>
      </c>
      <c r="K31" s="222"/>
      <c r="L31" s="222"/>
      <c r="M31" s="222"/>
      <c r="N31" s="222"/>
      <c r="O31" s="222"/>
      <c r="P31" s="222"/>
    </row>
    <row r="32" spans="1:16">
      <c r="A32" s="223" t="s">
        <v>112</v>
      </c>
      <c r="B32" s="224">
        <v>6.7332839541308918</v>
      </c>
      <c r="C32" s="224">
        <v>3.332224397234743</v>
      </c>
      <c r="D32" s="224">
        <v>1.8202122308792859</v>
      </c>
      <c r="E32" s="211">
        <v>-2.9090690523181584E-2</v>
      </c>
      <c r="F32" s="212">
        <v>-1.6390992381878799E-2</v>
      </c>
      <c r="G32" s="212">
        <v>-1.4951999893957013E-2</v>
      </c>
      <c r="H32" s="212">
        <v>-2.031699267299869E-2</v>
      </c>
      <c r="I32" s="213">
        <v>-2.9781861944458865E-2</v>
      </c>
      <c r="K32" s="222"/>
      <c r="L32" s="222"/>
      <c r="M32" s="222"/>
      <c r="N32" s="222"/>
      <c r="O32" s="222"/>
      <c r="P32" s="222"/>
    </row>
    <row r="33" spans="1:16">
      <c r="A33" s="223" t="s">
        <v>113</v>
      </c>
      <c r="B33" s="224">
        <v>0.77559051401547718</v>
      </c>
      <c r="C33" s="224">
        <v>0.35964135580395529</v>
      </c>
      <c r="D33" s="224">
        <v>0.18359310283748928</v>
      </c>
      <c r="E33" s="211">
        <v>-2.3758508572556902E-2</v>
      </c>
      <c r="F33" s="212">
        <v>-1.5932877830166836E-2</v>
      </c>
      <c r="G33" s="212">
        <v>-2.5512345193146713E-2</v>
      </c>
      <c r="H33" s="212">
        <v>-3.8886719318729335E-2</v>
      </c>
      <c r="I33" s="213">
        <v>-3.306042203497761E-2</v>
      </c>
      <c r="K33" s="222"/>
      <c r="L33" s="222"/>
      <c r="M33" s="222"/>
      <c r="N33" s="222"/>
      <c r="O33" s="222"/>
      <c r="P33" s="222"/>
    </row>
    <row r="34" spans="1:16">
      <c r="A34" s="220" t="s">
        <v>114</v>
      </c>
      <c r="B34" s="209">
        <v>10.4052195619748</v>
      </c>
      <c r="C34" s="209">
        <v>7.3160300469747304</v>
      </c>
      <c r="D34" s="209">
        <v>5.3559195704119285</v>
      </c>
      <c r="E34" s="211">
        <v>-1.2073221594690486E-2</v>
      </c>
      <c r="F34" s="212">
        <v>-2.2551914850852395E-3</v>
      </c>
      <c r="G34" s="212">
        <v>-1.4519117202353105E-2</v>
      </c>
      <c r="H34" s="212">
        <v>-1.6978778630905356E-2</v>
      </c>
      <c r="I34" s="213">
        <v>-1.5472325734152914E-2</v>
      </c>
      <c r="K34" s="222"/>
      <c r="L34" s="222"/>
      <c r="M34" s="222"/>
      <c r="N34" s="222"/>
      <c r="O34" s="222"/>
      <c r="P34" s="222"/>
    </row>
    <row r="35" spans="1:16">
      <c r="A35" s="223" t="s">
        <v>115</v>
      </c>
      <c r="B35" s="224">
        <v>0.68312001018483248</v>
      </c>
      <c r="C35" s="224">
        <v>0.4345029990589041</v>
      </c>
      <c r="D35" s="224">
        <v>0.35450138063253811</v>
      </c>
      <c r="E35" s="211">
        <v>-2.3163343596647179E-2</v>
      </c>
      <c r="F35" s="212">
        <v>-6.4462326771118628E-3</v>
      </c>
      <c r="G35" s="212">
        <v>-6.6334772092663252E-3</v>
      </c>
      <c r="H35" s="212">
        <v>-7.0384890511416831E-3</v>
      </c>
      <c r="I35" s="213">
        <v>-1.012294488951071E-2</v>
      </c>
      <c r="K35" s="222"/>
      <c r="L35" s="222"/>
      <c r="M35" s="222"/>
      <c r="N35" s="222"/>
      <c r="O35" s="222"/>
      <c r="P35" s="222"/>
    </row>
    <row r="36" spans="1:16">
      <c r="A36" s="223" t="s">
        <v>116</v>
      </c>
      <c r="B36" s="224">
        <v>5.1075100039894741</v>
      </c>
      <c r="C36" s="224">
        <v>3.1592018945886431</v>
      </c>
      <c r="D36" s="224">
        <v>1.5111257706517573</v>
      </c>
      <c r="E36" s="211">
        <v>-1.2737129908311662E-2</v>
      </c>
      <c r="F36" s="212">
        <v>-1.135244676972591E-2</v>
      </c>
      <c r="G36" s="212">
        <v>-2.2148792341749046E-2</v>
      </c>
      <c r="H36" s="212">
        <v>-2.3525409252853957E-2</v>
      </c>
      <c r="I36" s="213">
        <v>-3.6201687547356975E-2</v>
      </c>
      <c r="K36" s="222"/>
      <c r="L36" s="222"/>
      <c r="M36" s="222"/>
      <c r="N36" s="222"/>
      <c r="O36" s="222"/>
      <c r="P36" s="222"/>
    </row>
    <row r="37" spans="1:16">
      <c r="A37" s="223" t="s">
        <v>117</v>
      </c>
      <c r="B37" s="224">
        <v>0.54892519346517621</v>
      </c>
      <c r="C37" s="224">
        <v>0.31129836629406704</v>
      </c>
      <c r="D37" s="224">
        <v>0.27253654342218397</v>
      </c>
      <c r="E37" s="211">
        <v>-3.068602496959294E-2</v>
      </c>
      <c r="F37" s="212">
        <v>-6.6272609556158324E-3</v>
      </c>
      <c r="G37" s="212">
        <v>-6.6207402593306819E-3</v>
      </c>
      <c r="H37" s="212">
        <v>-6.6278338643249723E-3</v>
      </c>
      <c r="I37" s="213">
        <v>-6.6269006013536247E-3</v>
      </c>
      <c r="K37" s="222"/>
      <c r="L37" s="222"/>
      <c r="M37" s="222"/>
      <c r="N37" s="222"/>
      <c r="O37" s="222"/>
      <c r="P37" s="222"/>
    </row>
    <row r="38" spans="1:16">
      <c r="A38" s="220" t="s">
        <v>118</v>
      </c>
      <c r="B38" s="209">
        <v>4.5197668823632196</v>
      </c>
      <c r="C38" s="209">
        <v>3.5249925120089616</v>
      </c>
      <c r="D38" s="209">
        <v>3.5267403011479717</v>
      </c>
      <c r="E38" s="211">
        <v>-1.7885128597275535E-2</v>
      </c>
      <c r="F38" s="212">
        <v>8.3339337189247686E-3</v>
      </c>
      <c r="G38" s="212">
        <v>-1.1616090068351514E-3</v>
      </c>
      <c r="H38" s="212">
        <v>-2.7088581652070509E-3</v>
      </c>
      <c r="I38" s="213">
        <v>2.4785551026695885E-5</v>
      </c>
      <c r="K38" s="222"/>
      <c r="L38" s="222"/>
      <c r="M38" s="222"/>
      <c r="N38" s="222"/>
      <c r="O38" s="222"/>
      <c r="P38" s="222"/>
    </row>
    <row r="39" spans="1:16">
      <c r="A39" s="223" t="s">
        <v>119</v>
      </c>
      <c r="B39" s="224">
        <v>1.7363799820886927</v>
      </c>
      <c r="C39" s="224">
        <v>1.5067153122042294</v>
      </c>
      <c r="D39" s="224">
        <v>1.3892801680948215</v>
      </c>
      <c r="E39" s="211">
        <v>-1.4175951100393935E-2</v>
      </c>
      <c r="F39" s="212">
        <v>1.9820631419208867E-2</v>
      </c>
      <c r="G39" s="212">
        <v>-2.6738358547824248E-3</v>
      </c>
      <c r="H39" s="212">
        <v>-2.4881705096504447E-3</v>
      </c>
      <c r="I39" s="213">
        <v>-4.0490923890846853E-3</v>
      </c>
      <c r="K39" s="222"/>
      <c r="L39" s="222"/>
      <c r="M39" s="222"/>
      <c r="N39" s="222"/>
      <c r="O39" s="222"/>
      <c r="P39" s="222"/>
    </row>
    <row r="40" spans="1:16">
      <c r="A40" s="223" t="s">
        <v>120</v>
      </c>
      <c r="B40" s="224">
        <v>1.4736883103796508</v>
      </c>
      <c r="C40" s="224">
        <v>1.1445541574232407</v>
      </c>
      <c r="D40" s="224">
        <v>1.0408883823018047</v>
      </c>
      <c r="E40" s="211">
        <v>-8.9571162177584096E-3</v>
      </c>
      <c r="F40" s="212">
        <v>-7.7681318092893692E-3</v>
      </c>
      <c r="G40" s="212">
        <v>-7.832319975623836E-3</v>
      </c>
      <c r="H40" s="212">
        <v>-7.8654989502765504E-3</v>
      </c>
      <c r="I40" s="213">
        <v>-4.735781493586555E-3</v>
      </c>
      <c r="K40" s="222"/>
      <c r="L40" s="222"/>
      <c r="M40" s="222"/>
      <c r="N40" s="222"/>
      <c r="O40" s="222"/>
      <c r="P40" s="222"/>
    </row>
    <row r="41" spans="1:16">
      <c r="A41" s="220" t="s">
        <v>121</v>
      </c>
      <c r="B41" s="209">
        <v>5.1496266408640006</v>
      </c>
      <c r="C41" s="209">
        <v>5.0785513846847703</v>
      </c>
      <c r="D41" s="209">
        <v>4.4458524021286028</v>
      </c>
      <c r="E41" s="211">
        <v>8.8280283181072505E-3</v>
      </c>
      <c r="F41" s="212">
        <v>-2.7590517378522916E-3</v>
      </c>
      <c r="G41" s="212">
        <v>-1.04042570745142E-2</v>
      </c>
      <c r="H41" s="212">
        <v>-1.5799727411699438E-2</v>
      </c>
      <c r="I41" s="213">
        <v>-6.6306418028676539E-3</v>
      </c>
      <c r="K41" s="222"/>
      <c r="L41" s="222"/>
      <c r="M41" s="222"/>
      <c r="N41" s="222"/>
      <c r="O41" s="222"/>
      <c r="P41" s="222"/>
    </row>
    <row r="42" spans="1:16">
      <c r="A42" s="223" t="s">
        <v>122</v>
      </c>
      <c r="B42" s="224">
        <v>0.89190999086672396</v>
      </c>
      <c r="C42" s="224">
        <v>0.78116236174021758</v>
      </c>
      <c r="D42" s="224">
        <v>0.69562637154176654</v>
      </c>
      <c r="E42" s="211">
        <v>-4.2727375856344008E-4</v>
      </c>
      <c r="F42" s="212">
        <v>-8.6490302339939928E-3</v>
      </c>
      <c r="G42" s="212">
        <v>-8.3880711873516312E-3</v>
      </c>
      <c r="H42" s="212">
        <v>-8.0913336247184775E-3</v>
      </c>
      <c r="I42" s="213">
        <v>-5.7817372560600155E-3</v>
      </c>
      <c r="K42" s="222"/>
      <c r="L42" s="222"/>
      <c r="M42" s="222"/>
      <c r="N42" s="222"/>
      <c r="O42" s="222"/>
      <c r="P42" s="222"/>
    </row>
    <row r="43" spans="1:16">
      <c r="A43" s="220" t="s">
        <v>123</v>
      </c>
      <c r="B43" s="209">
        <v>4.7684999999999995</v>
      </c>
      <c r="C43" s="209">
        <v>3.6669911224921985</v>
      </c>
      <c r="D43" s="209">
        <v>3.7611211162741518</v>
      </c>
      <c r="E43" s="211">
        <v>-1.4504478070025084E-2</v>
      </c>
      <c r="F43" s="212">
        <v>4.7161248590787963E-3</v>
      </c>
      <c r="G43" s="212">
        <v>-4.2530314663815627E-3</v>
      </c>
      <c r="H43" s="212">
        <v>-9.1012434194077674E-3</v>
      </c>
      <c r="I43" s="213">
        <v>1.2680840401131377E-3</v>
      </c>
      <c r="K43" s="222"/>
      <c r="L43" s="222"/>
      <c r="M43" s="222"/>
      <c r="N43" s="222"/>
      <c r="O43" s="222"/>
      <c r="P43" s="222"/>
    </row>
    <row r="44" spans="1:16">
      <c r="A44" s="220" t="s">
        <v>124</v>
      </c>
      <c r="B44" s="209">
        <v>6.0333377843715192</v>
      </c>
      <c r="C44" s="209">
        <v>3.8790635660344259</v>
      </c>
      <c r="D44" s="209">
        <v>2.9847732280061638</v>
      </c>
      <c r="E44" s="211">
        <v>-1.4611845468938789E-2</v>
      </c>
      <c r="F44" s="212">
        <v>-9.8154322852737064E-3</v>
      </c>
      <c r="G44" s="212">
        <v>-1.4613983738678837E-2</v>
      </c>
      <c r="H44" s="212">
        <v>-1.9405865678447376E-2</v>
      </c>
      <c r="I44" s="213">
        <v>-1.3018023004762513E-2</v>
      </c>
      <c r="K44" s="222"/>
      <c r="L44" s="222"/>
      <c r="M44" s="222"/>
      <c r="N44" s="222"/>
      <c r="O44" s="222"/>
      <c r="P44" s="222"/>
    </row>
    <row r="45" spans="1:16">
      <c r="A45" s="223" t="s">
        <v>125</v>
      </c>
      <c r="B45" s="225">
        <v>3.7799499921678623</v>
      </c>
      <c r="C45" s="225">
        <v>2.5460005922355178</v>
      </c>
      <c r="D45" s="225">
        <v>1.8797035765152388</v>
      </c>
      <c r="E45" s="211">
        <v>-1.0949147569268014E-2</v>
      </c>
      <c r="F45" s="212">
        <v>-1.1266274495920436E-2</v>
      </c>
      <c r="G45" s="212">
        <v>-1.4136597243633697E-2</v>
      </c>
      <c r="H45" s="212">
        <v>-2.0233623483975283E-2</v>
      </c>
      <c r="I45" s="213">
        <v>-1.5055989955698346E-2</v>
      </c>
      <c r="K45" s="222"/>
      <c r="L45" s="222"/>
      <c r="M45" s="222"/>
      <c r="N45" s="222"/>
      <c r="O45" s="222"/>
      <c r="P45" s="222"/>
    </row>
    <row r="46" spans="1:16">
      <c r="A46" s="181"/>
      <c r="B46" s="182"/>
      <c r="C46" s="182"/>
      <c r="D46" s="182"/>
      <c r="E46" s="211"/>
      <c r="F46" s="212"/>
      <c r="G46" s="212"/>
      <c r="H46" s="212"/>
      <c r="I46" s="213"/>
    </row>
    <row r="47" spans="1:16">
      <c r="A47" s="181"/>
      <c r="B47" s="182"/>
      <c r="C47" s="182"/>
      <c r="D47" s="182"/>
      <c r="E47" s="211"/>
      <c r="F47" s="212"/>
      <c r="G47" s="212"/>
      <c r="H47" s="212"/>
      <c r="I47" s="213"/>
    </row>
    <row r="48" spans="1:16" ht="15.75" thickBot="1">
      <c r="A48" s="190" t="s">
        <v>10</v>
      </c>
      <c r="B48" s="226">
        <v>38.915922087477433</v>
      </c>
      <c r="C48" s="226">
        <v>27.499902680015339</v>
      </c>
      <c r="D48" s="226">
        <v>22.436954513361474</v>
      </c>
      <c r="E48" s="217">
        <v>-1.3273030719028855E-2</v>
      </c>
      <c r="F48" s="218">
        <v>-3.4098804545312777E-3</v>
      </c>
      <c r="G48" s="218">
        <v>-1.0923722377949918E-2</v>
      </c>
      <c r="H48" s="218">
        <v>-1.4847626759924459E-2</v>
      </c>
      <c r="I48" s="219">
        <v>-1.0122078981262272E-2</v>
      </c>
    </row>
    <row r="49" spans="1:16" ht="15.75" thickBot="1">
      <c r="A49" s="195"/>
      <c r="C49" s="170"/>
    </row>
    <row r="50" spans="1:16" ht="15.75" thickBot="1">
      <c r="A50" s="227" t="s">
        <v>126</v>
      </c>
      <c r="B50" s="228">
        <v>21.730357951288781</v>
      </c>
      <c r="C50" s="228">
        <v>13.575301436583517</v>
      </c>
      <c r="D50" s="228">
        <v>9.1474675268768859</v>
      </c>
      <c r="E50" s="229">
        <v>-1.7464530547261159E-2</v>
      </c>
      <c r="F50" s="230">
        <v>-9.3304384083779945E-3</v>
      </c>
      <c r="G50" s="230">
        <v>-1.4331236969760019E-2</v>
      </c>
      <c r="H50" s="230">
        <v>-1.7275020441781752E-2</v>
      </c>
      <c r="I50" s="231">
        <v>-1.9545216478406569E-2</v>
      </c>
    </row>
    <row r="51" spans="1:16">
      <c r="A51" s="232"/>
      <c r="B51" s="233"/>
      <c r="C51" s="233"/>
      <c r="D51" s="233"/>
      <c r="E51" s="212"/>
      <c r="F51" s="212"/>
      <c r="G51" s="212"/>
      <c r="H51" s="212"/>
      <c r="I51" s="212"/>
    </row>
    <row r="52" spans="1:16">
      <c r="B52" s="234"/>
    </row>
    <row r="53" spans="1:16" ht="16.5" thickBot="1">
      <c r="A53" s="91" t="s">
        <v>127</v>
      </c>
      <c r="B53" s="81"/>
      <c r="C53" s="80"/>
      <c r="D53" s="80"/>
      <c r="E53" s="80"/>
      <c r="F53" s="80"/>
      <c r="G53" s="80"/>
      <c r="H53" s="80"/>
      <c r="I53" s="80"/>
    </row>
    <row r="54" spans="1:16" ht="15.75" thickBot="1">
      <c r="A54" s="235" t="s">
        <v>128</v>
      </c>
      <c r="B54" s="178">
        <v>2000</v>
      </c>
      <c r="C54" s="178">
        <v>2030</v>
      </c>
      <c r="D54" s="178">
        <v>2050</v>
      </c>
      <c r="E54" s="197" t="s">
        <v>98</v>
      </c>
      <c r="F54" s="198" t="s">
        <v>99</v>
      </c>
      <c r="G54" s="198" t="s">
        <v>100</v>
      </c>
      <c r="H54" s="198" t="s">
        <v>101</v>
      </c>
      <c r="I54" s="199" t="s">
        <v>102</v>
      </c>
    </row>
    <row r="55" spans="1:16">
      <c r="A55" s="220" t="s">
        <v>111</v>
      </c>
      <c r="B55" s="209">
        <v>22.518680393209301</v>
      </c>
      <c r="C55" s="209">
        <v>16.345912080578128</v>
      </c>
      <c r="D55" s="209">
        <v>16.542048660589597</v>
      </c>
      <c r="E55" s="203">
        <v>-1.9484576089642713E-2</v>
      </c>
      <c r="F55" s="204">
        <v>3.457246287976723E-4</v>
      </c>
      <c r="G55" s="204">
        <v>-2.1832446285263707E-3</v>
      </c>
      <c r="H55" s="204">
        <v>-3.1976743828334708E-3</v>
      </c>
      <c r="I55" s="205">
        <v>5.9656299673127577E-4</v>
      </c>
      <c r="K55" s="222"/>
      <c r="L55" s="222"/>
      <c r="M55" s="222"/>
      <c r="N55" s="222"/>
      <c r="O55" s="222"/>
      <c r="P55" s="222"/>
    </row>
    <row r="56" spans="1:16">
      <c r="A56" s="223" t="s">
        <v>112</v>
      </c>
      <c r="B56" s="224">
        <v>12.717519555999999</v>
      </c>
      <c r="C56" s="236">
        <v>9.7280223479999997</v>
      </c>
      <c r="D56" s="224">
        <v>11.069596652632001</v>
      </c>
      <c r="E56" s="211">
        <v>-2.3522445296106476E-2</v>
      </c>
      <c r="F56" s="212">
        <v>4.2460480621713259E-3</v>
      </c>
      <c r="G56" s="212">
        <v>5.2329078770170234E-3</v>
      </c>
      <c r="H56" s="212">
        <v>8.3952821157484703E-3</v>
      </c>
      <c r="I56" s="213">
        <v>6.4804924837684741E-3</v>
      </c>
      <c r="K56" s="222"/>
      <c r="L56" s="222"/>
      <c r="M56" s="222"/>
      <c r="N56" s="222"/>
      <c r="O56" s="222"/>
      <c r="P56" s="222"/>
    </row>
    <row r="57" spans="1:16">
      <c r="A57" s="223" t="s">
        <v>113</v>
      </c>
      <c r="B57" s="224">
        <v>6.4558120000000008</v>
      </c>
      <c r="C57" s="224">
        <v>3.5671275000000002</v>
      </c>
      <c r="D57" s="224">
        <v>1.9148900000000004</v>
      </c>
      <c r="E57" s="211">
        <v>-1.3782742229120348E-2</v>
      </c>
      <c r="F57" s="212">
        <v>-1.5474308830559447E-2</v>
      </c>
      <c r="G57" s="212">
        <v>-2.4327159240073892E-2</v>
      </c>
      <c r="H57" s="212">
        <v>-3.6116628208944679E-2</v>
      </c>
      <c r="I57" s="213">
        <v>-3.0626239311444592E-2</v>
      </c>
      <c r="K57" s="222"/>
      <c r="L57" s="222"/>
      <c r="M57" s="222"/>
      <c r="N57" s="222"/>
      <c r="O57" s="222"/>
      <c r="P57" s="222"/>
    </row>
    <row r="58" spans="1:16">
      <c r="A58" s="220" t="s">
        <v>114</v>
      </c>
      <c r="B58" s="209">
        <v>34.317436634125585</v>
      </c>
      <c r="C58" s="209">
        <v>29.375799873320595</v>
      </c>
      <c r="D58" s="209">
        <v>41.405759651043759</v>
      </c>
      <c r="E58" s="211">
        <v>-7.9524496774868725E-3</v>
      </c>
      <c r="F58" s="212">
        <v>-5.337329154053716E-4</v>
      </c>
      <c r="G58" s="212">
        <v>-4.716743914149224E-3</v>
      </c>
      <c r="H58" s="212">
        <v>-1.8802107418773861E-3</v>
      </c>
      <c r="I58" s="213">
        <v>1.7310560391055496E-2</v>
      </c>
      <c r="K58" s="222"/>
      <c r="L58" s="222"/>
      <c r="M58" s="222"/>
      <c r="N58" s="222"/>
      <c r="O58" s="222"/>
      <c r="P58" s="222"/>
    </row>
    <row r="59" spans="1:16">
      <c r="A59" s="223" t="s">
        <v>115</v>
      </c>
      <c r="B59" s="224">
        <v>1.4306063496000001</v>
      </c>
      <c r="C59" s="224">
        <v>0.7359174663526401</v>
      </c>
      <c r="D59" s="224">
        <v>1.8039342958032001</v>
      </c>
      <c r="E59" s="211">
        <v>-4.3849908552130334E-2</v>
      </c>
      <c r="F59" s="212">
        <v>-5.9378485624641542E-3</v>
      </c>
      <c r="G59" s="212">
        <v>-9.0168293734382843E-4</v>
      </c>
      <c r="H59" s="212">
        <v>8.4672842999160558E-3</v>
      </c>
      <c r="I59" s="213">
        <v>4.5850432243369932E-2</v>
      </c>
      <c r="K59" s="222"/>
      <c r="L59" s="222"/>
      <c r="M59" s="222"/>
      <c r="N59" s="222"/>
      <c r="O59" s="222"/>
      <c r="P59" s="222"/>
    </row>
    <row r="60" spans="1:16">
      <c r="A60" s="223" t="s">
        <v>116</v>
      </c>
      <c r="B60" s="224">
        <v>9.2656209821999997</v>
      </c>
      <c r="C60" s="224">
        <v>7.3256842281897461</v>
      </c>
      <c r="D60" s="224">
        <v>11.304263411981832</v>
      </c>
      <c r="E60" s="211">
        <v>-8.0114810887681465E-3</v>
      </c>
      <c r="F60" s="212">
        <v>-1.0518357694465075E-2</v>
      </c>
      <c r="G60" s="212">
        <v>-1.0099568113222435E-2</v>
      </c>
      <c r="H60" s="212">
        <v>-2.1263826370314654E-3</v>
      </c>
      <c r="I60" s="213">
        <v>2.1926600117262662E-2</v>
      </c>
      <c r="K60" s="222"/>
      <c r="L60" s="222"/>
      <c r="M60" s="222"/>
      <c r="N60" s="222"/>
      <c r="O60" s="222"/>
      <c r="P60" s="222"/>
    </row>
    <row r="61" spans="1:16">
      <c r="A61" s="223" t="s">
        <v>117</v>
      </c>
      <c r="B61" s="224">
        <v>6.3840000000000003</v>
      </c>
      <c r="C61" s="224">
        <v>3.6204000000000001</v>
      </c>
      <c r="D61" s="224">
        <v>3.1696</v>
      </c>
      <c r="E61" s="211">
        <v>-3.068602496959294E-2</v>
      </c>
      <c r="F61" s="212">
        <v>-6.6272609556158324E-3</v>
      </c>
      <c r="G61" s="212">
        <v>-6.6207402593306819E-3</v>
      </c>
      <c r="H61" s="212">
        <v>-6.6278338643249723E-3</v>
      </c>
      <c r="I61" s="213">
        <v>-6.6269006013536247E-3</v>
      </c>
      <c r="K61" s="222"/>
      <c r="L61" s="222"/>
      <c r="M61" s="222"/>
      <c r="N61" s="222"/>
      <c r="O61" s="222"/>
      <c r="P61" s="222"/>
    </row>
    <row r="62" spans="1:16">
      <c r="A62" s="220" t="s">
        <v>118</v>
      </c>
      <c r="B62" s="209">
        <v>10.089770094130467</v>
      </c>
      <c r="C62" s="209">
        <v>10.642687574898492</v>
      </c>
      <c r="D62" s="209">
        <v>24.929055598960488</v>
      </c>
      <c r="E62" s="211">
        <v>-5.0466540081156586E-3</v>
      </c>
      <c r="F62" s="212">
        <v>7.0533802098573517E-3</v>
      </c>
      <c r="G62" s="212">
        <v>7.6498993768454593E-3</v>
      </c>
      <c r="H62" s="212">
        <v>1.1262028880753672E-2</v>
      </c>
      <c r="I62" s="213">
        <v>4.3476626924084938E-2</v>
      </c>
      <c r="K62" s="222"/>
      <c r="L62" s="222"/>
      <c r="M62" s="222"/>
      <c r="N62" s="222"/>
      <c r="O62" s="222"/>
      <c r="P62" s="222"/>
    </row>
    <row r="63" spans="1:16">
      <c r="A63" s="223" t="s">
        <v>119</v>
      </c>
      <c r="B63" s="224">
        <v>2.8699343444999998</v>
      </c>
      <c r="C63" s="224">
        <v>2.9721824669571997</v>
      </c>
      <c r="D63" s="224">
        <v>7.073843024248001</v>
      </c>
      <c r="E63" s="211">
        <v>-8.1311686295574281E-3</v>
      </c>
      <c r="F63" s="212">
        <v>1.9264144643261982E-2</v>
      </c>
      <c r="G63" s="212">
        <v>3.221360872852852E-3</v>
      </c>
      <c r="H63" s="212">
        <v>9.2399982012025816E-3</v>
      </c>
      <c r="I63" s="213">
        <v>4.4308943926575362E-2</v>
      </c>
      <c r="K63" s="222"/>
      <c r="L63" s="222"/>
      <c r="M63" s="222"/>
      <c r="N63" s="222"/>
      <c r="O63" s="222"/>
      <c r="P63" s="222"/>
    </row>
    <row r="64" spans="1:16">
      <c r="A64" s="223" t="s">
        <v>120</v>
      </c>
      <c r="B64" s="224">
        <v>3.5000683077700003</v>
      </c>
      <c r="C64" s="224">
        <v>3.5780317196343203</v>
      </c>
      <c r="D64" s="224">
        <v>8.172680268564001</v>
      </c>
      <c r="E64" s="211">
        <v>4.3277639952932212E-4</v>
      </c>
      <c r="F64" s="212">
        <v>-6.561472118623235E-3</v>
      </c>
      <c r="G64" s="212">
        <v>1.39465171572839E-3</v>
      </c>
      <c r="H64" s="212">
        <v>8.3319570067608151E-3</v>
      </c>
      <c r="I64" s="213">
        <v>4.2163877829478835E-2</v>
      </c>
      <c r="K64" s="222"/>
      <c r="L64" s="222"/>
      <c r="M64" s="222"/>
      <c r="N64" s="222"/>
      <c r="O64" s="222"/>
      <c r="P64" s="222"/>
    </row>
    <row r="65" spans="1:16">
      <c r="A65" s="220" t="s">
        <v>121</v>
      </c>
      <c r="B65" s="209">
        <v>17.126937614697678</v>
      </c>
      <c r="C65" s="209">
        <v>19.578351391634179</v>
      </c>
      <c r="D65" s="209">
        <v>35.759844305960428</v>
      </c>
      <c r="E65" s="211">
        <v>1.2865977180223087E-2</v>
      </c>
      <c r="F65" s="212">
        <v>-3.7101256771170377E-3</v>
      </c>
      <c r="G65" s="212">
        <v>-5.5506720125205744E-3</v>
      </c>
      <c r="H65" s="212">
        <v>-2.3115233324033646E-3</v>
      </c>
      <c r="I65" s="213">
        <v>3.0578255766283258E-2</v>
      </c>
      <c r="K65" s="222"/>
      <c r="L65" s="222"/>
      <c r="M65" s="222"/>
      <c r="N65" s="222"/>
      <c r="O65" s="222"/>
      <c r="P65" s="222"/>
    </row>
    <row r="66" spans="1:16">
      <c r="A66" s="223" t="s">
        <v>122</v>
      </c>
      <c r="B66" s="224">
        <v>1.075774824</v>
      </c>
      <c r="C66" s="224">
        <v>1.2558461316999123</v>
      </c>
      <c r="D66" s="224">
        <v>4.36006303422492</v>
      </c>
      <c r="E66" s="211">
        <v>2.1363245239840456E-3</v>
      </c>
      <c r="F66" s="212">
        <v>-8.6550920534156361E-3</v>
      </c>
      <c r="G66" s="212">
        <v>9.6806017707231629E-3</v>
      </c>
      <c r="H66" s="212">
        <v>2.3891188290943388E-2</v>
      </c>
      <c r="I66" s="213">
        <v>6.4211179326033374E-2</v>
      </c>
      <c r="K66" s="222"/>
      <c r="L66" s="222"/>
      <c r="M66" s="222"/>
      <c r="N66" s="222"/>
      <c r="O66" s="222"/>
      <c r="P66" s="222"/>
    </row>
    <row r="67" spans="1:16">
      <c r="A67" s="220" t="s">
        <v>123</v>
      </c>
      <c r="B67" s="209">
        <v>26.596511627906978</v>
      </c>
      <c r="C67" s="209">
        <v>23.664536954230794</v>
      </c>
      <c r="D67" s="209">
        <v>41.628931969166253</v>
      </c>
      <c r="E67" s="211">
        <v>-1.085322009177081E-2</v>
      </c>
      <c r="F67" s="212">
        <v>7.9072416084033925E-3</v>
      </c>
      <c r="G67" s="212">
        <v>1.248012171704449E-3</v>
      </c>
      <c r="H67" s="212">
        <v>2.5379894664756542E-4</v>
      </c>
      <c r="I67" s="213">
        <v>2.8643444965444909E-2</v>
      </c>
      <c r="K67" s="222"/>
      <c r="L67" s="222"/>
      <c r="M67" s="222"/>
      <c r="N67" s="222"/>
      <c r="O67" s="222"/>
      <c r="P67" s="222"/>
    </row>
    <row r="68" spans="1:16">
      <c r="A68" s="220" t="s">
        <v>124</v>
      </c>
      <c r="B68" s="209">
        <v>21.828811773529303</v>
      </c>
      <c r="C68" s="209">
        <v>13.570287340274875</v>
      </c>
      <c r="D68" s="209">
        <v>20.138129256274084</v>
      </c>
      <c r="E68" s="211">
        <v>-2.1004882411991499E-2</v>
      </c>
      <c r="F68" s="212">
        <v>-9.9808225370821013E-3</v>
      </c>
      <c r="G68" s="212">
        <v>-1.1313127541162316E-2</v>
      </c>
      <c r="H68" s="212">
        <v>-9.9255875117842951E-3</v>
      </c>
      <c r="I68" s="213">
        <v>1.9932672113075034E-2</v>
      </c>
      <c r="K68" s="222"/>
      <c r="L68" s="222"/>
      <c r="M68" s="222"/>
      <c r="N68" s="222"/>
      <c r="O68" s="222"/>
      <c r="P68" s="222"/>
    </row>
    <row r="69" spans="1:16">
      <c r="A69" s="223" t="s">
        <v>125</v>
      </c>
      <c r="B69" s="224">
        <v>12.133462936320001</v>
      </c>
      <c r="C69" s="224">
        <v>7.3710020571582611</v>
      </c>
      <c r="D69" s="224">
        <v>9.8448280746497989</v>
      </c>
      <c r="E69" s="211">
        <v>-1.9435635747002244E-2</v>
      </c>
      <c r="F69" s="212">
        <v>-1.248806694870741E-2</v>
      </c>
      <c r="G69" s="212">
        <v>-1.2370780345036914E-2</v>
      </c>
      <c r="H69" s="212">
        <v>-1.5663131115900453E-2</v>
      </c>
      <c r="I69" s="213">
        <v>1.4574821208431121E-2</v>
      </c>
      <c r="K69" s="222"/>
      <c r="L69" s="222"/>
      <c r="M69" s="222"/>
      <c r="N69" s="222"/>
      <c r="O69" s="222"/>
      <c r="P69" s="222"/>
    </row>
    <row r="70" spans="1:16">
      <c r="A70" s="181"/>
      <c r="B70" s="182"/>
      <c r="C70" s="182"/>
      <c r="D70" s="182"/>
      <c r="E70" s="211"/>
      <c r="F70" s="212"/>
      <c r="G70" s="212"/>
      <c r="H70" s="212"/>
      <c r="I70" s="213"/>
    </row>
    <row r="71" spans="1:16">
      <c r="A71" s="181"/>
      <c r="B71" s="182"/>
      <c r="C71" s="182"/>
      <c r="D71" s="182"/>
      <c r="E71" s="211"/>
      <c r="F71" s="212"/>
      <c r="G71" s="212"/>
      <c r="H71" s="212"/>
      <c r="I71" s="213"/>
    </row>
    <row r="72" spans="1:16" ht="15.75" thickBot="1">
      <c r="A72" s="190" t="s">
        <v>10</v>
      </c>
      <c r="B72" s="226">
        <v>132.47814813759931</v>
      </c>
      <c r="C72" s="226">
        <v>113.17757521493706</v>
      </c>
      <c r="D72" s="226">
        <v>180.4037694419946</v>
      </c>
      <c r="E72" s="217">
        <v>-8.9509795210076515E-3</v>
      </c>
      <c r="F72" s="218">
        <v>5.3024071355434188E-5</v>
      </c>
      <c r="G72" s="218">
        <v>-3.0631622876612363E-3</v>
      </c>
      <c r="H72" s="218">
        <v>-1.502122314941845E-3</v>
      </c>
      <c r="I72" s="219">
        <v>2.3585820623661213E-2</v>
      </c>
    </row>
    <row r="73" spans="1:16" ht="15.75" thickBot="1">
      <c r="A73" s="195"/>
    </row>
    <row r="74" spans="1:16" ht="15.75" thickBot="1">
      <c r="A74" s="227" t="s">
        <v>126</v>
      </c>
      <c r="B74" s="228">
        <v>55.83279930039</v>
      </c>
      <c r="C74" s="228">
        <v>40.154213917992081</v>
      </c>
      <c r="D74" s="228">
        <v>58.71369876210376</v>
      </c>
      <c r="E74" s="229">
        <v>-1.6810622409562326E-2</v>
      </c>
      <c r="F74" s="230">
        <v>-5.7734388262641323E-3</v>
      </c>
      <c r="G74" s="230">
        <v>-5.9047943408462311E-3</v>
      </c>
      <c r="H74" s="230">
        <v>-3.3481638277382819E-3</v>
      </c>
      <c r="I74" s="231">
        <v>1.9178880492322303E-2</v>
      </c>
    </row>
    <row r="75" spans="1:16">
      <c r="A75" s="232"/>
      <c r="B75" s="233"/>
      <c r="C75" s="233"/>
      <c r="D75" s="233"/>
      <c r="E75" s="212"/>
      <c r="F75" s="212"/>
      <c r="G75" s="212"/>
      <c r="H75" s="212"/>
      <c r="I75" s="212"/>
    </row>
    <row r="77" spans="1:16" ht="16.5" thickBot="1">
      <c r="A77" s="91" t="s">
        <v>129</v>
      </c>
      <c r="B77" s="81"/>
      <c r="C77" s="80"/>
      <c r="D77" s="80"/>
      <c r="E77" s="80"/>
      <c r="F77" s="80"/>
      <c r="G77" s="80"/>
      <c r="H77" s="80"/>
      <c r="I77" s="80"/>
    </row>
    <row r="78" spans="1:16" ht="15.75" thickBot="1">
      <c r="A78" s="235" t="s">
        <v>51</v>
      </c>
      <c r="B78" s="178">
        <v>2000</v>
      </c>
      <c r="C78" s="178">
        <v>2030</v>
      </c>
      <c r="D78" s="178">
        <v>2050</v>
      </c>
      <c r="E78" s="197" t="s">
        <v>98</v>
      </c>
      <c r="F78" s="198" t="s">
        <v>99</v>
      </c>
      <c r="G78" s="198" t="s">
        <v>100</v>
      </c>
      <c r="H78" s="198" t="s">
        <v>101</v>
      </c>
      <c r="I78" s="199" t="s">
        <v>102</v>
      </c>
    </row>
    <row r="79" spans="1:16">
      <c r="A79" s="220" t="s">
        <v>111</v>
      </c>
      <c r="B79" s="209">
        <v>6.1028647040878994</v>
      </c>
      <c r="C79" s="209">
        <v>2.6285256088905298</v>
      </c>
      <c r="D79" s="209">
        <v>0.93993171058195146</v>
      </c>
      <c r="E79" s="203">
        <v>-3.2065133243258437E-2</v>
      </c>
      <c r="F79" s="204">
        <v>-2.0501464042258277E-2</v>
      </c>
      <c r="G79" s="204">
        <v>-2.0187474137542516E-2</v>
      </c>
      <c r="H79" s="204">
        <v>-2.9153625531606608E-2</v>
      </c>
      <c r="I79" s="205">
        <v>-5.0118991966425885E-2</v>
      </c>
      <c r="K79" s="222"/>
      <c r="L79" s="222"/>
      <c r="M79" s="222"/>
      <c r="N79" s="222"/>
      <c r="O79" s="222"/>
      <c r="P79" s="222"/>
    </row>
    <row r="80" spans="1:16">
      <c r="A80" s="223" t="s">
        <v>112</v>
      </c>
      <c r="B80" s="224">
        <v>5.6397741040878993</v>
      </c>
      <c r="C80" s="224">
        <v>2.4957650379914069</v>
      </c>
      <c r="D80" s="224">
        <v>0.86839824527034348</v>
      </c>
      <c r="E80" s="211">
        <v>-3.0223983367855145E-2</v>
      </c>
      <c r="F80" s="212">
        <v>-2.1062081281624345E-2</v>
      </c>
      <c r="G80" s="212">
        <v>-2.0142982514886554E-2</v>
      </c>
      <c r="H80" s="212">
        <v>-2.8917291757819874E-2</v>
      </c>
      <c r="I80" s="213">
        <v>-5.1416072065252116E-2</v>
      </c>
      <c r="K80" s="222"/>
      <c r="L80" s="222"/>
      <c r="M80" s="222"/>
      <c r="N80" s="222"/>
      <c r="O80" s="222"/>
      <c r="P80" s="222"/>
    </row>
    <row r="81" spans="1:16">
      <c r="A81" s="223" t="s">
        <v>113</v>
      </c>
      <c r="B81" s="224">
        <v>0.22049060000000001</v>
      </c>
      <c r="C81" s="224">
        <v>5.2923600000000008E-2</v>
      </c>
      <c r="D81" s="224">
        <v>1.8942200000000003E-2</v>
      </c>
      <c r="E81" s="211">
        <v>-5.800925990156014E-2</v>
      </c>
      <c r="F81" s="212">
        <v>-1.8243449391070587E-2</v>
      </c>
      <c r="G81" s="212">
        <v>-3.1625686200436376E-2</v>
      </c>
      <c r="H81" s="212">
        <v>-5.4057169458854637E-2</v>
      </c>
      <c r="I81" s="213">
        <v>-5.0075580850414636E-2</v>
      </c>
      <c r="K81" s="222"/>
      <c r="L81" s="222"/>
      <c r="M81" s="222"/>
      <c r="N81" s="222"/>
      <c r="O81" s="222"/>
      <c r="P81" s="222"/>
    </row>
    <row r="82" spans="1:16">
      <c r="A82" s="220" t="s">
        <v>114</v>
      </c>
      <c r="B82" s="209">
        <v>7.4539200114399993</v>
      </c>
      <c r="C82" s="209">
        <v>4.7897112578691594</v>
      </c>
      <c r="D82" s="209">
        <v>1.795024240422165</v>
      </c>
      <c r="E82" s="211">
        <v>-1.3773642860210988E-2</v>
      </c>
      <c r="F82" s="212">
        <v>-3.0033839999191736E-3</v>
      </c>
      <c r="G82" s="212">
        <v>-1.8936892563536922E-2</v>
      </c>
      <c r="H82" s="212">
        <v>-2.4416430642059117E-2</v>
      </c>
      <c r="I82" s="213">
        <v>-4.7887977249885028E-2</v>
      </c>
      <c r="K82" s="222"/>
      <c r="L82" s="222"/>
      <c r="M82" s="222"/>
      <c r="N82" s="222"/>
      <c r="O82" s="222"/>
      <c r="P82" s="222"/>
    </row>
    <row r="83" spans="1:16">
      <c r="A83" s="223" t="s">
        <v>115</v>
      </c>
      <c r="B83" s="224">
        <v>0.56011000592000015</v>
      </c>
      <c r="C83" s="224">
        <v>0.37122548690476481</v>
      </c>
      <c r="D83" s="224">
        <v>0.19939095107078403</v>
      </c>
      <c r="E83" s="211">
        <v>-1.9342063656889397E-2</v>
      </c>
      <c r="F83" s="212">
        <v>-6.5227039328993319E-3</v>
      </c>
      <c r="G83" s="212">
        <v>-7.5087443496526518E-3</v>
      </c>
      <c r="H83" s="212">
        <v>-9.5430288444636746E-3</v>
      </c>
      <c r="I83" s="213">
        <v>-3.0599179512618147E-2</v>
      </c>
      <c r="K83" s="222"/>
      <c r="L83" s="222"/>
      <c r="M83" s="222"/>
      <c r="N83" s="222"/>
      <c r="O83" s="222"/>
      <c r="P83" s="222"/>
    </row>
    <row r="84" spans="1:16">
      <c r="A84" s="223" t="s">
        <v>116</v>
      </c>
      <c r="B84" s="224">
        <v>4.3108100055199987</v>
      </c>
      <c r="C84" s="224">
        <v>2.5293064321475645</v>
      </c>
      <c r="D84" s="224">
        <v>0.53913407572640637</v>
      </c>
      <c r="E84" s="211">
        <v>-1.364621360705931E-2</v>
      </c>
      <c r="F84" s="212">
        <v>-1.1520690126172184E-2</v>
      </c>
      <c r="G84" s="212">
        <v>-2.4660321708745769E-2</v>
      </c>
      <c r="H84" s="212">
        <v>-2.8446122757142756E-2</v>
      </c>
      <c r="I84" s="213">
        <v>-7.4375658972649417E-2</v>
      </c>
      <c r="K84" s="222"/>
      <c r="L84" s="222"/>
      <c r="M84" s="222"/>
      <c r="N84" s="222"/>
      <c r="O84" s="222"/>
      <c r="P84" s="222"/>
    </row>
    <row r="85" spans="1:16">
      <c r="A85" s="223" t="s">
        <v>117</v>
      </c>
      <c r="B85" s="224">
        <v>0</v>
      </c>
      <c r="C85" s="224">
        <v>0</v>
      </c>
      <c r="D85" s="224">
        <v>0</v>
      </c>
      <c r="E85" s="211" t="e">
        <v>#DIV/0!</v>
      </c>
      <c r="F85" s="212" t="e">
        <v>#DIV/0!</v>
      </c>
      <c r="G85" s="212" t="e">
        <v>#DIV/0!</v>
      </c>
      <c r="H85" s="212" t="e">
        <v>#DIV/0!</v>
      </c>
      <c r="I85" s="213" t="e">
        <v>#DIV/0!</v>
      </c>
      <c r="K85" s="222"/>
      <c r="L85" s="222"/>
      <c r="M85" s="222"/>
      <c r="N85" s="222"/>
      <c r="O85" s="222"/>
      <c r="P85" s="222"/>
    </row>
    <row r="86" spans="1:16">
      <c r="A86" s="220" t="s">
        <v>118</v>
      </c>
      <c r="B86" s="209">
        <v>3.6520466542679997</v>
      </c>
      <c r="C86" s="209">
        <v>2.6097213805676915</v>
      </c>
      <c r="D86" s="209">
        <v>1.3828415196373696</v>
      </c>
      <c r="E86" s="211">
        <v>-2.1313635408318321E-2</v>
      </c>
      <c r="F86" s="212">
        <v>8.7222550422911826E-3</v>
      </c>
      <c r="G86" s="212">
        <v>-3.8825196310914301E-3</v>
      </c>
      <c r="H86" s="212">
        <v>-7.3439622184802156E-3</v>
      </c>
      <c r="I86" s="213">
        <v>-3.1256250559140719E-2</v>
      </c>
      <c r="K86" s="222"/>
      <c r="L86" s="222"/>
      <c r="M86" s="222"/>
      <c r="N86" s="222"/>
      <c r="O86" s="222"/>
      <c r="P86" s="222"/>
    </row>
    <row r="87" spans="1:16">
      <c r="A87" s="223" t="s">
        <v>119</v>
      </c>
      <c r="B87" s="224">
        <v>1.4896100470499998</v>
      </c>
      <c r="C87" s="224">
        <v>1.2511536211502998</v>
      </c>
      <c r="D87" s="224">
        <v>0.7810391513924998</v>
      </c>
      <c r="E87" s="211">
        <v>-1.5229321466198376E-2</v>
      </c>
      <c r="F87" s="212">
        <v>1.9923173048701726E-2</v>
      </c>
      <c r="G87" s="212">
        <v>-3.7733306483830331E-3</v>
      </c>
      <c r="H87" s="212">
        <v>-4.7855829108133241E-3</v>
      </c>
      <c r="I87" s="213">
        <v>-2.3284435801467329E-2</v>
      </c>
      <c r="K87" s="222"/>
      <c r="L87" s="222"/>
      <c r="M87" s="222"/>
      <c r="N87" s="222"/>
      <c r="O87" s="222"/>
      <c r="P87" s="222"/>
    </row>
    <row r="88" spans="1:16">
      <c r="A88" s="223" t="s">
        <v>120</v>
      </c>
      <c r="B88" s="224">
        <v>1.1727366072179999</v>
      </c>
      <c r="C88" s="224">
        <v>0.83689880749767587</v>
      </c>
      <c r="D88" s="224">
        <v>0.33816436952759998</v>
      </c>
      <c r="E88" s="211">
        <v>-1.1581443545223058E-2</v>
      </c>
      <c r="F88" s="212">
        <v>-8.1404966884655039E-3</v>
      </c>
      <c r="G88" s="212">
        <v>-1.0764289211216749E-2</v>
      </c>
      <c r="H88" s="212">
        <v>-1.3443690845398315E-2</v>
      </c>
      <c r="I88" s="213">
        <v>-4.4297449820036583E-2</v>
      </c>
      <c r="K88" s="222"/>
      <c r="L88" s="222"/>
      <c r="M88" s="222"/>
      <c r="N88" s="222"/>
      <c r="O88" s="222"/>
      <c r="P88" s="222"/>
    </row>
    <row r="89" spans="1:16">
      <c r="A89" s="220" t="s">
        <v>121</v>
      </c>
      <c r="B89" s="209">
        <v>3.676710006</v>
      </c>
      <c r="C89" s="209">
        <v>3.3948131650042308</v>
      </c>
      <c r="D89" s="209">
        <v>1.3705057918160062</v>
      </c>
      <c r="E89" s="211">
        <v>7.1447590995870058E-3</v>
      </c>
      <c r="F89" s="212">
        <v>-2.3453896803018459E-3</v>
      </c>
      <c r="G89" s="212">
        <v>-1.253652537427774E-2</v>
      </c>
      <c r="H89" s="212">
        <v>-2.2100206370139208E-2</v>
      </c>
      <c r="I89" s="213">
        <v>-4.434034928410191E-2</v>
      </c>
      <c r="K89" s="222"/>
      <c r="L89" s="222"/>
      <c r="M89" s="222"/>
      <c r="N89" s="222"/>
      <c r="O89" s="222"/>
      <c r="P89" s="222"/>
    </row>
    <row r="90" spans="1:16">
      <c r="A90" s="223" t="s">
        <v>122</v>
      </c>
      <c r="B90" s="224">
        <v>0.79941000600000001</v>
      </c>
      <c r="C90" s="224">
        <v>0.6731790314134839</v>
      </c>
      <c r="D90" s="224">
        <v>0.32072843222750008</v>
      </c>
      <c r="E90" s="211">
        <v>-7.2993426955259011E-4</v>
      </c>
      <c r="F90" s="212">
        <v>-8.6482980368652873E-3</v>
      </c>
      <c r="G90" s="212">
        <v>-1.066191293344998E-2</v>
      </c>
      <c r="H90" s="212">
        <v>-1.2695579882995522E-2</v>
      </c>
      <c r="I90" s="213">
        <v>-3.6392117229602783E-2</v>
      </c>
      <c r="K90" s="222"/>
      <c r="L90" s="222"/>
      <c r="M90" s="222"/>
      <c r="N90" s="222"/>
      <c r="O90" s="222"/>
      <c r="P90" s="222"/>
    </row>
    <row r="91" spans="1:16">
      <c r="A91" s="220" t="s">
        <v>123</v>
      </c>
      <c r="B91" s="209">
        <v>2.481199999999999</v>
      </c>
      <c r="C91" s="209">
        <v>1.6318409444283501</v>
      </c>
      <c r="D91" s="209">
        <v>0.1810329669258543</v>
      </c>
      <c r="E91" s="211">
        <v>-1.8046870165126516E-2</v>
      </c>
      <c r="F91" s="212">
        <v>1.3911603631424629E-3</v>
      </c>
      <c r="G91" s="212">
        <v>-1.0233782875543107E-2</v>
      </c>
      <c r="H91" s="212">
        <v>-2.0071125438323012E-2</v>
      </c>
      <c r="I91" s="213">
        <v>-0.10411143744723672</v>
      </c>
      <c r="K91" s="222"/>
      <c r="L91" s="222"/>
      <c r="M91" s="222"/>
      <c r="N91" s="222"/>
      <c r="O91" s="222"/>
      <c r="P91" s="222"/>
    </row>
    <row r="92" spans="1:16">
      <c r="A92" s="220" t="s">
        <v>124</v>
      </c>
      <c r="B92" s="209">
        <v>4.1560599718479994</v>
      </c>
      <c r="C92" s="209">
        <v>2.7120188547707866</v>
      </c>
      <c r="D92" s="209">
        <v>1.2528941119665928</v>
      </c>
      <c r="E92" s="211">
        <v>-1.1904361094133065E-2</v>
      </c>
      <c r="F92" s="212">
        <v>-9.750437620532959E-3</v>
      </c>
      <c r="G92" s="212">
        <v>-1.5922424886672948E-2</v>
      </c>
      <c r="H92" s="212">
        <v>-2.3322376412657886E-2</v>
      </c>
      <c r="I92" s="213">
        <v>-3.7875922442457077E-2</v>
      </c>
      <c r="K92" s="222"/>
      <c r="L92" s="222"/>
      <c r="M92" s="222"/>
      <c r="N92" s="222"/>
      <c r="O92" s="222"/>
      <c r="P92" s="222"/>
    </row>
    <row r="93" spans="1:16">
      <c r="A93" s="223" t="s">
        <v>125</v>
      </c>
      <c r="B93" s="224">
        <v>2.7366599718479998</v>
      </c>
      <c r="C93" s="224">
        <v>1.9122084978968883</v>
      </c>
      <c r="D93" s="224">
        <v>1.0332007326072596</v>
      </c>
      <c r="E93" s="211">
        <v>-7.9650007687418478E-3</v>
      </c>
      <c r="F93" s="212">
        <v>-1.0876330321090033E-2</v>
      </c>
      <c r="G93" s="212">
        <v>-1.4700076010013885E-2</v>
      </c>
      <c r="H93" s="212">
        <v>-2.1720723816867182E-2</v>
      </c>
      <c r="I93" s="213">
        <v>-3.0310991049048219E-2</v>
      </c>
      <c r="K93" s="222"/>
      <c r="L93" s="222"/>
      <c r="M93" s="222"/>
      <c r="N93" s="222"/>
      <c r="O93" s="222"/>
      <c r="P93" s="222"/>
    </row>
    <row r="94" spans="1:16">
      <c r="A94" s="181"/>
      <c r="B94" s="182"/>
      <c r="C94" s="182"/>
      <c r="D94" s="182"/>
      <c r="E94" s="211"/>
      <c r="F94" s="212"/>
      <c r="G94" s="212"/>
      <c r="H94" s="212"/>
      <c r="I94" s="213"/>
    </row>
    <row r="95" spans="1:16">
      <c r="A95" s="181"/>
      <c r="B95" s="182"/>
      <c r="C95" s="182"/>
      <c r="D95" s="182"/>
      <c r="E95" s="211"/>
      <c r="F95" s="212"/>
      <c r="G95" s="212"/>
      <c r="H95" s="212"/>
      <c r="I95" s="213"/>
    </row>
    <row r="96" spans="1:16" ht="15.75" thickBot="1">
      <c r="A96" s="190" t="s">
        <v>10</v>
      </c>
      <c r="B96" s="226">
        <v>27.522801347643899</v>
      </c>
      <c r="C96" s="226">
        <v>17.766631211530747</v>
      </c>
      <c r="D96" s="226">
        <v>6.9222303413499384</v>
      </c>
      <c r="E96" s="217">
        <v>-1.5142659964137439E-2</v>
      </c>
      <c r="F96" s="218">
        <v>-5.0007053094305309E-3</v>
      </c>
      <c r="G96" s="218">
        <v>-1.4677176623779986E-2</v>
      </c>
      <c r="H96" s="218">
        <v>-2.17244555742514E-2</v>
      </c>
      <c r="I96" s="219">
        <v>-4.6035863756779483E-2</v>
      </c>
    </row>
    <row r="97" spans="1:9" ht="15.75" thickBot="1">
      <c r="A97" s="195"/>
    </row>
    <row r="98" spans="1:9" ht="15.75" thickBot="1">
      <c r="A98" s="227" t="s">
        <v>126</v>
      </c>
      <c r="B98" s="228">
        <v>16.929601347643899</v>
      </c>
      <c r="C98" s="228">
        <v>10.122660515002085</v>
      </c>
      <c r="D98" s="228">
        <v>4.0989981578223933</v>
      </c>
      <c r="E98" s="229">
        <v>-1.7651074497766484E-2</v>
      </c>
      <c r="F98" s="230">
        <v>-1.0361632943188592E-2</v>
      </c>
      <c r="G98" s="230">
        <v>-1.6863913586100732E-2</v>
      </c>
      <c r="H98" s="230">
        <v>-2.1767463933394238E-2</v>
      </c>
      <c r="I98" s="231">
        <v>-4.4195320257210291E-2</v>
      </c>
    </row>
    <row r="99" spans="1:9">
      <c r="A99" s="232"/>
      <c r="B99" s="233"/>
      <c r="C99" s="233"/>
      <c r="D99" s="233"/>
      <c r="E99" s="212"/>
      <c r="F99" s="212"/>
      <c r="G99" s="212"/>
      <c r="H99" s="212"/>
      <c r="I99" s="212"/>
    </row>
    <row r="100" spans="1:9">
      <c r="C100" s="170"/>
    </row>
    <row r="101" spans="1:9" ht="16.5" thickBot="1">
      <c r="A101" s="91" t="s">
        <v>130</v>
      </c>
      <c r="B101" s="81"/>
      <c r="C101" s="81"/>
      <c r="D101" s="80"/>
      <c r="E101" s="80"/>
      <c r="F101" s="80"/>
      <c r="G101" s="80"/>
      <c r="H101" s="80"/>
      <c r="I101" s="80"/>
    </row>
    <row r="102" spans="1:9" ht="15.75" thickBot="1">
      <c r="A102" s="177"/>
      <c r="B102" s="178">
        <v>2000</v>
      </c>
      <c r="C102" s="178">
        <v>2030</v>
      </c>
      <c r="D102" s="178">
        <v>2050</v>
      </c>
      <c r="E102" s="197" t="s">
        <v>98</v>
      </c>
      <c r="F102" s="198" t="s">
        <v>99</v>
      </c>
      <c r="G102" s="198" t="s">
        <v>100</v>
      </c>
      <c r="H102" s="198" t="s">
        <v>101</v>
      </c>
      <c r="I102" s="199" t="s">
        <v>102</v>
      </c>
    </row>
    <row r="103" spans="1:9" ht="15.75" thickBot="1">
      <c r="A103" s="190" t="s">
        <v>131</v>
      </c>
      <c r="B103" s="237">
        <v>0.14861493671090042</v>
      </c>
      <c r="C103" s="237">
        <v>8.0494065121002392E-2</v>
      </c>
      <c r="D103" s="237">
        <v>5.0727758757542533E-2</v>
      </c>
      <c r="E103" s="217">
        <v>-1.9300991535037504E-2</v>
      </c>
      <c r="F103" s="218">
        <v>-1.7233359478206589E-2</v>
      </c>
      <c r="G103" s="218">
        <v>-2.0715069205962333E-2</v>
      </c>
      <c r="H103" s="218">
        <v>-2.5518511561099966E-2</v>
      </c>
      <c r="I103" s="219">
        <v>-2.2821077671392298E-2</v>
      </c>
    </row>
    <row r="104" spans="1:9">
      <c r="A104" s="238"/>
      <c r="C104" s="170"/>
    </row>
    <row r="105" spans="1:9">
      <c r="C105" s="170"/>
    </row>
    <row r="106" spans="1:9" ht="21">
      <c r="A106" s="78" t="s">
        <v>132</v>
      </c>
      <c r="B106" s="73"/>
      <c r="C106" s="73"/>
      <c r="D106" s="239"/>
      <c r="E106" s="239"/>
      <c r="F106" s="239"/>
      <c r="G106" s="239"/>
      <c r="H106" s="239"/>
      <c r="I106" s="239"/>
    </row>
    <row r="107" spans="1:9">
      <c r="C107" s="170"/>
    </row>
    <row r="108" spans="1:9" ht="16.5" thickBot="1">
      <c r="A108" s="91" t="s">
        <v>133</v>
      </c>
      <c r="B108" s="81"/>
      <c r="C108" s="81"/>
      <c r="D108" s="80"/>
      <c r="E108" s="80"/>
      <c r="F108" s="80"/>
      <c r="G108" s="80"/>
      <c r="H108" s="80"/>
      <c r="I108" s="80"/>
    </row>
    <row r="109" spans="1:9" ht="15.75" thickBot="1">
      <c r="A109" s="177" t="s">
        <v>51</v>
      </c>
      <c r="B109" s="178">
        <v>2000</v>
      </c>
      <c r="C109" s="178">
        <v>2030</v>
      </c>
      <c r="D109" s="178">
        <v>2050</v>
      </c>
      <c r="E109" s="197" t="s">
        <v>98</v>
      </c>
      <c r="F109" s="198" t="s">
        <v>99</v>
      </c>
      <c r="G109" s="198" t="s">
        <v>100</v>
      </c>
      <c r="H109" s="198" t="s">
        <v>101</v>
      </c>
      <c r="I109" s="199" t="s">
        <v>102</v>
      </c>
    </row>
    <row r="110" spans="1:9">
      <c r="A110" s="181" t="s">
        <v>103</v>
      </c>
      <c r="B110" s="182">
        <v>9.0758812906337827</v>
      </c>
      <c r="C110" s="182">
        <v>1.7531094981983244</v>
      </c>
      <c r="D110" s="182">
        <v>0.16876038587276018</v>
      </c>
      <c r="E110" s="203">
        <v>-2.0025322165468706E-2</v>
      </c>
      <c r="F110" s="204">
        <v>-3.2227817829655558E-2</v>
      </c>
      <c r="G110" s="204">
        <v>-7.0138912602095926E-2</v>
      </c>
      <c r="H110" s="204">
        <v>-0.15013826160384491</v>
      </c>
      <c r="I110" s="205">
        <v>-0.11044445054685692</v>
      </c>
    </row>
    <row r="111" spans="1:9">
      <c r="A111" s="181" t="s">
        <v>54</v>
      </c>
      <c r="B111" s="182">
        <v>15.00569239050041</v>
      </c>
      <c r="C111" s="182">
        <v>10.440933334102589</v>
      </c>
      <c r="D111" s="182">
        <v>3.2906931433531605</v>
      </c>
      <c r="E111" s="211">
        <v>-2.1281407827751231E-3</v>
      </c>
      <c r="F111" s="212">
        <v>-1.2914478704932786E-2</v>
      </c>
      <c r="G111" s="212">
        <v>-2.6139052164786847E-2</v>
      </c>
      <c r="H111" s="212">
        <v>-2.6310250168805283E-2</v>
      </c>
      <c r="I111" s="213">
        <v>-5.6096920086786795E-2</v>
      </c>
    </row>
    <row r="112" spans="1:9">
      <c r="A112" s="181" t="s">
        <v>42</v>
      </c>
      <c r="B112" s="182">
        <v>5.9999999999999984E-2</v>
      </c>
      <c r="C112" s="182">
        <v>0</v>
      </c>
      <c r="D112" s="182">
        <v>0</v>
      </c>
      <c r="E112" s="211">
        <v>-1</v>
      </c>
      <c r="F112" s="212" t="e">
        <v>#DIV/0!</v>
      </c>
      <c r="G112" s="212" t="e">
        <v>#DIV/0!</v>
      </c>
      <c r="H112" s="212" t="e">
        <v>#DIV/0!</v>
      </c>
      <c r="I112" s="213" t="e">
        <v>#DIV/0!</v>
      </c>
    </row>
    <row r="113" spans="1:9">
      <c r="A113" s="181" t="s">
        <v>104</v>
      </c>
      <c r="B113" s="182">
        <v>10.566459797679247</v>
      </c>
      <c r="C113" s="182">
        <v>12.106495373667938</v>
      </c>
      <c r="D113" s="182">
        <v>11.33310109741109</v>
      </c>
      <c r="E113" s="211">
        <v>1.8318675562970954E-2</v>
      </c>
      <c r="F113" s="212">
        <v>-9.1301644621099021E-3</v>
      </c>
      <c r="G113" s="212">
        <v>-7.2345335063984662E-3</v>
      </c>
      <c r="H113" s="212">
        <v>-1.0756075286291966E-2</v>
      </c>
      <c r="I113" s="213">
        <v>-3.2952772158820753E-3</v>
      </c>
    </row>
    <row r="114" spans="1:9">
      <c r="A114" s="181" t="s">
        <v>105</v>
      </c>
      <c r="B114" s="182">
        <v>1.7520381736811979</v>
      </c>
      <c r="C114" s="182">
        <v>2.2479759646467494</v>
      </c>
      <c r="D114" s="182">
        <v>2.1939463906381054</v>
      </c>
      <c r="E114" s="211">
        <v>-1.8434293198953178E-2</v>
      </c>
      <c r="F114" s="212">
        <v>1.069332772347642E-2</v>
      </c>
      <c r="G114" s="212">
        <v>5.8278074544066305E-2</v>
      </c>
      <c r="H114" s="212">
        <v>3.9135763206619822E-2</v>
      </c>
      <c r="I114" s="213">
        <v>-1.2156761197724686E-3</v>
      </c>
    </row>
    <row r="115" spans="1:9">
      <c r="A115" s="181" t="s">
        <v>134</v>
      </c>
      <c r="B115" s="182">
        <v>6.296013916158028</v>
      </c>
      <c r="C115" s="182">
        <v>5.2384202374876301</v>
      </c>
      <c r="D115" s="182">
        <v>2.9485640726408189</v>
      </c>
      <c r="E115" s="211">
        <v>-2.6273586664713022E-2</v>
      </c>
      <c r="F115" s="212">
        <v>1.4107082876768207E-2</v>
      </c>
      <c r="G115" s="212">
        <v>8.8631964133378816E-3</v>
      </c>
      <c r="H115" s="212">
        <v>2.0469393296532301E-2</v>
      </c>
      <c r="I115" s="213">
        <v>-2.8326157420179299E-2</v>
      </c>
    </row>
    <row r="116" spans="1:9">
      <c r="A116" s="181" t="s">
        <v>135</v>
      </c>
      <c r="B116" s="182">
        <v>2.0606803808999999E-2</v>
      </c>
      <c r="C116" s="182">
        <v>0.21011104449581849</v>
      </c>
      <c r="D116" s="182">
        <v>0.36846530198985222</v>
      </c>
      <c r="E116" s="211"/>
      <c r="F116" s="212"/>
      <c r="G116" s="212"/>
      <c r="H116" s="212"/>
      <c r="I116" s="213"/>
    </row>
    <row r="117" spans="1:9">
      <c r="A117" s="181" t="s">
        <v>136</v>
      </c>
      <c r="B117" s="182">
        <v>0</v>
      </c>
      <c r="C117" s="182">
        <v>1.4149173781835669</v>
      </c>
      <c r="D117" s="182">
        <v>3.3607236291928517</v>
      </c>
      <c r="E117" s="211"/>
      <c r="F117" s="212"/>
      <c r="G117" s="212"/>
      <c r="H117" s="212"/>
      <c r="I117" s="213"/>
    </row>
    <row r="118" spans="1:9">
      <c r="A118" s="181"/>
      <c r="B118" s="182"/>
      <c r="C118" s="182"/>
      <c r="D118" s="240"/>
      <c r="E118" s="211"/>
      <c r="F118" s="212"/>
      <c r="G118" s="212"/>
      <c r="H118" s="212"/>
      <c r="I118" s="213"/>
    </row>
    <row r="119" spans="1:9" ht="15.75" thickBot="1">
      <c r="A119" s="241" t="s">
        <v>10</v>
      </c>
      <c r="B119" s="242">
        <v>42.776692372461667</v>
      </c>
      <c r="C119" s="242">
        <v>33.411962830782613</v>
      </c>
      <c r="D119" s="242">
        <v>23.664254021098639</v>
      </c>
      <c r="E119" s="217">
        <v>-2.7444237679368211E-3</v>
      </c>
      <c r="F119" s="218">
        <v>-9.437605874686672E-3</v>
      </c>
      <c r="G119" s="218">
        <v>-1.4728075072347302E-2</v>
      </c>
      <c r="H119" s="218">
        <v>-1.6710065541940655E-2</v>
      </c>
      <c r="I119" s="219">
        <v>-1.7099532918173233E-2</v>
      </c>
    </row>
    <row r="120" spans="1:9">
      <c r="A120" s="195"/>
      <c r="B120" s="171"/>
    </row>
    <row r="121" spans="1:9">
      <c r="B121" s="171"/>
    </row>
    <row r="122" spans="1:9" ht="16.5" thickBot="1">
      <c r="A122" s="91" t="s">
        <v>137</v>
      </c>
      <c r="B122" s="80"/>
      <c r="C122" s="80"/>
      <c r="D122" s="80"/>
      <c r="E122" s="80"/>
      <c r="F122" s="80"/>
      <c r="G122" s="80"/>
      <c r="H122" s="80"/>
      <c r="I122" s="80"/>
    </row>
    <row r="123" spans="1:9" ht="15.75" thickBot="1">
      <c r="A123" s="177" t="s">
        <v>51</v>
      </c>
      <c r="B123" s="178">
        <v>2000</v>
      </c>
      <c r="C123" s="178">
        <v>2030</v>
      </c>
      <c r="D123" s="178">
        <v>2050</v>
      </c>
      <c r="E123" s="197" t="s">
        <v>98</v>
      </c>
      <c r="F123" s="198" t="s">
        <v>99</v>
      </c>
      <c r="G123" s="198" t="s">
        <v>100</v>
      </c>
      <c r="H123" s="198" t="s">
        <v>101</v>
      </c>
      <c r="I123" s="199" t="s">
        <v>102</v>
      </c>
    </row>
    <row r="124" spans="1:9">
      <c r="A124" s="181" t="s">
        <v>138</v>
      </c>
      <c r="B124" s="182">
        <v>30.921999999999997</v>
      </c>
      <c r="C124" s="182">
        <v>22.500670721059336</v>
      </c>
      <c r="D124" s="182">
        <v>13.334897826045292</v>
      </c>
      <c r="E124" s="203">
        <v>-7.4234907039650855E-3</v>
      </c>
      <c r="F124" s="204">
        <v>-8.746665373995377E-3</v>
      </c>
      <c r="G124" s="204">
        <v>-1.4847545609201207E-2</v>
      </c>
      <c r="H124" s="204">
        <v>-1.7334985513456469E-2</v>
      </c>
      <c r="I124" s="205">
        <v>-2.5818873523801744E-2</v>
      </c>
    </row>
    <row r="125" spans="1:9">
      <c r="A125" s="181" t="s">
        <v>139</v>
      </c>
      <c r="B125" s="182">
        <v>4.4291695783465306</v>
      </c>
      <c r="C125" s="182">
        <v>3.2293203917086788</v>
      </c>
      <c r="D125" s="182">
        <v>3.0877315221168047</v>
      </c>
      <c r="E125" s="211">
        <v>6.7392976798696935E-4</v>
      </c>
      <c r="F125" s="212">
        <v>-1.5747655193639298E-2</v>
      </c>
      <c r="G125" s="212">
        <v>-2.4532493162332081E-2</v>
      </c>
      <c r="H125" s="212">
        <v>-2.4200157746800732E-2</v>
      </c>
      <c r="I125" s="213">
        <v>-2.239240351833538E-3</v>
      </c>
    </row>
    <row r="126" spans="1:9">
      <c r="A126" s="181" t="s">
        <v>140</v>
      </c>
      <c r="B126" s="182">
        <v>2.4602635678511495</v>
      </c>
      <c r="C126" s="182">
        <v>2.6318035872293759</v>
      </c>
      <c r="D126" s="182">
        <v>2.4418703020455128</v>
      </c>
      <c r="E126" s="211">
        <v>5.899994469378278E-3</v>
      </c>
      <c r="F126" s="212">
        <v>-1.349732281475946E-4</v>
      </c>
      <c r="G126" s="212">
        <v>-1.5679524467334671E-3</v>
      </c>
      <c r="H126" s="212">
        <v>-2.4605953999589092E-3</v>
      </c>
      <c r="I126" s="213">
        <v>-3.7382514184234328E-3</v>
      </c>
    </row>
    <row r="127" spans="1:9">
      <c r="A127" s="181" t="s">
        <v>141</v>
      </c>
      <c r="B127" s="182">
        <v>0.96691652368930292</v>
      </c>
      <c r="C127" s="182">
        <v>0.32666683780059202</v>
      </c>
      <c r="D127" s="182">
        <v>0.24563663908069516</v>
      </c>
      <c r="E127" s="211">
        <v>-2.1167259936537342E-2</v>
      </c>
      <c r="F127" s="212">
        <v>-3.4973068433000298E-2</v>
      </c>
      <c r="G127" s="212">
        <v>-4.6854090106972612E-2</v>
      </c>
      <c r="H127" s="212">
        <v>-6.6919895354197623E-2</v>
      </c>
      <c r="I127" s="213">
        <v>-1.4153259431963772E-2</v>
      </c>
    </row>
    <row r="128" spans="1:9">
      <c r="A128" s="181" t="s">
        <v>142</v>
      </c>
      <c r="B128" s="182">
        <v>3.9867830846792645</v>
      </c>
      <c r="C128" s="243">
        <v>4.6048355734494608</v>
      </c>
      <c r="D128" s="243">
        <v>4.2973325560961708</v>
      </c>
      <c r="E128" s="211">
        <v>2.1497285887240869E-2</v>
      </c>
      <c r="F128" s="212">
        <v>-9.9528337628007613E-3</v>
      </c>
      <c r="G128" s="212">
        <v>-1.1626120162068321E-2</v>
      </c>
      <c r="H128" s="212">
        <v>-1.3199165099354926E-2</v>
      </c>
      <c r="I128" s="213">
        <v>-3.4496596328031925E-3</v>
      </c>
    </row>
    <row r="129" spans="1:9">
      <c r="A129" s="181" t="s">
        <v>143</v>
      </c>
      <c r="B129" s="182">
        <v>1.15596178954212E-2</v>
      </c>
      <c r="C129" s="182">
        <v>0.11866571953517088</v>
      </c>
      <c r="D129" s="182">
        <v>0.2567851757141662</v>
      </c>
      <c r="E129" s="211"/>
      <c r="F129" s="212"/>
      <c r="G129" s="212"/>
      <c r="H129" s="212"/>
      <c r="I129" s="213"/>
    </row>
    <row r="130" spans="1:9">
      <c r="A130" s="181"/>
      <c r="B130" s="182"/>
      <c r="C130" s="182"/>
      <c r="D130" s="182"/>
      <c r="E130" s="211"/>
      <c r="F130" s="212"/>
      <c r="G130" s="212"/>
      <c r="H130" s="212"/>
      <c r="I130" s="213"/>
    </row>
    <row r="131" spans="1:9" ht="15.75" thickBot="1">
      <c r="A131" s="241" t="s">
        <v>10</v>
      </c>
      <c r="B131" s="242">
        <v>42.776692372461667</v>
      </c>
      <c r="C131" s="242">
        <v>33.411962830782613</v>
      </c>
      <c r="D131" s="242">
        <v>23.664254021098639</v>
      </c>
      <c r="E131" s="217">
        <v>-2.7444237679368211E-3</v>
      </c>
      <c r="F131" s="218">
        <v>-9.437605874686672E-3</v>
      </c>
      <c r="G131" s="218">
        <v>-1.4728075072347302E-2</v>
      </c>
      <c r="H131" s="218">
        <v>-1.6710065541940655E-2</v>
      </c>
      <c r="I131" s="219">
        <v>-1.7099532918173233E-2</v>
      </c>
    </row>
    <row r="132" spans="1:9">
      <c r="A132" s="195"/>
      <c r="B132" s="171"/>
    </row>
    <row r="133" spans="1:9">
      <c r="B133" s="171"/>
    </row>
    <row r="134" spans="1:9" ht="16.5" thickBot="1">
      <c r="A134" s="91" t="s">
        <v>144</v>
      </c>
      <c r="B134" s="80"/>
      <c r="C134" s="80"/>
      <c r="D134" s="80"/>
      <c r="E134" s="80"/>
      <c r="F134" s="80"/>
      <c r="G134" s="80"/>
      <c r="H134" s="80"/>
      <c r="I134" s="80"/>
    </row>
    <row r="135" spans="1:9" ht="15.75" thickBot="1">
      <c r="A135" s="177" t="s">
        <v>51</v>
      </c>
      <c r="B135" s="178">
        <v>2000</v>
      </c>
      <c r="C135" s="178">
        <v>2030</v>
      </c>
      <c r="D135" s="178">
        <v>2050</v>
      </c>
      <c r="E135" s="197" t="s">
        <v>98</v>
      </c>
      <c r="F135" s="198" t="s">
        <v>99</v>
      </c>
      <c r="G135" s="198" t="s">
        <v>100</v>
      </c>
      <c r="H135" s="198" t="s">
        <v>101</v>
      </c>
      <c r="I135" s="199" t="s">
        <v>102</v>
      </c>
    </row>
    <row r="136" spans="1:9">
      <c r="A136" s="181" t="s">
        <v>103</v>
      </c>
      <c r="B136" s="182">
        <v>9.0758812906337827</v>
      </c>
      <c r="C136" s="182">
        <v>1.7531094981983244</v>
      </c>
      <c r="D136" s="182">
        <v>0.16876038587276018</v>
      </c>
      <c r="E136" s="203">
        <v>-2.0025322165468706E-2</v>
      </c>
      <c r="F136" s="204">
        <v>-3.2227817829655558E-2</v>
      </c>
      <c r="G136" s="204">
        <v>-7.0138912602095926E-2</v>
      </c>
      <c r="H136" s="204">
        <v>-0.15013826160384491</v>
      </c>
      <c r="I136" s="205">
        <v>-0.11044445054685692</v>
      </c>
    </row>
    <row r="137" spans="1:9">
      <c r="A137" s="181" t="s">
        <v>54</v>
      </c>
      <c r="B137" s="182">
        <v>15.00569239050041</v>
      </c>
      <c r="C137" s="182">
        <v>10.440933334102589</v>
      </c>
      <c r="D137" s="182">
        <v>3.2906931433531605</v>
      </c>
      <c r="E137" s="211">
        <v>-2.1281407827751231E-3</v>
      </c>
      <c r="F137" s="212">
        <v>-1.2914478704932786E-2</v>
      </c>
      <c r="G137" s="212">
        <v>-2.6139052164786847E-2</v>
      </c>
      <c r="H137" s="212">
        <v>-2.6310250168805283E-2</v>
      </c>
      <c r="I137" s="213">
        <v>-5.6096920086786795E-2</v>
      </c>
    </row>
    <row r="138" spans="1:9">
      <c r="A138" s="181" t="s">
        <v>42</v>
      </c>
      <c r="B138" s="182">
        <v>5.9999999999999984E-2</v>
      </c>
      <c r="C138" s="182">
        <v>0</v>
      </c>
      <c r="D138" s="182">
        <v>0</v>
      </c>
      <c r="E138" s="211">
        <v>-1</v>
      </c>
      <c r="F138" s="212" t="e">
        <v>#DIV/0!</v>
      </c>
      <c r="G138" s="212" t="e">
        <v>#DIV/0!</v>
      </c>
      <c r="H138" s="212" t="e">
        <v>#DIV/0!</v>
      </c>
      <c r="I138" s="213" t="e">
        <v>#DIV/0!</v>
      </c>
    </row>
    <row r="139" spans="1:9">
      <c r="A139" s="181" t="s">
        <v>104</v>
      </c>
      <c r="B139" s="182">
        <v>5.6012005714152586</v>
      </c>
      <c r="C139" s="182">
        <v>7.0563272428827135</v>
      </c>
      <c r="D139" s="182">
        <v>6.5333467265200591</v>
      </c>
      <c r="E139" s="211">
        <v>2.0889974020766644E-2</v>
      </c>
      <c r="F139" s="212">
        <v>-6.7035005843146811E-3</v>
      </c>
      <c r="G139" s="212">
        <v>-2.2857963979989737E-3</v>
      </c>
      <c r="H139" s="212">
        <v>-6.797871084570084E-3</v>
      </c>
      <c r="I139" s="213">
        <v>-3.8428656227995628E-3</v>
      </c>
    </row>
    <row r="140" spans="1:9">
      <c r="A140" s="181" t="s">
        <v>105</v>
      </c>
      <c r="B140" s="182">
        <v>1.7520381736811979</v>
      </c>
      <c r="C140" s="182">
        <v>2.2479759646467494</v>
      </c>
      <c r="D140" s="182">
        <v>2.1939463906381054</v>
      </c>
      <c r="E140" s="211">
        <v>-1.8434293198953178E-2</v>
      </c>
      <c r="F140" s="212">
        <v>1.069332772347642E-2</v>
      </c>
      <c r="G140" s="212">
        <v>5.8278074544066305E-2</v>
      </c>
      <c r="H140" s="212">
        <v>3.9135763206619822E-2</v>
      </c>
      <c r="I140" s="213">
        <v>-1.2156761197724686E-3</v>
      </c>
    </row>
    <row r="141" spans="1:9">
      <c r="A141" s="181" t="s">
        <v>134</v>
      </c>
      <c r="B141" s="182">
        <v>6.296013916158028</v>
      </c>
      <c r="C141" s="182">
        <v>5.2384202374876301</v>
      </c>
      <c r="D141" s="182">
        <v>2.9485640726408189</v>
      </c>
      <c r="E141" s="211">
        <v>-2.6273586664713022E-2</v>
      </c>
      <c r="F141" s="212">
        <v>1.4107082876768207E-2</v>
      </c>
      <c r="G141" s="212">
        <v>8.8631964133378816E-3</v>
      </c>
      <c r="H141" s="212">
        <v>2.0469393296532301E-2</v>
      </c>
      <c r="I141" s="213">
        <v>-2.8326157420179299E-2</v>
      </c>
    </row>
    <row r="142" spans="1:9">
      <c r="A142" s="181" t="s">
        <v>135</v>
      </c>
      <c r="B142" s="182">
        <v>2.0606803808999999E-2</v>
      </c>
      <c r="C142" s="182">
        <v>0.21011104449581849</v>
      </c>
      <c r="D142" s="182">
        <v>0.36846530198985222</v>
      </c>
      <c r="E142" s="211"/>
      <c r="F142" s="212"/>
      <c r="G142" s="212"/>
      <c r="H142" s="212"/>
      <c r="I142" s="213"/>
    </row>
    <row r="143" spans="1:9">
      <c r="A143" s="181" t="s">
        <v>136</v>
      </c>
      <c r="B143" s="182">
        <v>0</v>
      </c>
      <c r="C143" s="182">
        <v>1.4149173781835669</v>
      </c>
      <c r="D143" s="182">
        <v>3.3607236291928517</v>
      </c>
      <c r="E143" s="211"/>
      <c r="F143" s="212"/>
      <c r="G143" s="212"/>
      <c r="H143" s="212"/>
      <c r="I143" s="213"/>
    </row>
    <row r="144" spans="1:9">
      <c r="A144" s="181"/>
      <c r="B144" s="182"/>
      <c r="C144" s="182"/>
      <c r="D144" s="244"/>
      <c r="E144" s="211"/>
      <c r="F144" s="212"/>
      <c r="G144" s="212"/>
      <c r="H144" s="212"/>
      <c r="I144" s="213"/>
    </row>
    <row r="145" spans="1:15" ht="15.75" thickBot="1">
      <c r="A145" s="241" t="s">
        <v>10</v>
      </c>
      <c r="B145" s="242">
        <v>37.811433146197679</v>
      </c>
      <c r="C145" s="242">
        <v>28.36179469999739</v>
      </c>
      <c r="D145" s="242">
        <v>18.864499650207609</v>
      </c>
      <c r="E145" s="217">
        <v>-5.4920684513537488E-3</v>
      </c>
      <c r="F145" s="218">
        <v>-8.9575079206613006E-3</v>
      </c>
      <c r="G145" s="218">
        <v>-1.492600821646517E-2</v>
      </c>
      <c r="H145" s="218">
        <v>-1.6812763244704709E-2</v>
      </c>
      <c r="I145" s="219">
        <v>-2.0181626445999301E-2</v>
      </c>
    </row>
    <row r="146" spans="1:15">
      <c r="B146" s="245"/>
      <c r="C146" s="245"/>
      <c r="D146" s="245"/>
    </row>
    <row r="147" spans="1:15">
      <c r="B147" s="171"/>
    </row>
    <row r="148" spans="1:15" ht="16.5" thickBot="1">
      <c r="A148" s="91" t="s">
        <v>145</v>
      </c>
      <c r="B148" s="80"/>
      <c r="C148" s="80"/>
      <c r="D148" s="80"/>
      <c r="E148" s="80"/>
      <c r="F148" s="80"/>
      <c r="G148" s="80"/>
      <c r="H148" s="80"/>
      <c r="I148" s="80"/>
    </row>
    <row r="149" spans="1:15" ht="15.75" thickBot="1">
      <c r="A149" s="177" t="s">
        <v>51</v>
      </c>
      <c r="B149" s="178">
        <v>2000</v>
      </c>
      <c r="C149" s="178">
        <v>2030</v>
      </c>
      <c r="D149" s="178">
        <v>2050</v>
      </c>
      <c r="E149" s="197" t="s">
        <v>98</v>
      </c>
      <c r="F149" s="198" t="s">
        <v>99</v>
      </c>
      <c r="G149" s="198" t="s">
        <v>100</v>
      </c>
      <c r="H149" s="198" t="s">
        <v>101</v>
      </c>
      <c r="I149" s="199" t="s">
        <v>102</v>
      </c>
    </row>
    <row r="150" spans="1:15">
      <c r="A150" s="181" t="s">
        <v>103</v>
      </c>
      <c r="B150" s="209">
        <v>7.419999999999999</v>
      </c>
      <c r="C150" s="209">
        <v>1.4747347028987237</v>
      </c>
      <c r="D150" s="209">
        <v>2.6442678991241385E-2</v>
      </c>
      <c r="E150" s="203">
        <v>-1.6427255683063358E-2</v>
      </c>
      <c r="F150" s="204">
        <v>-3.1228926371364762E-2</v>
      </c>
      <c r="G150" s="204">
        <v>-6.4381783838255324E-2</v>
      </c>
      <c r="H150" s="204">
        <v>-0.1606893947818594</v>
      </c>
      <c r="I150" s="205">
        <v>-0.18213885227406568</v>
      </c>
      <c r="K150" s="186"/>
      <c r="L150" s="186"/>
      <c r="M150" s="186"/>
      <c r="N150" s="186"/>
      <c r="O150" s="186"/>
    </row>
    <row r="151" spans="1:15">
      <c r="A151" s="181" t="s">
        <v>54</v>
      </c>
      <c r="B151" s="209">
        <v>12.597999999999999</v>
      </c>
      <c r="C151" s="209">
        <v>8.8503380795888198</v>
      </c>
      <c r="D151" s="209">
        <v>2.6025353532341691</v>
      </c>
      <c r="E151" s="211">
        <v>-3.4896702378731659E-3</v>
      </c>
      <c r="F151" s="212">
        <v>-1.0807408382239592E-2</v>
      </c>
      <c r="G151" s="212">
        <v>-2.2961238068195833E-2</v>
      </c>
      <c r="H151" s="212">
        <v>-2.5698014261145707E-2</v>
      </c>
      <c r="I151" s="213">
        <v>-5.9363474109113468E-2</v>
      </c>
      <c r="K151" s="186"/>
      <c r="L151" s="186"/>
      <c r="M151" s="186"/>
      <c r="N151" s="186"/>
      <c r="O151" s="186"/>
    </row>
    <row r="152" spans="1:15">
      <c r="A152" s="181" t="s">
        <v>42</v>
      </c>
      <c r="B152" s="209">
        <v>5.9999999999999984E-2</v>
      </c>
      <c r="C152" s="209">
        <v>0</v>
      </c>
      <c r="D152" s="209">
        <v>0</v>
      </c>
      <c r="E152" s="211">
        <v>-1</v>
      </c>
      <c r="F152" s="212" t="e">
        <v>#DIV/0!</v>
      </c>
      <c r="G152" s="212" t="e">
        <v>#DIV/0!</v>
      </c>
      <c r="H152" s="212" t="e">
        <v>#DIV/0!</v>
      </c>
      <c r="I152" s="213" t="e">
        <v>#DIV/0!</v>
      </c>
      <c r="K152" s="186"/>
      <c r="L152" s="186"/>
      <c r="M152" s="186"/>
      <c r="N152" s="186"/>
      <c r="O152" s="186"/>
    </row>
    <row r="153" spans="1:15">
      <c r="A153" s="181" t="s">
        <v>104</v>
      </c>
      <c r="B153" s="209">
        <v>3.2039999999999997</v>
      </c>
      <c r="C153" s="209">
        <v>4.0420967368038268</v>
      </c>
      <c r="D153" s="209">
        <v>3.7768270518388043</v>
      </c>
      <c r="E153" s="211">
        <v>2.0597497716569713E-2</v>
      </c>
      <c r="F153" s="212">
        <v>-1.169912325353617E-2</v>
      </c>
      <c r="G153" s="212">
        <v>-7.0534850499125445E-3</v>
      </c>
      <c r="H153" s="212">
        <v>4.1632079944096123E-3</v>
      </c>
      <c r="I153" s="213">
        <v>-3.3882119483982232E-3</v>
      </c>
      <c r="K153" s="186"/>
      <c r="L153" s="186"/>
      <c r="M153" s="186"/>
      <c r="N153" s="186"/>
      <c r="O153" s="186"/>
    </row>
    <row r="154" spans="1:15">
      <c r="A154" s="181" t="s">
        <v>105</v>
      </c>
      <c r="B154" s="209">
        <v>1.4529999999999996</v>
      </c>
      <c r="C154" s="209">
        <v>1.9720785727840835</v>
      </c>
      <c r="D154" s="209">
        <v>1.8616546833395884</v>
      </c>
      <c r="E154" s="211">
        <v>-1.5224144092485292E-2</v>
      </c>
      <c r="F154" s="212">
        <v>1.0977516911398588E-2</v>
      </c>
      <c r="G154" s="212">
        <v>5.9014248243384193E-2</v>
      </c>
      <c r="H154" s="212">
        <v>3.9623869915116794E-2</v>
      </c>
      <c r="I154" s="213">
        <v>-2.8769731902446027E-3</v>
      </c>
      <c r="K154" s="186"/>
      <c r="L154" s="186"/>
      <c r="M154" s="186"/>
      <c r="N154" s="186"/>
      <c r="O154" s="186"/>
    </row>
    <row r="155" spans="1:15">
      <c r="A155" s="181" t="s">
        <v>134</v>
      </c>
      <c r="B155" s="209">
        <v>6.1869999999999994</v>
      </c>
      <c r="C155" s="209">
        <v>5.1647007675103076</v>
      </c>
      <c r="D155" s="209">
        <v>2.7894652745050434</v>
      </c>
      <c r="E155" s="211">
        <v>-2.5643991614806461E-2</v>
      </c>
      <c r="F155" s="212">
        <v>1.3807971430595201E-2</v>
      </c>
      <c r="G155" s="212">
        <v>9.0625693320669498E-3</v>
      </c>
      <c r="H155" s="212">
        <v>1.9262881255199593E-2</v>
      </c>
      <c r="I155" s="213">
        <v>-3.0330378926955448E-2</v>
      </c>
      <c r="K155" s="186"/>
      <c r="L155" s="186"/>
      <c r="M155" s="186"/>
      <c r="N155" s="186"/>
      <c r="O155" s="186"/>
    </row>
    <row r="156" spans="1:15">
      <c r="A156" s="181" t="s">
        <v>136</v>
      </c>
      <c r="B156" s="209">
        <v>0</v>
      </c>
      <c r="C156" s="209">
        <v>0.99672186147357433</v>
      </c>
      <c r="D156" s="209">
        <v>2.2779727841364443</v>
      </c>
      <c r="E156" s="211"/>
      <c r="F156" s="212"/>
      <c r="G156" s="212"/>
      <c r="H156" s="212"/>
      <c r="I156" s="213"/>
      <c r="K156" s="186"/>
      <c r="L156" s="186"/>
      <c r="M156" s="186"/>
      <c r="N156" s="186"/>
      <c r="O156" s="186"/>
    </row>
    <row r="157" spans="1:15">
      <c r="A157" s="181"/>
      <c r="B157" s="182"/>
      <c r="C157" s="182"/>
      <c r="D157" s="244"/>
      <c r="E157" s="211"/>
      <c r="F157" s="212"/>
      <c r="G157" s="212"/>
      <c r="H157" s="212"/>
      <c r="I157" s="213"/>
      <c r="K157" s="186"/>
      <c r="L157" s="186"/>
      <c r="M157" s="186"/>
      <c r="N157" s="186"/>
      <c r="O157" s="186"/>
    </row>
    <row r="158" spans="1:15" ht="15.75" thickBot="1">
      <c r="A158" s="241" t="s">
        <v>10</v>
      </c>
      <c r="B158" s="242">
        <v>30.921999999999997</v>
      </c>
      <c r="C158" s="242">
        <v>22.500670721059336</v>
      </c>
      <c r="D158" s="242">
        <v>13.334897826045292</v>
      </c>
      <c r="E158" s="217">
        <v>-7.4234907039650855E-3</v>
      </c>
      <c r="F158" s="218">
        <v>-8.746665373995377E-3</v>
      </c>
      <c r="G158" s="218">
        <v>-1.4847545609201207E-2</v>
      </c>
      <c r="H158" s="218">
        <v>-1.7334985513456469E-2</v>
      </c>
      <c r="I158" s="219">
        <v>-2.5818873523801744E-2</v>
      </c>
      <c r="K158" s="186"/>
      <c r="L158" s="186"/>
      <c r="M158" s="186"/>
      <c r="N158" s="186"/>
      <c r="O158" s="186"/>
    </row>
    <row r="159" spans="1:15">
      <c r="A159" s="195"/>
      <c r="B159" s="171"/>
    </row>
    <row r="160" spans="1:15">
      <c r="A160" s="195"/>
      <c r="B160" s="171"/>
    </row>
    <row r="161" spans="1:14" ht="16.5" thickBot="1">
      <c r="A161" s="91" t="s">
        <v>146</v>
      </c>
      <c r="B161" s="80"/>
      <c r="C161" s="80"/>
      <c r="D161" s="80"/>
      <c r="E161" s="80"/>
      <c r="F161" s="80"/>
      <c r="G161" s="80"/>
      <c r="H161" s="80"/>
      <c r="I161" s="80"/>
    </row>
    <row r="162" spans="1:14" ht="15.75" thickBot="1">
      <c r="A162" s="246" t="s">
        <v>51</v>
      </c>
      <c r="B162" s="178">
        <v>2000</v>
      </c>
      <c r="C162" s="178">
        <v>2030</v>
      </c>
      <c r="D162" s="178">
        <v>2050</v>
      </c>
      <c r="E162" s="197" t="s">
        <v>98</v>
      </c>
      <c r="F162" s="198" t="s">
        <v>99</v>
      </c>
      <c r="G162" s="198" t="s">
        <v>100</v>
      </c>
      <c r="H162" s="198" t="s">
        <v>101</v>
      </c>
      <c r="I162" s="199" t="s">
        <v>102</v>
      </c>
    </row>
    <row r="163" spans="1:14">
      <c r="A163" s="181" t="s">
        <v>103</v>
      </c>
      <c r="B163" s="209">
        <v>0.97712473473756067</v>
      </c>
      <c r="C163" s="209">
        <v>0</v>
      </c>
      <c r="D163" s="209">
        <v>0</v>
      </c>
      <c r="E163" s="203">
        <v>-7.6726937555410157E-2</v>
      </c>
      <c r="F163" s="204">
        <v>-9.149976885014921E-2</v>
      </c>
      <c r="G163" s="204">
        <v>-1</v>
      </c>
      <c r="H163" s="204" t="e">
        <v>#DIV/0!</v>
      </c>
      <c r="I163" s="205" t="e">
        <v>#DIV/0!</v>
      </c>
      <c r="K163" s="186"/>
      <c r="L163" s="186"/>
      <c r="M163" s="186"/>
      <c r="N163" s="186"/>
    </row>
    <row r="164" spans="1:14">
      <c r="A164" s="181" t="s">
        <v>54</v>
      </c>
      <c r="B164" s="209">
        <v>1.4521853785454846</v>
      </c>
      <c r="C164" s="209">
        <v>1.0316600449254005</v>
      </c>
      <c r="D164" s="209">
        <v>0.3061471032264938</v>
      </c>
      <c r="E164" s="211">
        <v>7.8195177509521319E-3</v>
      </c>
      <c r="F164" s="212">
        <v>-2.2220963498156499E-2</v>
      </c>
      <c r="G164" s="212">
        <v>-3.7220124014459954E-2</v>
      </c>
      <c r="H164" s="212">
        <v>-3.0859171722235068E-2</v>
      </c>
      <c r="I164" s="213">
        <v>-5.8934879326727141E-2</v>
      </c>
      <c r="K164" s="186"/>
      <c r="L164" s="186"/>
      <c r="M164" s="186"/>
      <c r="N164" s="186"/>
    </row>
    <row r="165" spans="1:14">
      <c r="A165" s="181" t="s">
        <v>42</v>
      </c>
      <c r="B165" s="209">
        <v>0</v>
      </c>
      <c r="C165" s="209">
        <v>0</v>
      </c>
      <c r="D165" s="209">
        <v>0</v>
      </c>
      <c r="E165" s="211" t="e">
        <v>#DIV/0!</v>
      </c>
      <c r="F165" s="212" t="e">
        <v>#DIV/0!</v>
      </c>
      <c r="G165" s="212" t="e">
        <v>#DIV/0!</v>
      </c>
      <c r="H165" s="212" t="e">
        <v>#DIV/0!</v>
      </c>
      <c r="I165" s="213" t="e">
        <v>#DIV/0!</v>
      </c>
      <c r="K165" s="186"/>
      <c r="L165" s="186"/>
      <c r="M165" s="186"/>
      <c r="N165" s="186"/>
    </row>
    <row r="166" spans="1:14">
      <c r="A166" s="181" t="s">
        <v>104</v>
      </c>
      <c r="B166" s="209">
        <v>1.571200571415259</v>
      </c>
      <c r="C166" s="209">
        <v>1.2197369237374784</v>
      </c>
      <c r="D166" s="209">
        <v>0.83897776640975896</v>
      </c>
      <c r="E166" s="211">
        <v>2.1613189758759255E-2</v>
      </c>
      <c r="F166" s="212">
        <v>-1.5432635694312302E-2</v>
      </c>
      <c r="G166" s="212">
        <v>-2.8502993520950093E-2</v>
      </c>
      <c r="H166" s="212">
        <v>-6.7904241465863602E-2</v>
      </c>
      <c r="I166" s="213">
        <v>-1.853636227569555E-2</v>
      </c>
      <c r="K166" s="186"/>
      <c r="L166" s="186"/>
      <c r="M166" s="186"/>
      <c r="N166" s="186"/>
    </row>
    <row r="167" spans="1:14">
      <c r="A167" s="181" t="s">
        <v>105</v>
      </c>
      <c r="B167" s="209">
        <v>0.29903817368119823</v>
      </c>
      <c r="C167" s="209">
        <v>0.27589739186266604</v>
      </c>
      <c r="D167" s="209">
        <v>0.33229170729851704</v>
      </c>
      <c r="E167" s="211">
        <v>-3.6559724951000128E-2</v>
      </c>
      <c r="F167" s="212">
        <v>8.7669777437231478E-3</v>
      </c>
      <c r="G167" s="212">
        <v>5.3199593822560898E-2</v>
      </c>
      <c r="H167" s="212">
        <v>3.5686369670621776E-2</v>
      </c>
      <c r="I167" s="213">
        <v>9.342581567002517E-3</v>
      </c>
      <c r="K167" s="186"/>
      <c r="L167" s="186"/>
      <c r="M167" s="186"/>
      <c r="N167" s="186"/>
    </row>
    <row r="168" spans="1:14">
      <c r="A168" s="181" t="s">
        <v>134</v>
      </c>
      <c r="B168" s="209">
        <v>0.10901391615802879</v>
      </c>
      <c r="C168" s="209">
        <v>7.371946997732283E-2</v>
      </c>
      <c r="D168" s="209">
        <v>0.15909879813577535</v>
      </c>
      <c r="E168" s="211"/>
      <c r="F168" s="212"/>
      <c r="G168" s="212"/>
      <c r="H168" s="212"/>
      <c r="I168" s="213"/>
      <c r="K168" s="186"/>
      <c r="L168" s="186"/>
      <c r="M168" s="186"/>
      <c r="N168" s="186"/>
    </row>
    <row r="169" spans="1:14">
      <c r="A169" s="181" t="s">
        <v>135</v>
      </c>
      <c r="B169" s="209">
        <v>2.0606803808999999E-2</v>
      </c>
      <c r="C169" s="209">
        <v>0.21011104449581849</v>
      </c>
      <c r="D169" s="209">
        <v>0.36846530198985222</v>
      </c>
      <c r="E169" s="211">
        <v>0.10386437812593452</v>
      </c>
      <c r="F169" s="212">
        <v>7.8896283493349095E-2</v>
      </c>
      <c r="G169" s="212">
        <v>5.4595526256296045E-2</v>
      </c>
      <c r="H169" s="212">
        <v>3.9620586738793317E-2</v>
      </c>
      <c r="I169" s="213">
        <v>2.8483635181664413E-2</v>
      </c>
      <c r="K169" s="186"/>
      <c r="L169" s="186"/>
      <c r="M169" s="186"/>
      <c r="N169" s="186"/>
    </row>
    <row r="170" spans="1:14">
      <c r="A170" s="181" t="s">
        <v>136</v>
      </c>
      <c r="B170" s="209">
        <v>0</v>
      </c>
      <c r="C170" s="209">
        <v>0.41819551670999261</v>
      </c>
      <c r="D170" s="209">
        <v>1.0827508450564076</v>
      </c>
      <c r="E170" s="211"/>
      <c r="F170" s="212"/>
      <c r="G170" s="212"/>
      <c r="H170" s="212"/>
      <c r="I170" s="213"/>
      <c r="K170" s="186"/>
      <c r="L170" s="186"/>
      <c r="M170" s="186"/>
      <c r="N170" s="186"/>
    </row>
    <row r="171" spans="1:14">
      <c r="A171" s="181"/>
      <c r="B171" s="182"/>
      <c r="C171" s="182"/>
      <c r="D171" s="182"/>
      <c r="E171" s="211"/>
      <c r="F171" s="212"/>
      <c r="G171" s="212"/>
      <c r="H171" s="212"/>
      <c r="I171" s="213"/>
      <c r="K171" s="186"/>
      <c r="L171" s="186"/>
      <c r="M171" s="186"/>
      <c r="N171" s="186"/>
    </row>
    <row r="172" spans="1:14" ht="15.75" thickBot="1">
      <c r="A172" s="241" t="s">
        <v>10</v>
      </c>
      <c r="B172" s="242">
        <v>4.4291695783465306</v>
      </c>
      <c r="C172" s="247">
        <v>3.2293203917086788</v>
      </c>
      <c r="D172" s="247">
        <v>3.0877315221168047</v>
      </c>
      <c r="E172" s="217">
        <v>6.7392976798696935E-4</v>
      </c>
      <c r="F172" s="218">
        <v>-1.5747655193639298E-2</v>
      </c>
      <c r="G172" s="218">
        <v>-2.4532493162332081E-2</v>
      </c>
      <c r="H172" s="218">
        <v>-2.4200157746800732E-2</v>
      </c>
      <c r="I172" s="219">
        <v>-2.239240351833538E-3</v>
      </c>
      <c r="K172" s="186"/>
      <c r="L172" s="186"/>
      <c r="M172" s="186"/>
      <c r="N172" s="186"/>
    </row>
    <row r="173" spans="1:14">
      <c r="A173" s="195"/>
      <c r="B173" s="171"/>
    </row>
    <row r="174" spans="1:14">
      <c r="B174" s="171"/>
    </row>
    <row r="175" spans="1:14" ht="16.5" thickBot="1">
      <c r="A175" s="91" t="s">
        <v>147</v>
      </c>
      <c r="B175" s="80"/>
      <c r="C175" s="80"/>
      <c r="D175" s="80"/>
      <c r="E175" s="80"/>
      <c r="F175" s="80"/>
      <c r="G175" s="80"/>
      <c r="H175" s="80"/>
      <c r="I175" s="80"/>
    </row>
    <row r="176" spans="1:14" ht="15.75" thickBot="1">
      <c r="A176" s="177" t="s">
        <v>51</v>
      </c>
      <c r="B176" s="178">
        <v>2000</v>
      </c>
      <c r="C176" s="178">
        <v>2030</v>
      </c>
      <c r="D176" s="178">
        <v>2050</v>
      </c>
      <c r="E176" s="197" t="s">
        <v>98</v>
      </c>
      <c r="F176" s="198" t="s">
        <v>99</v>
      </c>
      <c r="G176" s="198" t="s">
        <v>100</v>
      </c>
      <c r="H176" s="198" t="s">
        <v>101</v>
      </c>
      <c r="I176" s="199" t="s">
        <v>102</v>
      </c>
    </row>
    <row r="177" spans="1:18">
      <c r="A177" s="181" t="s">
        <v>103</v>
      </c>
      <c r="B177" s="209">
        <v>0.67875655589622275</v>
      </c>
      <c r="C177" s="209">
        <v>0.2783747952996008</v>
      </c>
      <c r="D177" s="209">
        <v>0.14231770688151879</v>
      </c>
      <c r="E177" s="203">
        <v>-6.2452325127548836E-3</v>
      </c>
      <c r="F177" s="204">
        <v>-1.7044673184611447E-2</v>
      </c>
      <c r="G177" s="204">
        <v>-6.1187438802784877E-2</v>
      </c>
      <c r="H177" s="204">
        <v>-7.608327939658166E-2</v>
      </c>
      <c r="I177" s="205">
        <v>-3.2988917577112642E-2</v>
      </c>
      <c r="K177" s="248"/>
      <c r="L177" s="248"/>
      <c r="M177" s="248"/>
      <c r="N177" s="248"/>
      <c r="O177" s="248"/>
      <c r="P177" s="248"/>
      <c r="Q177" s="248"/>
      <c r="R177" s="248"/>
    </row>
    <row r="178" spans="1:18">
      <c r="A178" s="181" t="s">
        <v>54</v>
      </c>
      <c r="B178" s="209">
        <v>0.95550701195492693</v>
      </c>
      <c r="C178" s="209">
        <v>0.5589352095883674</v>
      </c>
      <c r="D178" s="209">
        <v>0.38201068689249773</v>
      </c>
      <c r="E178" s="211">
        <v>-5.8463777549722096E-4</v>
      </c>
      <c r="F178" s="212">
        <v>-2.4137047881651941E-2</v>
      </c>
      <c r="G178" s="212">
        <v>-5.1812400269630299E-2</v>
      </c>
      <c r="H178" s="212">
        <v>-2.7466984642139591E-2</v>
      </c>
      <c r="I178" s="213">
        <v>-1.8849335751053742E-2</v>
      </c>
      <c r="K178" s="248"/>
      <c r="L178" s="248"/>
      <c r="M178" s="248"/>
      <c r="N178" s="248"/>
      <c r="O178" s="248"/>
      <c r="P178" s="248"/>
      <c r="Q178" s="248"/>
      <c r="R178" s="248"/>
    </row>
    <row r="179" spans="1:18">
      <c r="A179" s="181" t="s">
        <v>104</v>
      </c>
      <c r="B179" s="209">
        <v>0.82600000000000007</v>
      </c>
      <c r="C179" s="209">
        <v>1.7944935823414079</v>
      </c>
      <c r="D179" s="209">
        <v>1.9175419082714962</v>
      </c>
      <c r="E179" s="211">
        <v>2.0639238204596122E-2</v>
      </c>
      <c r="F179" s="212">
        <v>2.6695803050380995E-2</v>
      </c>
      <c r="G179" s="212">
        <v>4.6715482882137893E-2</v>
      </c>
      <c r="H179" s="212">
        <v>2.2127694242718876E-2</v>
      </c>
      <c r="I179" s="213">
        <v>3.3215669382815616E-3</v>
      </c>
      <c r="K179" s="248"/>
      <c r="L179" s="248"/>
      <c r="M179" s="248"/>
      <c r="N179" s="248"/>
      <c r="O179" s="222"/>
      <c r="P179" s="248"/>
      <c r="Q179" s="248"/>
      <c r="R179" s="248"/>
    </row>
    <row r="180" spans="1:18">
      <c r="A180" s="181"/>
      <c r="B180" s="182"/>
      <c r="C180" s="182"/>
      <c r="D180" s="243"/>
      <c r="E180" s="211"/>
      <c r="F180" s="212"/>
      <c r="G180" s="212"/>
      <c r="H180" s="212"/>
      <c r="I180" s="213"/>
    </row>
    <row r="181" spans="1:18" ht="15.75" thickBot="1">
      <c r="A181" s="241" t="s">
        <v>10</v>
      </c>
      <c r="B181" s="242">
        <v>2.4602635678511495</v>
      </c>
      <c r="C181" s="247">
        <v>2.6318035872293759</v>
      </c>
      <c r="D181" s="247">
        <v>2.4418703020455128</v>
      </c>
      <c r="E181" s="217">
        <v>5.899994469378278E-3</v>
      </c>
      <c r="F181" s="218">
        <v>-1.349732281475946E-4</v>
      </c>
      <c r="G181" s="218">
        <v>-1.5679524467334671E-3</v>
      </c>
      <c r="H181" s="218">
        <v>-2.4605953999589092E-3</v>
      </c>
      <c r="I181" s="219">
        <v>-3.7382514184234328E-3</v>
      </c>
    </row>
    <row r="182" spans="1:18">
      <c r="B182" s="171"/>
    </row>
    <row r="183" spans="1:18">
      <c r="B183" s="171"/>
    </row>
    <row r="184" spans="1:18" ht="16.5" thickBot="1">
      <c r="A184" s="91" t="s">
        <v>148</v>
      </c>
      <c r="B184" s="80"/>
      <c r="C184" s="80"/>
      <c r="D184" s="80"/>
      <c r="E184" s="80"/>
      <c r="F184" s="80"/>
      <c r="G184" s="80"/>
      <c r="H184" s="80"/>
      <c r="I184" s="80"/>
    </row>
    <row r="185" spans="1:18" ht="15.75" thickBot="1">
      <c r="A185" s="177"/>
      <c r="B185" s="178">
        <v>2000</v>
      </c>
      <c r="C185" s="178">
        <v>2030</v>
      </c>
      <c r="D185" s="178">
        <v>2050</v>
      </c>
      <c r="E185" s="197" t="s">
        <v>98</v>
      </c>
      <c r="F185" s="198" t="s">
        <v>99</v>
      </c>
      <c r="G185" s="198" t="s">
        <v>100</v>
      </c>
      <c r="H185" s="198" t="s">
        <v>101</v>
      </c>
      <c r="I185" s="199" t="s">
        <v>102</v>
      </c>
    </row>
    <row r="186" spans="1:18">
      <c r="A186" s="181" t="s">
        <v>149</v>
      </c>
      <c r="B186" s="249">
        <v>24.33355382834463</v>
      </c>
      <c r="C186" s="249">
        <v>31.676713168911213</v>
      </c>
      <c r="D186" s="249">
        <v>34.886850350703753</v>
      </c>
      <c r="E186" s="211">
        <v>1.0211294832557005E-2</v>
      </c>
      <c r="F186" s="212">
        <v>7.970163359137139E-3</v>
      </c>
      <c r="G186" s="212">
        <v>7.1968213529980396E-3</v>
      </c>
      <c r="H186" s="212">
        <v>7.1826391154925506E-3</v>
      </c>
      <c r="I186" s="213">
        <v>4.8380742114828568E-3</v>
      </c>
    </row>
    <row r="187" spans="1:18">
      <c r="A187" s="181" t="s">
        <v>150</v>
      </c>
      <c r="B187" s="250">
        <v>0.72677787849505027</v>
      </c>
      <c r="C187" s="250">
        <v>0.47158271606779512</v>
      </c>
      <c r="D187" s="250">
        <v>0.2872667690901376</v>
      </c>
      <c r="E187" s="211">
        <v>-9.0821706173750405E-3</v>
      </c>
      <c r="F187" s="212">
        <v>-1.4708755643135452E-2</v>
      </c>
      <c r="G187" s="212">
        <v>-2.0448549698030338E-2</v>
      </c>
      <c r="H187" s="212">
        <v>-2.3378159160086009E-2</v>
      </c>
      <c r="I187" s="213">
        <v>-2.4479555597915037E-2</v>
      </c>
    </row>
    <row r="188" spans="1:18">
      <c r="A188" s="181" t="s">
        <v>151</v>
      </c>
      <c r="B188" s="251">
        <v>2087.8712740325814</v>
      </c>
      <c r="C188" s="251">
        <v>2097.7632981649776</v>
      </c>
      <c r="D188" s="251">
        <v>1951.6980386195353</v>
      </c>
      <c r="E188" s="211">
        <v>1.2345793868838273E-2</v>
      </c>
      <c r="F188" s="212">
        <v>-1.2812555216551225E-2</v>
      </c>
      <c r="G188" s="212">
        <v>-9.9516231025180701E-3</v>
      </c>
      <c r="H188" s="212">
        <v>-1.2884741805356259E-2</v>
      </c>
      <c r="I188" s="213">
        <v>-3.6020917613875936E-3</v>
      </c>
    </row>
    <row r="189" spans="1:18" ht="15.75" thickBot="1">
      <c r="A189" s="190" t="s">
        <v>152</v>
      </c>
      <c r="B189" s="252">
        <v>4.7055972739865524E-2</v>
      </c>
      <c r="C189" s="252">
        <v>2.4256523315956641E-2</v>
      </c>
      <c r="D189" s="252">
        <v>1.2263101535418508E-2</v>
      </c>
      <c r="E189" s="217">
        <v>-1.6091354362357646E-2</v>
      </c>
      <c r="F189" s="218">
        <v>-2.5037013656187712E-2</v>
      </c>
      <c r="G189" s="218">
        <v>-2.7372236004291395E-2</v>
      </c>
      <c r="H189" s="218">
        <v>-3.0286060692249261E-2</v>
      </c>
      <c r="I189" s="219">
        <v>-3.3529530892992265E-2</v>
      </c>
    </row>
    <row r="190" spans="1:18">
      <c r="A190" s="238"/>
      <c r="C190" s="170"/>
    </row>
    <row r="191" spans="1:18">
      <c r="C191" s="170"/>
    </row>
    <row r="192" spans="1:18" ht="21">
      <c r="A192" s="78" t="s">
        <v>153</v>
      </c>
      <c r="B192" s="73"/>
      <c r="C192" s="73"/>
      <c r="D192" s="239"/>
      <c r="E192" s="239"/>
      <c r="F192" s="239"/>
      <c r="G192" s="239"/>
      <c r="H192" s="239"/>
      <c r="I192" s="239"/>
    </row>
    <row r="193" spans="1:10">
      <c r="C193" s="170"/>
    </row>
    <row r="194" spans="1:10" ht="16.5" thickBot="1">
      <c r="A194" s="91" t="s">
        <v>154</v>
      </c>
      <c r="B194" s="80"/>
      <c r="C194" s="80"/>
      <c r="D194" s="80"/>
      <c r="E194" s="80"/>
      <c r="F194" s="80"/>
      <c r="G194" s="80"/>
      <c r="H194" s="80"/>
      <c r="I194" s="80"/>
    </row>
    <row r="195" spans="1:10" ht="15.75" thickBot="1">
      <c r="A195" s="235" t="s">
        <v>51</v>
      </c>
      <c r="B195" s="178">
        <v>2000</v>
      </c>
      <c r="C195" s="178">
        <v>2030</v>
      </c>
      <c r="D195" s="178">
        <v>2050</v>
      </c>
      <c r="E195" s="197" t="s">
        <v>98</v>
      </c>
      <c r="F195" s="198" t="s">
        <v>99</v>
      </c>
      <c r="G195" s="198" t="s">
        <v>100</v>
      </c>
      <c r="H195" s="198" t="s">
        <v>101</v>
      </c>
      <c r="I195" s="199" t="s">
        <v>102</v>
      </c>
    </row>
    <row r="196" spans="1:10">
      <c r="A196" s="181" t="s">
        <v>103</v>
      </c>
      <c r="B196" s="209">
        <v>3.7561</v>
      </c>
      <c r="C196" s="209">
        <v>0.4614827689525573</v>
      </c>
      <c r="D196" s="209">
        <v>3.3328085224007112E-2</v>
      </c>
      <c r="E196" s="203">
        <v>-3.2335560855585976E-2</v>
      </c>
      <c r="F196" s="204">
        <v>-8.1471283025754904E-2</v>
      </c>
      <c r="G196" s="204">
        <v>-9.3968850614089883E-2</v>
      </c>
      <c r="H196" s="204">
        <v>-0.12808638973734165</v>
      </c>
      <c r="I196" s="205">
        <v>-0.12313498369315445</v>
      </c>
      <c r="J196" s="248"/>
    </row>
    <row r="197" spans="1:10">
      <c r="A197" s="181" t="s">
        <v>54</v>
      </c>
      <c r="B197" s="209">
        <v>5.5961999999999996</v>
      </c>
      <c r="C197" s="209">
        <v>2.7924101130175507</v>
      </c>
      <c r="D197" s="209">
        <v>0.45020851625292024</v>
      </c>
      <c r="E197" s="211">
        <v>3.6368045657122483E-3</v>
      </c>
      <c r="F197" s="212">
        <v>-3.2320204463460733E-2</v>
      </c>
      <c r="G197" s="212">
        <v>-4.7782442557674054E-2</v>
      </c>
      <c r="H197" s="212">
        <v>-6.5843587022246575E-2</v>
      </c>
      <c r="I197" s="213">
        <v>-8.7208210057492241E-2</v>
      </c>
      <c r="J197" s="248"/>
    </row>
    <row r="198" spans="1:10">
      <c r="A198" s="181" t="s">
        <v>42</v>
      </c>
      <c r="B198" s="209">
        <v>0.15870000000000001</v>
      </c>
      <c r="C198" s="209">
        <v>0</v>
      </c>
      <c r="D198" s="209">
        <v>0</v>
      </c>
      <c r="E198" s="211">
        <v>-6.1317623639847718E-2</v>
      </c>
      <c r="F198" s="212">
        <v>-1</v>
      </c>
      <c r="G198" s="212" t="e">
        <v>#DIV/0!</v>
      </c>
      <c r="H198" s="212" t="e">
        <v>#DIV/0!</v>
      </c>
      <c r="I198" s="213" t="e">
        <v>#DIV/0!</v>
      </c>
      <c r="J198" s="248"/>
    </row>
    <row r="199" spans="1:10">
      <c r="A199" s="181" t="s">
        <v>104</v>
      </c>
      <c r="B199" s="209">
        <v>9.3300278041400002</v>
      </c>
      <c r="C199" s="209">
        <v>11.006572303064363</v>
      </c>
      <c r="D199" s="209">
        <v>9.3348831087369852</v>
      </c>
      <c r="E199" s="211">
        <v>1.6563012389721354E-2</v>
      </c>
      <c r="F199" s="212">
        <v>5.1442548788833697E-3</v>
      </c>
      <c r="G199" s="212">
        <v>-1.0149653412321769E-2</v>
      </c>
      <c r="H199" s="212">
        <v>-1.109861576364779E-2</v>
      </c>
      <c r="I199" s="213">
        <v>-8.2028872666444208E-3</v>
      </c>
      <c r="J199" s="248"/>
    </row>
    <row r="200" spans="1:10">
      <c r="A200" s="181" t="s">
        <v>105</v>
      </c>
      <c r="B200" s="209">
        <v>0.85539999999999994</v>
      </c>
      <c r="C200" s="209">
        <v>0.6489364458522886</v>
      </c>
      <c r="D200" s="209">
        <v>1.4277110119754055</v>
      </c>
      <c r="E200" s="211">
        <v>-3.0891919597692663E-2</v>
      </c>
      <c r="F200" s="212">
        <v>2.3312622964225982E-2</v>
      </c>
      <c r="G200" s="212">
        <v>8.7140839369357348E-3</v>
      </c>
      <c r="H200" s="212">
        <v>7.1949135337332493E-3</v>
      </c>
      <c r="I200" s="213">
        <v>4.0212114087618156E-2</v>
      </c>
      <c r="J200" s="248"/>
    </row>
    <row r="201" spans="1:10">
      <c r="A201" s="181" t="s">
        <v>134</v>
      </c>
      <c r="B201" s="182">
        <v>0.32080000000000003</v>
      </c>
      <c r="C201" s="182">
        <v>0.60781576438640272</v>
      </c>
      <c r="D201" s="182">
        <v>0.40500654890806143</v>
      </c>
      <c r="E201" s="211">
        <v>4.1228309505667582E-3</v>
      </c>
      <c r="F201" s="212">
        <v>6.6777455177402079E-2</v>
      </c>
      <c r="G201" s="212">
        <v>4.2174507148687645E-2</v>
      </c>
      <c r="H201" s="212">
        <v>9.5613600365422879E-3</v>
      </c>
      <c r="I201" s="213">
        <v>-2.0093802750761336E-2</v>
      </c>
      <c r="J201" s="248"/>
    </row>
    <row r="202" spans="1:10">
      <c r="A202" s="181" t="s">
        <v>135</v>
      </c>
      <c r="B202" s="182">
        <v>0</v>
      </c>
      <c r="C202" s="182">
        <v>0.47962513716076938</v>
      </c>
      <c r="D202" s="182">
        <v>0.38611314657298224</v>
      </c>
      <c r="E202" s="211"/>
      <c r="F202" s="212"/>
      <c r="G202" s="212"/>
      <c r="H202" s="212"/>
      <c r="I202" s="213"/>
      <c r="J202" s="248"/>
    </row>
    <row r="203" spans="1:10">
      <c r="A203" s="181" t="s">
        <v>136</v>
      </c>
      <c r="B203" s="182">
        <v>0</v>
      </c>
      <c r="C203" s="182">
        <v>1.7320243313100603</v>
      </c>
      <c r="D203" s="182">
        <v>1.8224684836634182</v>
      </c>
      <c r="E203" s="211"/>
      <c r="F203" s="212"/>
      <c r="G203" s="212"/>
      <c r="H203" s="212"/>
      <c r="I203" s="213"/>
      <c r="J203" s="248"/>
    </row>
    <row r="204" spans="1:10">
      <c r="A204" s="181"/>
      <c r="B204" s="182"/>
      <c r="C204" s="182"/>
      <c r="D204" s="182"/>
      <c r="E204" s="211"/>
      <c r="F204" s="212"/>
      <c r="G204" s="212"/>
      <c r="H204" s="212"/>
      <c r="I204" s="213"/>
    </row>
    <row r="205" spans="1:10" ht="15.75" thickBot="1">
      <c r="A205" s="190" t="s">
        <v>10</v>
      </c>
      <c r="B205" s="226">
        <v>20.017227804139996</v>
      </c>
      <c r="C205" s="226">
        <v>17.728866863743995</v>
      </c>
      <c r="D205" s="226">
        <v>13.85971890133378</v>
      </c>
      <c r="E205" s="217">
        <v>6.1939804284143474E-3</v>
      </c>
      <c r="F205" s="218">
        <v>-7.459120426147603E-3</v>
      </c>
      <c r="G205" s="218">
        <v>-1.5922008030237689E-2</v>
      </c>
      <c r="H205" s="218">
        <v>-1.9082816168849881E-2</v>
      </c>
      <c r="I205" s="219">
        <v>-1.2234912067208059E-2</v>
      </c>
    </row>
    <row r="206" spans="1:10">
      <c r="A206" s="195"/>
      <c r="B206" s="171"/>
    </row>
    <row r="207" spans="1:10">
      <c r="A207" s="195"/>
      <c r="B207" s="171"/>
    </row>
    <row r="208" spans="1:10" ht="16.5" thickBot="1">
      <c r="A208" s="91" t="s">
        <v>155</v>
      </c>
      <c r="B208" s="80"/>
      <c r="C208" s="80"/>
      <c r="D208" s="80"/>
      <c r="E208" s="80"/>
      <c r="F208" s="80"/>
      <c r="G208" s="80"/>
      <c r="H208" s="80"/>
      <c r="I208" s="80"/>
    </row>
    <row r="209" spans="1:11" ht="15.75" thickBot="1">
      <c r="A209" s="235" t="s">
        <v>51</v>
      </c>
      <c r="B209" s="178">
        <v>2000</v>
      </c>
      <c r="C209" s="178">
        <v>2030</v>
      </c>
      <c r="D209" s="178">
        <v>2050</v>
      </c>
      <c r="E209" s="197" t="s">
        <v>98</v>
      </c>
      <c r="F209" s="198" t="s">
        <v>99</v>
      </c>
      <c r="G209" s="198" t="s">
        <v>100</v>
      </c>
      <c r="H209" s="198" t="s">
        <v>101</v>
      </c>
      <c r="I209" s="199" t="s">
        <v>102</v>
      </c>
    </row>
    <row r="210" spans="1:11">
      <c r="A210" s="181" t="s">
        <v>138</v>
      </c>
      <c r="B210" s="209">
        <v>9.3037991407357321</v>
      </c>
      <c r="C210" s="209">
        <v>6.6626634496136381</v>
      </c>
      <c r="D210" s="209">
        <v>4.5884891463066495</v>
      </c>
      <c r="E210" s="203">
        <v>3.4474917456241982E-3</v>
      </c>
      <c r="F210" s="204">
        <v>-2.0982413481280271E-2</v>
      </c>
      <c r="G210" s="204">
        <v>-2.5062164954301025E-2</v>
      </c>
      <c r="H210" s="204">
        <v>-3.0057170045617587E-2</v>
      </c>
      <c r="I210" s="205">
        <v>-1.8475619668650411E-2</v>
      </c>
      <c r="K210" s="186"/>
    </row>
    <row r="211" spans="1:11">
      <c r="A211" s="181" t="s">
        <v>156</v>
      </c>
      <c r="B211" s="182">
        <v>3.8242762748856345</v>
      </c>
      <c r="C211" s="182">
        <v>3.3021092786222539</v>
      </c>
      <c r="D211" s="182">
        <v>2.5825866572536436</v>
      </c>
      <c r="E211" s="211">
        <v>-1.1735115266409246E-2</v>
      </c>
      <c r="F211" s="212">
        <v>1.3093803528589243E-2</v>
      </c>
      <c r="G211" s="212">
        <v>-7.0948215431976269E-4</v>
      </c>
      <c r="H211" s="212">
        <v>-6.2276286723228491E-3</v>
      </c>
      <c r="I211" s="213">
        <v>-1.2213302864828357E-2</v>
      </c>
      <c r="K211" s="186"/>
    </row>
    <row r="212" spans="1:11">
      <c r="A212" s="181" t="s">
        <v>143</v>
      </c>
      <c r="B212" s="209">
        <v>0.26720797829915388</v>
      </c>
      <c r="C212" s="253">
        <v>0.5232467957589515</v>
      </c>
      <c r="D212" s="253">
        <v>0.54711698805678899</v>
      </c>
      <c r="E212" s="211">
        <v>4.3801381524881888E-2</v>
      </c>
      <c r="F212" s="212">
        <v>7.8328013950903497E-3</v>
      </c>
      <c r="G212" s="212">
        <v>-4.7473015071414215E-3</v>
      </c>
      <c r="H212" s="212">
        <v>2.7576329212564143E-3</v>
      </c>
      <c r="I212" s="213">
        <v>2.2329600556985074E-3</v>
      </c>
      <c r="K212" s="186"/>
    </row>
    <row r="213" spans="1:11">
      <c r="A213" s="181" t="s">
        <v>142</v>
      </c>
      <c r="B213" s="209">
        <v>6.621944410219478</v>
      </c>
      <c r="C213" s="209">
        <v>7.2408473397491493</v>
      </c>
      <c r="D213" s="209">
        <v>6.1415261097166978</v>
      </c>
      <c r="E213" s="211">
        <v>1.6394039767257285E-2</v>
      </c>
      <c r="F213" s="212">
        <v>-1.3490152641688624E-3</v>
      </c>
      <c r="G213" s="212">
        <v>-1.3625622233366275E-2</v>
      </c>
      <c r="H213" s="212">
        <v>-1.5719398022254749E-2</v>
      </c>
      <c r="I213" s="213">
        <v>-8.1994482386018586E-3</v>
      </c>
      <c r="K213" s="186"/>
    </row>
    <row r="214" spans="1:11">
      <c r="A214" s="181"/>
      <c r="B214" s="182"/>
      <c r="C214" s="182"/>
      <c r="D214" s="182"/>
      <c r="E214" s="211"/>
      <c r="F214" s="212"/>
      <c r="G214" s="212"/>
      <c r="H214" s="212"/>
      <c r="I214" s="213"/>
      <c r="K214" s="186"/>
    </row>
    <row r="215" spans="1:11" ht="15.75" thickBot="1">
      <c r="A215" s="190" t="s">
        <v>10</v>
      </c>
      <c r="B215" s="226">
        <v>20.017227804139999</v>
      </c>
      <c r="C215" s="226">
        <v>17.728866863743992</v>
      </c>
      <c r="D215" s="226">
        <v>13.85971890133378</v>
      </c>
      <c r="E215" s="217">
        <v>6.1939804284143474E-3</v>
      </c>
      <c r="F215" s="218">
        <v>-7.459120426147714E-3</v>
      </c>
      <c r="G215" s="218">
        <v>-1.5922008030237689E-2</v>
      </c>
      <c r="H215" s="218">
        <v>-1.9082816168849881E-2</v>
      </c>
      <c r="I215" s="219">
        <v>-1.2234912067208059E-2</v>
      </c>
      <c r="K215" s="186"/>
    </row>
    <row r="216" spans="1:11">
      <c r="A216" s="195"/>
      <c r="B216" s="171"/>
      <c r="C216" s="254"/>
      <c r="D216" s="254"/>
      <c r="K216" s="186"/>
    </row>
    <row r="217" spans="1:11">
      <c r="A217" s="195"/>
      <c r="B217" s="171"/>
      <c r="C217" s="255"/>
      <c r="D217" s="254"/>
      <c r="K217" s="186"/>
    </row>
    <row r="218" spans="1:11" ht="16.5" thickBot="1">
      <c r="A218" s="91" t="s">
        <v>157</v>
      </c>
      <c r="B218" s="80"/>
      <c r="C218" s="256"/>
      <c r="D218" s="256"/>
      <c r="E218" s="80"/>
      <c r="F218" s="80"/>
      <c r="G218" s="80"/>
      <c r="H218" s="80"/>
      <c r="I218" s="80"/>
      <c r="K218" s="186"/>
    </row>
    <row r="219" spans="1:11" ht="15.75" thickBot="1">
      <c r="A219" s="235" t="s">
        <v>51</v>
      </c>
      <c r="B219" s="178">
        <v>2000</v>
      </c>
      <c r="C219" s="178">
        <v>2030</v>
      </c>
      <c r="D219" s="178">
        <v>2050</v>
      </c>
      <c r="E219" s="197" t="s">
        <v>98</v>
      </c>
      <c r="F219" s="198" t="s">
        <v>99</v>
      </c>
      <c r="G219" s="198" t="s">
        <v>100</v>
      </c>
      <c r="H219" s="198" t="s">
        <v>101</v>
      </c>
      <c r="I219" s="199" t="s">
        <v>102</v>
      </c>
      <c r="K219" s="186"/>
    </row>
    <row r="220" spans="1:11">
      <c r="A220" s="181" t="s">
        <v>103</v>
      </c>
      <c r="B220" s="182">
        <v>3.7561</v>
      </c>
      <c r="C220" s="182">
        <v>0.4614827689525573</v>
      </c>
      <c r="D220" s="182">
        <v>3.3328085224007112E-2</v>
      </c>
      <c r="E220" s="203">
        <v>-3.2335560855585976E-2</v>
      </c>
      <c r="F220" s="204">
        <v>-8.1471283025754904E-2</v>
      </c>
      <c r="G220" s="204">
        <v>-9.3968850614089883E-2</v>
      </c>
      <c r="H220" s="204">
        <v>-0.12808638973734165</v>
      </c>
      <c r="I220" s="205">
        <v>-0.12313498369315445</v>
      </c>
      <c r="K220" s="186"/>
    </row>
    <row r="221" spans="1:11">
      <c r="A221" s="181" t="s">
        <v>54</v>
      </c>
      <c r="B221" s="182">
        <v>5.5961999999999996</v>
      </c>
      <c r="C221" s="182">
        <v>2.7924101130175507</v>
      </c>
      <c r="D221" s="182">
        <v>0.45020851625292024</v>
      </c>
      <c r="E221" s="211">
        <v>3.6368045657122483E-3</v>
      </c>
      <c r="F221" s="212">
        <v>-3.2320204463460733E-2</v>
      </c>
      <c r="G221" s="212">
        <v>-4.7782442557674054E-2</v>
      </c>
      <c r="H221" s="212">
        <v>-6.5843587022246575E-2</v>
      </c>
      <c r="I221" s="213">
        <v>-8.7208210057492241E-2</v>
      </c>
      <c r="K221" s="186"/>
    </row>
    <row r="222" spans="1:11">
      <c r="A222" s="181" t="s">
        <v>42</v>
      </c>
      <c r="B222" s="182">
        <v>0.15870000000000001</v>
      </c>
      <c r="C222" s="182">
        <v>0</v>
      </c>
      <c r="D222" s="182">
        <v>0</v>
      </c>
      <c r="E222" s="211">
        <v>-6.1317623639847718E-2</v>
      </c>
      <c r="F222" s="212">
        <v>-1</v>
      </c>
      <c r="G222" s="212" t="e">
        <v>#DIV/0!</v>
      </c>
      <c r="H222" s="212" t="e">
        <v>#DIV/0!</v>
      </c>
      <c r="I222" s="213" t="e">
        <v>#DIV/0!</v>
      </c>
      <c r="K222" s="186"/>
    </row>
    <row r="223" spans="1:11">
      <c r="A223" s="181" t="s">
        <v>104</v>
      </c>
      <c r="B223" s="182">
        <v>2.4408754156213677</v>
      </c>
      <c r="C223" s="182">
        <v>3.2424781675562633</v>
      </c>
      <c r="D223" s="182">
        <v>2.6462400109634983</v>
      </c>
      <c r="E223" s="211">
        <v>1.3338673160219194E-2</v>
      </c>
      <c r="F223" s="212">
        <v>2.2281445010654322E-2</v>
      </c>
      <c r="G223" s="212">
        <v>-2.4239475209221206E-3</v>
      </c>
      <c r="H223" s="212">
        <v>-2.5619214854888384E-3</v>
      </c>
      <c r="I223" s="213">
        <v>-1.0108469259847097E-2</v>
      </c>
      <c r="K223" s="186"/>
    </row>
    <row r="224" spans="1:11">
      <c r="A224" s="181" t="s">
        <v>105</v>
      </c>
      <c r="B224" s="182">
        <v>0.85539999999999994</v>
      </c>
      <c r="C224" s="182">
        <v>0.6489364458522886</v>
      </c>
      <c r="D224" s="182">
        <v>1.4277110119754055</v>
      </c>
      <c r="E224" s="211">
        <v>-3.0891919597692663E-2</v>
      </c>
      <c r="F224" s="212">
        <v>2.3312622964225982E-2</v>
      </c>
      <c r="G224" s="212">
        <v>8.7140839369357348E-3</v>
      </c>
      <c r="H224" s="212">
        <v>7.1949135337332493E-3</v>
      </c>
      <c r="I224" s="213">
        <v>4.0212114087618156E-2</v>
      </c>
      <c r="K224" s="186"/>
    </row>
    <row r="225" spans="1:11">
      <c r="A225" s="181" t="s">
        <v>134</v>
      </c>
      <c r="B225" s="182">
        <v>0.32080000000000003</v>
      </c>
      <c r="C225" s="182">
        <v>0.60781576438640272</v>
      </c>
      <c r="D225" s="182">
        <v>0.40500654890806143</v>
      </c>
      <c r="E225" s="211">
        <v>4.1228309505667582E-3</v>
      </c>
      <c r="F225" s="212">
        <v>6.6777455177402079E-2</v>
      </c>
      <c r="G225" s="212">
        <v>4.2174507148687645E-2</v>
      </c>
      <c r="H225" s="212">
        <v>9.5613600365422879E-3</v>
      </c>
      <c r="I225" s="213">
        <v>-2.0093802750761336E-2</v>
      </c>
      <c r="K225" s="186"/>
    </row>
    <row r="226" spans="1:11">
      <c r="A226" s="181" t="s">
        <v>135</v>
      </c>
      <c r="B226" s="182">
        <v>0</v>
      </c>
      <c r="C226" s="182">
        <v>0.47962513716076938</v>
      </c>
      <c r="D226" s="182">
        <v>0.38611314657298224</v>
      </c>
      <c r="E226" s="211"/>
      <c r="F226" s="212"/>
      <c r="G226" s="212"/>
      <c r="H226" s="212"/>
      <c r="I226" s="213"/>
      <c r="K226" s="186"/>
    </row>
    <row r="227" spans="1:11">
      <c r="A227" s="181" t="s">
        <v>136</v>
      </c>
      <c r="B227" s="182">
        <v>0</v>
      </c>
      <c r="C227" s="182">
        <v>1.7320243313100603</v>
      </c>
      <c r="D227" s="182">
        <v>1.8224684836634182</v>
      </c>
      <c r="E227" s="211"/>
      <c r="F227" s="212"/>
      <c r="G227" s="212"/>
      <c r="H227" s="212"/>
      <c r="I227" s="213"/>
      <c r="K227" s="186"/>
    </row>
    <row r="228" spans="1:11">
      <c r="A228" s="181"/>
      <c r="B228" s="182"/>
      <c r="C228" s="182"/>
      <c r="D228" s="182"/>
      <c r="E228" s="211"/>
      <c r="F228" s="212"/>
      <c r="G228" s="212"/>
      <c r="H228" s="212"/>
      <c r="I228" s="213"/>
      <c r="K228" s="186"/>
    </row>
    <row r="229" spans="1:11" ht="15.75" thickBot="1">
      <c r="A229" s="190" t="s">
        <v>10</v>
      </c>
      <c r="B229" s="226">
        <v>13.128075415621366</v>
      </c>
      <c r="C229" s="226">
        <v>9.9647727282358929</v>
      </c>
      <c r="D229" s="226">
        <v>7.1710758035602931</v>
      </c>
      <c r="E229" s="217">
        <v>-6.5136556964595638E-4</v>
      </c>
      <c r="F229" s="218">
        <v>-1.2140889079191863E-2</v>
      </c>
      <c r="G229" s="218">
        <v>-1.8008366046744384E-2</v>
      </c>
      <c r="H229" s="218">
        <v>-2.2539087618029474E-2</v>
      </c>
      <c r="I229" s="219">
        <v>-1.631546027045383E-2</v>
      </c>
      <c r="K229" s="186"/>
    </row>
    <row r="230" spans="1:11">
      <c r="A230" s="195"/>
      <c r="B230" s="171"/>
      <c r="K230" s="186"/>
    </row>
    <row r="231" spans="1:11">
      <c r="A231" s="195"/>
      <c r="B231" s="171"/>
      <c r="K231" s="186"/>
    </row>
    <row r="232" spans="1:11" ht="16.5" thickBot="1">
      <c r="A232" s="91" t="s">
        <v>158</v>
      </c>
      <c r="B232" s="80"/>
      <c r="C232" s="80"/>
      <c r="D232" s="80"/>
      <c r="E232" s="80"/>
      <c r="F232" s="80"/>
      <c r="G232" s="80"/>
      <c r="H232" s="80"/>
      <c r="I232" s="80"/>
      <c r="K232" s="186"/>
    </row>
    <row r="233" spans="1:11" ht="15.75" thickBot="1">
      <c r="A233" s="235" t="s">
        <v>51</v>
      </c>
      <c r="B233" s="178">
        <v>2000</v>
      </c>
      <c r="C233" s="178">
        <v>2030</v>
      </c>
      <c r="D233" s="178">
        <v>2050</v>
      </c>
      <c r="E233" s="197" t="s">
        <v>98</v>
      </c>
      <c r="F233" s="198" t="s">
        <v>99</v>
      </c>
      <c r="G233" s="198" t="s">
        <v>100</v>
      </c>
      <c r="H233" s="198" t="s">
        <v>101</v>
      </c>
      <c r="I233" s="199" t="s">
        <v>102</v>
      </c>
      <c r="K233" s="257"/>
    </row>
    <row r="234" spans="1:11">
      <c r="A234" s="181" t="s">
        <v>103</v>
      </c>
      <c r="B234" s="209">
        <v>2.6271374019358529</v>
      </c>
      <c r="C234" s="209">
        <v>0.38417309673559524</v>
      </c>
      <c r="D234" s="209">
        <v>1.2978195519191616E-3</v>
      </c>
      <c r="E234" s="203">
        <v>-1.9968336343000548E-2</v>
      </c>
      <c r="F234" s="204">
        <v>-7.8121121001402227E-2</v>
      </c>
      <c r="G234" s="204">
        <v>-8.8414575245205684E-2</v>
      </c>
      <c r="H234" s="204">
        <v>-0.13936843176079083</v>
      </c>
      <c r="I234" s="205">
        <v>-0.24762497942105766</v>
      </c>
      <c r="J234" s="258"/>
      <c r="K234" s="257"/>
    </row>
    <row r="235" spans="1:11">
      <c r="A235" s="181" t="s">
        <v>54</v>
      </c>
      <c r="B235" s="209">
        <v>3.9701595313874058</v>
      </c>
      <c r="C235" s="209">
        <v>2.2846596246074227</v>
      </c>
      <c r="D235" s="209">
        <v>0.2818801532956044</v>
      </c>
      <c r="E235" s="211">
        <v>1.3333021631106279E-2</v>
      </c>
      <c r="F235" s="212">
        <v>-2.941775822344106E-2</v>
      </c>
      <c r="G235" s="212">
        <v>-4.6503943962651673E-2</v>
      </c>
      <c r="H235" s="212">
        <v>-7.0188567381903266E-2</v>
      </c>
      <c r="I235" s="213">
        <v>-9.9337357347846988E-2</v>
      </c>
      <c r="J235" s="258"/>
      <c r="K235" s="257"/>
    </row>
    <row r="236" spans="1:11">
      <c r="A236" s="181" t="s">
        <v>42</v>
      </c>
      <c r="B236" s="209">
        <v>0.11470512934855193</v>
      </c>
      <c r="C236" s="209">
        <v>0</v>
      </c>
      <c r="D236" s="209">
        <v>0</v>
      </c>
      <c r="E236" s="211">
        <v>-1</v>
      </c>
      <c r="F236" s="212" t="e">
        <v>#DIV/0!</v>
      </c>
      <c r="G236" s="212" t="e">
        <v>#DIV/0!</v>
      </c>
      <c r="H236" s="212" t="e">
        <v>#DIV/0!</v>
      </c>
      <c r="I236" s="213" t="e">
        <v>#DIV/0!</v>
      </c>
      <c r="J236" s="258"/>
      <c r="K236" s="257"/>
    </row>
    <row r="237" spans="1:11">
      <c r="A237" s="181" t="s">
        <v>104</v>
      </c>
      <c r="B237" s="209">
        <v>1.7416372605000001</v>
      </c>
      <c r="C237" s="209">
        <v>1.4942634265064132</v>
      </c>
      <c r="D237" s="209">
        <v>1.1630055070505922</v>
      </c>
      <c r="E237" s="211">
        <v>-8.6740227800810032E-3</v>
      </c>
      <c r="F237" s="212">
        <v>-4.0799066763319569E-4</v>
      </c>
      <c r="G237" s="212">
        <v>-5.5587976312836407E-3</v>
      </c>
      <c r="H237" s="212">
        <v>1.4806112322043319E-3</v>
      </c>
      <c r="I237" s="213">
        <v>-1.2453099610837959E-2</v>
      </c>
      <c r="J237" s="258"/>
      <c r="K237" s="257"/>
    </row>
    <row r="238" spans="1:11">
      <c r="A238" s="181" t="s">
        <v>105</v>
      </c>
      <c r="B238" s="209">
        <v>0.61828129795404607</v>
      </c>
      <c r="C238" s="209">
        <v>0.5345206090639244</v>
      </c>
      <c r="D238" s="209">
        <v>1.3293672002893107</v>
      </c>
      <c r="E238" s="211">
        <v>-2.1907494487042212E-2</v>
      </c>
      <c r="F238" s="212">
        <v>1.4703197900608922E-2</v>
      </c>
      <c r="G238" s="212">
        <v>3.6573798572989702E-3</v>
      </c>
      <c r="H238" s="212">
        <v>1.9274980373501727E-2</v>
      </c>
      <c r="I238" s="213">
        <v>4.6607940178492013E-2</v>
      </c>
      <c r="J238" s="258"/>
      <c r="K238" s="257"/>
    </row>
    <row r="239" spans="1:11">
      <c r="A239" s="181" t="s">
        <v>134</v>
      </c>
      <c r="B239" s="209">
        <v>0.23187851960987504</v>
      </c>
      <c r="C239" s="209">
        <v>0.60781576438640272</v>
      </c>
      <c r="D239" s="209">
        <v>0.40500654890806143</v>
      </c>
      <c r="E239" s="211">
        <v>2.6089155966032784E-2</v>
      </c>
      <c r="F239" s="212">
        <v>6.6777455177402079E-2</v>
      </c>
      <c r="G239" s="212">
        <v>4.2174507148687645E-2</v>
      </c>
      <c r="H239" s="212">
        <v>9.5613600365422879E-3</v>
      </c>
      <c r="I239" s="213">
        <v>-2.0093802750761336E-2</v>
      </c>
      <c r="J239" s="258"/>
      <c r="K239" s="257"/>
    </row>
    <row r="240" spans="1:11">
      <c r="A240" s="181" t="s">
        <v>135</v>
      </c>
      <c r="B240" s="209">
        <v>0</v>
      </c>
      <c r="C240" s="209">
        <v>0.15372765584619141</v>
      </c>
      <c r="D240" s="209">
        <v>0.11641782052141147</v>
      </c>
      <c r="E240" s="211"/>
      <c r="F240" s="212"/>
      <c r="G240" s="212"/>
      <c r="H240" s="212"/>
      <c r="I240" s="213"/>
      <c r="J240" s="259"/>
      <c r="K240" s="257"/>
    </row>
    <row r="241" spans="1:11">
      <c r="A241" s="181" t="s">
        <v>136</v>
      </c>
      <c r="B241" s="209">
        <v>0</v>
      </c>
      <c r="C241" s="209">
        <v>1.2035032724676886</v>
      </c>
      <c r="D241" s="209">
        <v>1.2915140966897503</v>
      </c>
      <c r="E241" s="211"/>
      <c r="F241" s="212"/>
      <c r="G241" s="212"/>
      <c r="H241" s="212"/>
      <c r="I241" s="213"/>
      <c r="J241" s="259"/>
      <c r="K241" s="257"/>
    </row>
    <row r="242" spans="1:11">
      <c r="A242" s="181"/>
      <c r="B242" s="182"/>
      <c r="C242" s="182"/>
      <c r="D242" s="182"/>
      <c r="E242" s="211"/>
      <c r="F242" s="212"/>
      <c r="G242" s="212"/>
      <c r="H242" s="212"/>
      <c r="I242" s="213"/>
      <c r="K242" s="186"/>
    </row>
    <row r="243" spans="1:11" ht="15.75" thickBot="1">
      <c r="A243" s="190" t="s">
        <v>10</v>
      </c>
      <c r="B243" s="226">
        <v>9.3037991407357321</v>
      </c>
      <c r="C243" s="226">
        <v>6.6626634496136381</v>
      </c>
      <c r="D243" s="226">
        <v>4.5884891463066495</v>
      </c>
      <c r="E243" s="217">
        <v>3.4474917456241982E-3</v>
      </c>
      <c r="F243" s="218">
        <v>-2.0982413481280271E-2</v>
      </c>
      <c r="G243" s="218">
        <v>-2.5062164954301025E-2</v>
      </c>
      <c r="H243" s="218">
        <v>-3.0057170045617587E-2</v>
      </c>
      <c r="I243" s="219">
        <v>-1.8475619668650411E-2</v>
      </c>
      <c r="K243" s="186"/>
    </row>
    <row r="244" spans="1:11">
      <c r="A244" s="195"/>
      <c r="B244" s="171"/>
      <c r="D244" s="245"/>
      <c r="K244" s="186"/>
    </row>
    <row r="245" spans="1:11">
      <c r="A245" s="195"/>
      <c r="B245" s="171"/>
      <c r="K245" s="186"/>
    </row>
    <row r="246" spans="1:11" ht="16.5" thickBot="1">
      <c r="A246" s="91" t="s">
        <v>159</v>
      </c>
      <c r="B246" s="80"/>
      <c r="C246" s="80"/>
      <c r="D246" s="80"/>
      <c r="E246" s="80"/>
      <c r="F246" s="80"/>
      <c r="G246" s="80"/>
      <c r="H246" s="80"/>
      <c r="I246" s="80"/>
      <c r="K246" s="186"/>
    </row>
    <row r="247" spans="1:11" ht="15.75" thickBot="1">
      <c r="A247" s="235" t="s">
        <v>51</v>
      </c>
      <c r="B247" s="178">
        <v>2000</v>
      </c>
      <c r="C247" s="178">
        <v>2030</v>
      </c>
      <c r="D247" s="178">
        <v>2050</v>
      </c>
      <c r="E247" s="197" t="s">
        <v>98</v>
      </c>
      <c r="F247" s="198" t="s">
        <v>99</v>
      </c>
      <c r="G247" s="198" t="s">
        <v>100</v>
      </c>
      <c r="H247" s="198" t="s">
        <v>101</v>
      </c>
      <c r="I247" s="199" t="s">
        <v>102</v>
      </c>
      <c r="K247" s="186"/>
    </row>
    <row r="248" spans="1:11">
      <c r="A248" s="181" t="s">
        <v>103</v>
      </c>
      <c r="B248" s="209">
        <v>1.1289625980641464</v>
      </c>
      <c r="C248" s="209">
        <v>7.7309672216962055E-2</v>
      </c>
      <c r="D248" s="209">
        <v>3.203026567208795E-2</v>
      </c>
      <c r="E248" s="203">
        <v>-7.4610028539812023E-2</v>
      </c>
      <c r="F248" s="204">
        <v>-0.1008390809533678</v>
      </c>
      <c r="G248" s="204">
        <v>-0.13209345749852719</v>
      </c>
      <c r="H248" s="204">
        <v>-5.4141644411357603E-2</v>
      </c>
      <c r="I248" s="205">
        <v>-4.3100482826194386E-2</v>
      </c>
      <c r="K248" s="186"/>
    </row>
    <row r="249" spans="1:11">
      <c r="A249" s="181" t="s">
        <v>54</v>
      </c>
      <c r="B249" s="209">
        <v>1.6260404686125933</v>
      </c>
      <c r="C249" s="209">
        <v>0.50775048841012804</v>
      </c>
      <c r="D249" s="209">
        <v>0.16832836295731585</v>
      </c>
      <c r="E249" s="211">
        <v>-2.7717402091364196E-2</v>
      </c>
      <c r="F249" s="212">
        <v>-4.5955995368462066E-2</v>
      </c>
      <c r="G249" s="212">
        <v>-5.4211125776998381E-2</v>
      </c>
      <c r="H249" s="212">
        <v>-4.4647478608088487E-2</v>
      </c>
      <c r="I249" s="213">
        <v>-5.3707610105795056E-2</v>
      </c>
      <c r="K249" s="186"/>
    </row>
    <row r="250" spans="1:11">
      <c r="A250" s="181" t="s">
        <v>42</v>
      </c>
      <c r="B250" s="209">
        <v>4.3994870651448061E-2</v>
      </c>
      <c r="C250" s="209">
        <v>0</v>
      </c>
      <c r="D250" s="209">
        <v>0</v>
      </c>
      <c r="E250" s="211">
        <v>2.2500799424380657E-2</v>
      </c>
      <c r="F250" s="212">
        <v>-1</v>
      </c>
      <c r="G250" s="212" t="e">
        <v>#DIV/0!</v>
      </c>
      <c r="H250" s="212" t="e">
        <v>#DIV/0!</v>
      </c>
      <c r="I250" s="213" t="e">
        <v>#DIV/0!</v>
      </c>
      <c r="K250" s="186"/>
    </row>
    <row r="251" spans="1:11">
      <c r="A251" s="181" t="s">
        <v>104</v>
      </c>
      <c r="B251" s="182">
        <v>0.69923815512136756</v>
      </c>
      <c r="C251" s="209">
        <v>1.7482147410498501</v>
      </c>
      <c r="D251" s="209">
        <v>1.483234503912906</v>
      </c>
      <c r="E251" s="211">
        <v>4.9789590454425658E-2</v>
      </c>
      <c r="F251" s="212">
        <v>4.4207707641105154E-2</v>
      </c>
      <c r="G251" s="212">
        <v>2.0284333531717103E-4</v>
      </c>
      <c r="H251" s="212">
        <v>-5.9409892249479013E-3</v>
      </c>
      <c r="I251" s="213">
        <v>-8.1848175086691732E-3</v>
      </c>
      <c r="K251" s="186"/>
    </row>
    <row r="252" spans="1:11">
      <c r="A252" s="181" t="s">
        <v>105</v>
      </c>
      <c r="B252" s="209">
        <v>0.23711870204595384</v>
      </c>
      <c r="C252" s="209">
        <v>0.1144158367883642</v>
      </c>
      <c r="D252" s="209">
        <v>9.8343811686094851E-2</v>
      </c>
      <c r="E252" s="211">
        <v>-6.2010550714744039E-2</v>
      </c>
      <c r="F252" s="212">
        <v>6.168785676802746E-2</v>
      </c>
      <c r="G252" s="212">
        <v>2.7506942147243807E-2</v>
      </c>
      <c r="H252" s="212">
        <v>-3.9873201842772321E-2</v>
      </c>
      <c r="I252" s="213">
        <v>-7.5399251345754648E-3</v>
      </c>
      <c r="K252" s="186"/>
    </row>
    <row r="253" spans="1:11">
      <c r="A253" s="181" t="s">
        <v>134</v>
      </c>
      <c r="B253" s="209">
        <v>8.8921480390124985E-2</v>
      </c>
      <c r="C253" s="209">
        <v>0</v>
      </c>
      <c r="D253" s="209">
        <v>0</v>
      </c>
      <c r="E253" s="211">
        <v>-1</v>
      </c>
      <c r="F253" s="212" t="e">
        <v>#DIV/0!</v>
      </c>
      <c r="G253" s="212" t="e">
        <v>#DIV/0!</v>
      </c>
      <c r="H253" s="212" t="e">
        <v>#DIV/0!</v>
      </c>
      <c r="I253" s="213" t="e">
        <v>#DIV/0!</v>
      </c>
      <c r="K253" s="186"/>
    </row>
    <row r="254" spans="1:11">
      <c r="A254" s="181" t="s">
        <v>135</v>
      </c>
      <c r="B254" s="209">
        <v>0</v>
      </c>
      <c r="C254" s="209">
        <v>0.32589748131457796</v>
      </c>
      <c r="D254" s="209">
        <v>0.26969532605157076</v>
      </c>
      <c r="E254" s="211"/>
      <c r="F254" s="212"/>
      <c r="G254" s="212"/>
      <c r="H254" s="212"/>
      <c r="I254" s="213"/>
      <c r="K254" s="186"/>
    </row>
    <row r="255" spans="1:11">
      <c r="A255" s="181" t="s">
        <v>136</v>
      </c>
      <c r="B255" s="209">
        <v>0</v>
      </c>
      <c r="C255" s="209">
        <v>0.52852105884237166</v>
      </c>
      <c r="D255" s="209">
        <v>0.53095438697366792</v>
      </c>
      <c r="E255" s="211"/>
      <c r="F255" s="212"/>
      <c r="G255" s="212"/>
      <c r="H255" s="212"/>
      <c r="I255" s="213"/>
      <c r="K255" s="186"/>
    </row>
    <row r="256" spans="1:11">
      <c r="A256" s="181"/>
      <c r="B256" s="182"/>
      <c r="C256" s="182"/>
      <c r="D256" s="182"/>
      <c r="E256" s="211" t="e">
        <v>#DIV/0!</v>
      </c>
      <c r="F256" s="212" t="e">
        <v>#DIV/0!</v>
      </c>
      <c r="G256" s="212" t="e">
        <v>#DIV/0!</v>
      </c>
      <c r="H256" s="212" t="e">
        <v>#DIV/0!</v>
      </c>
      <c r="I256" s="213" t="e">
        <v>#DIV/0!</v>
      </c>
      <c r="K256" s="186"/>
    </row>
    <row r="257" spans="1:11" ht="15.75" thickBot="1">
      <c r="A257" s="190" t="s">
        <v>10</v>
      </c>
      <c r="B257" s="226">
        <v>3.8242762748856345</v>
      </c>
      <c r="C257" s="226">
        <v>3.3021092786222539</v>
      </c>
      <c r="D257" s="226">
        <v>2.5825866572536436</v>
      </c>
      <c r="E257" s="217">
        <v>-1.1735115266409246E-2</v>
      </c>
      <c r="F257" s="218">
        <v>1.3093803528589243E-2</v>
      </c>
      <c r="G257" s="218">
        <v>-7.0948215431976269E-4</v>
      </c>
      <c r="H257" s="218">
        <v>-6.2276286723228491E-3</v>
      </c>
      <c r="I257" s="219">
        <v>-1.2213302864828357E-2</v>
      </c>
      <c r="K257" s="186"/>
    </row>
    <row r="258" spans="1:11">
      <c r="A258" s="195"/>
      <c r="B258" s="171"/>
    </row>
    <row r="259" spans="1:11">
      <c r="A259" s="195"/>
      <c r="B259" s="171"/>
    </row>
    <row r="260" spans="1:11" ht="16.5" thickBot="1">
      <c r="A260" s="91" t="s">
        <v>160</v>
      </c>
      <c r="B260" s="80"/>
      <c r="C260" s="80"/>
      <c r="D260" s="80"/>
      <c r="E260" s="80"/>
      <c r="F260" s="80"/>
      <c r="G260" s="80"/>
      <c r="H260" s="80"/>
      <c r="I260" s="80"/>
    </row>
    <row r="261" spans="1:11" ht="15.75" thickBot="1">
      <c r="A261" s="177"/>
      <c r="B261" s="178">
        <v>2000</v>
      </c>
      <c r="C261" s="178">
        <v>2030</v>
      </c>
      <c r="D261" s="178">
        <v>2050</v>
      </c>
      <c r="E261" s="197" t="s">
        <v>98</v>
      </c>
      <c r="F261" s="198" t="s">
        <v>99</v>
      </c>
      <c r="G261" s="198" t="s">
        <v>100</v>
      </c>
      <c r="H261" s="198" t="s">
        <v>101</v>
      </c>
      <c r="I261" s="199" t="s">
        <v>102</v>
      </c>
    </row>
    <row r="262" spans="1:11">
      <c r="A262" s="181" t="s">
        <v>161</v>
      </c>
      <c r="B262" s="250">
        <v>1.4720925580653493E-2</v>
      </c>
      <c r="C262" s="250">
        <v>8.5924304405191488E-3</v>
      </c>
      <c r="D262" s="250">
        <v>4.751226240245562E-3</v>
      </c>
      <c r="E262" s="211">
        <v>-7.2581463688579095E-3</v>
      </c>
      <c r="F262" s="212">
        <v>-2.3531626519421089E-2</v>
      </c>
      <c r="G262" s="212">
        <v>-2.8355585747873335E-2</v>
      </c>
      <c r="H262" s="212">
        <v>-3.2698980077977446E-2</v>
      </c>
      <c r="I262" s="213">
        <v>-2.918945662625505E-2</v>
      </c>
    </row>
    <row r="263" spans="1:11">
      <c r="A263" s="181" t="s">
        <v>162</v>
      </c>
      <c r="B263" s="260">
        <v>17.813600000000001</v>
      </c>
      <c r="C263" s="209">
        <v>21.396893568966835</v>
      </c>
      <c r="D263" s="209">
        <v>22.74711701186752</v>
      </c>
      <c r="E263" s="211">
        <v>8.3572001738927426E-3</v>
      </c>
      <c r="F263" s="212">
        <v>4.7598327296394238E-3</v>
      </c>
      <c r="G263" s="212">
        <v>3.4763592025344181E-3</v>
      </c>
      <c r="H263" s="212">
        <v>3.4764494492369735E-3</v>
      </c>
      <c r="I263" s="213">
        <v>3.064318527203902E-3</v>
      </c>
    </row>
    <row r="264" spans="1:11">
      <c r="A264" s="181" t="s">
        <v>163</v>
      </c>
      <c r="B264" s="261">
        <v>1.123704798813266</v>
      </c>
      <c r="C264" s="261">
        <v>0.82857199838845796</v>
      </c>
      <c r="D264" s="261">
        <v>0.60929562608320664</v>
      </c>
      <c r="E264" s="211">
        <v>-2.145291118172632E-3</v>
      </c>
      <c r="F264" s="212">
        <v>-1.2161068503894756E-2</v>
      </c>
      <c r="G264" s="212">
        <v>-1.9331165158876451E-2</v>
      </c>
      <c r="H264" s="212">
        <v>-2.2481111171536283E-2</v>
      </c>
      <c r="I264" s="213">
        <v>-1.5252492100283011E-2</v>
      </c>
    </row>
    <row r="265" spans="1:11" ht="15.75" thickBot="1">
      <c r="A265" s="190" t="s">
        <v>164</v>
      </c>
      <c r="B265" s="262">
        <v>6091.3135672827621</v>
      </c>
      <c r="C265" s="262">
        <v>5982.4775718982764</v>
      </c>
      <c r="D265" s="262">
        <v>4772.6791266766377</v>
      </c>
      <c r="E265" s="217">
        <v>8.1378029674539221E-3</v>
      </c>
      <c r="F265" s="218">
        <v>3.8260103232778953E-4</v>
      </c>
      <c r="G265" s="218">
        <v>-1.357880780139642E-2</v>
      </c>
      <c r="H265" s="218">
        <v>-1.4524571275075115E-2</v>
      </c>
      <c r="I265" s="219">
        <v>-1.12327849627748E-2</v>
      </c>
    </row>
    <row r="266" spans="1:11">
      <c r="A266" s="238"/>
      <c r="C266" s="170"/>
    </row>
    <row r="267" spans="1:11">
      <c r="C267" s="170"/>
      <c r="D267" s="212"/>
      <c r="E267" s="212"/>
      <c r="F267" s="212"/>
    </row>
    <row r="268" spans="1:11" ht="21">
      <c r="A268" s="78" t="s">
        <v>165</v>
      </c>
      <c r="B268" s="73"/>
      <c r="C268" s="73"/>
      <c r="D268" s="239"/>
      <c r="E268" s="239"/>
      <c r="F268" s="239"/>
      <c r="G268" s="239"/>
      <c r="H268" s="239"/>
      <c r="I268" s="239"/>
    </row>
    <row r="269" spans="1:11" ht="21">
      <c r="A269" s="172"/>
      <c r="C269" s="170"/>
      <c r="D269" s="170"/>
    </row>
    <row r="270" spans="1:11" ht="16.5" thickBot="1">
      <c r="A270" s="91" t="s">
        <v>166</v>
      </c>
      <c r="B270" s="81"/>
      <c r="C270" s="81"/>
      <c r="D270" s="80"/>
      <c r="E270" s="80"/>
      <c r="F270" s="80"/>
      <c r="G270" s="80"/>
      <c r="H270" s="80"/>
      <c r="I270" s="80"/>
    </row>
    <row r="271" spans="1:11" ht="15.75" thickBot="1">
      <c r="A271" s="177"/>
      <c r="B271" s="178">
        <v>2000</v>
      </c>
      <c r="C271" s="178">
        <v>2030</v>
      </c>
      <c r="D271" s="178">
        <v>2050</v>
      </c>
      <c r="E271" s="197" t="s">
        <v>98</v>
      </c>
      <c r="F271" s="198" t="s">
        <v>99</v>
      </c>
      <c r="G271" s="198" t="s">
        <v>100</v>
      </c>
      <c r="H271" s="198" t="s">
        <v>101</v>
      </c>
      <c r="I271" s="199" t="s">
        <v>102</v>
      </c>
    </row>
    <row r="272" spans="1:11">
      <c r="A272" s="263" t="s">
        <v>167</v>
      </c>
      <c r="B272" s="264"/>
      <c r="C272" s="264"/>
      <c r="D272" s="264"/>
      <c r="E272" s="265"/>
      <c r="F272" s="266"/>
      <c r="G272" s="266"/>
      <c r="H272" s="266"/>
      <c r="I272" s="267"/>
    </row>
    <row r="273" spans="1:12">
      <c r="A273" s="181" t="s">
        <v>168</v>
      </c>
      <c r="B273" s="268">
        <v>687.75139082118562</v>
      </c>
      <c r="C273" s="268">
        <v>742.89450397264022</v>
      </c>
      <c r="D273" s="268">
        <v>815.82122751667885</v>
      </c>
      <c r="E273" s="211">
        <v>3.9283024521541421E-3</v>
      </c>
      <c r="F273" s="212">
        <v>2.03562936676982E-3</v>
      </c>
      <c r="G273" s="212">
        <v>-1.2599311509894351E-3</v>
      </c>
      <c r="H273" s="212">
        <v>2.8948520036853331E-3</v>
      </c>
      <c r="I273" s="213">
        <v>4.6930379180274429E-3</v>
      </c>
    </row>
    <row r="274" spans="1:12">
      <c r="A274" s="181" t="s">
        <v>169</v>
      </c>
      <c r="B274" s="268">
        <v>55.897287896679252</v>
      </c>
      <c r="C274" s="268">
        <v>92.414884905488719</v>
      </c>
      <c r="D274" s="268">
        <v>121.79036470159761</v>
      </c>
      <c r="E274" s="211">
        <v>1.6242320283317069E-2</v>
      </c>
      <c r="F274" s="212">
        <v>2.8924942901046524E-2</v>
      </c>
      <c r="G274" s="212">
        <v>1.0056359931976733E-2</v>
      </c>
      <c r="H274" s="212">
        <v>1.3792572609656606E-2</v>
      </c>
      <c r="I274" s="213">
        <v>1.3896328033659699E-2</v>
      </c>
    </row>
    <row r="275" spans="1:12">
      <c r="A275" s="181" t="s">
        <v>170</v>
      </c>
      <c r="B275" s="268">
        <v>80.924999999999997</v>
      </c>
      <c r="C275" s="268">
        <v>132.47934995950087</v>
      </c>
      <c r="D275" s="268">
        <v>187.42889571060383</v>
      </c>
      <c r="E275" s="211">
        <v>1.7200000000000104E-2</v>
      </c>
      <c r="F275" s="212">
        <v>1.760000000000006E-2</v>
      </c>
      <c r="G275" s="212">
        <v>1.639999999999997E-2</v>
      </c>
      <c r="H275" s="212">
        <v>1.3800000000000034E-2</v>
      </c>
      <c r="I275" s="213">
        <v>1.7500000000000071E-2</v>
      </c>
    </row>
    <row r="276" spans="1:12">
      <c r="A276" s="181" t="s">
        <v>171</v>
      </c>
      <c r="B276" s="268">
        <v>15.128</v>
      </c>
      <c r="C276" s="268">
        <v>15.9797064</v>
      </c>
      <c r="D276" s="268">
        <v>16.0387056</v>
      </c>
      <c r="E276" s="211">
        <v>-3.8416054578340741E-3</v>
      </c>
      <c r="F276" s="212">
        <v>-3.8218767042812463E-3</v>
      </c>
      <c r="G276" s="212">
        <v>1.6953150482852175E-2</v>
      </c>
      <c r="H276" s="212">
        <v>9.5650619982303731E-3</v>
      </c>
      <c r="I276" s="213">
        <v>1.842836643781709E-4</v>
      </c>
    </row>
    <row r="277" spans="1:12">
      <c r="A277" s="181"/>
      <c r="B277" s="268"/>
      <c r="C277" s="268"/>
      <c r="D277" s="268"/>
      <c r="E277" s="211"/>
      <c r="F277" s="212"/>
      <c r="G277" s="212"/>
      <c r="H277" s="212"/>
      <c r="I277" s="213"/>
    </row>
    <row r="278" spans="1:12">
      <c r="A278" s="181"/>
      <c r="B278" s="268"/>
      <c r="C278" s="268"/>
      <c r="D278" s="268"/>
      <c r="E278" s="211"/>
      <c r="F278" s="212"/>
      <c r="G278" s="212"/>
      <c r="H278" s="212"/>
      <c r="I278" s="213"/>
    </row>
    <row r="279" spans="1:12">
      <c r="A279" s="263" t="s">
        <v>172</v>
      </c>
      <c r="B279" s="269"/>
      <c r="C279" s="269"/>
      <c r="D279" s="270"/>
      <c r="E279" s="211"/>
      <c r="F279" s="212"/>
      <c r="G279" s="212"/>
      <c r="H279" s="212"/>
      <c r="I279" s="213"/>
    </row>
    <row r="280" spans="1:12">
      <c r="A280" s="181" t="s">
        <v>173</v>
      </c>
      <c r="B280" s="268">
        <v>276.81829985708532</v>
      </c>
      <c r="C280" s="268">
        <v>327.66328392764575</v>
      </c>
      <c r="D280" s="268">
        <v>395.61353246394816</v>
      </c>
      <c r="E280" s="211">
        <v>1.1061824031974865E-3</v>
      </c>
      <c r="F280" s="212">
        <v>1.7271182297544874E-2</v>
      </c>
      <c r="G280" s="212">
        <v>5.9367806257755174E-3</v>
      </c>
      <c r="H280" s="212">
        <v>7.3925545281789962E-3</v>
      </c>
      <c r="I280" s="213">
        <v>9.4670970691075329E-3</v>
      </c>
    </row>
    <row r="281" spans="1:12">
      <c r="A281" s="181" t="s">
        <v>170</v>
      </c>
      <c r="B281" s="268">
        <v>57.725999999999999</v>
      </c>
      <c r="C281" s="268">
        <v>39.574377037568901</v>
      </c>
      <c r="D281" s="268">
        <v>43.551850725682037</v>
      </c>
      <c r="E281" s="211">
        <v>-3.4200000000000008E-2</v>
      </c>
      <c r="F281" s="212">
        <v>1.9400000000000084E-2</v>
      </c>
      <c r="G281" s="212">
        <v>4.1999999999999815E-3</v>
      </c>
      <c r="H281" s="212">
        <v>5.5000000000000604E-3</v>
      </c>
      <c r="I281" s="213">
        <v>4.7999999999999154E-3</v>
      </c>
    </row>
    <row r="282" spans="1:12">
      <c r="A282" s="181" t="s">
        <v>174</v>
      </c>
      <c r="B282" s="268">
        <v>7.2610000000000001</v>
      </c>
      <c r="C282" s="268">
        <v>8.0926323605670127</v>
      </c>
      <c r="D282" s="209">
        <v>8.7652451574738421</v>
      </c>
      <c r="E282" s="211">
        <v>1.8000000000000238E-3</v>
      </c>
      <c r="F282" s="212">
        <v>1.1800000000000033E-2</v>
      </c>
      <c r="G282" s="212">
        <v>-3.4999999999999476E-3</v>
      </c>
      <c r="H282" s="212">
        <v>8.0999999999999961E-3</v>
      </c>
      <c r="I282" s="213">
        <v>4.0000000000000036E-3</v>
      </c>
      <c r="L282" s="271"/>
    </row>
    <row r="283" spans="1:12">
      <c r="A283" s="181"/>
      <c r="B283" s="268"/>
      <c r="C283" s="268"/>
      <c r="D283" s="268"/>
      <c r="E283" s="211"/>
      <c r="F283" s="212"/>
      <c r="G283" s="212"/>
      <c r="H283" s="212"/>
      <c r="I283" s="213"/>
    </row>
    <row r="284" spans="1:12">
      <c r="A284" s="181" t="s">
        <v>175</v>
      </c>
      <c r="B284" s="268">
        <v>397.56713730341966</v>
      </c>
      <c r="C284" s="268">
        <v>432.99790404653504</v>
      </c>
      <c r="D284" s="268">
        <v>431.24073766607404</v>
      </c>
      <c r="E284" s="211">
        <v>7.2979366165732973E-3</v>
      </c>
      <c r="F284" s="212">
        <v>2.3526637143203022E-3</v>
      </c>
      <c r="G284" s="212">
        <v>-2.519915114473914E-3</v>
      </c>
      <c r="H284" s="212">
        <v>-4.5568837004187346E-3</v>
      </c>
      <c r="I284" s="213">
        <v>-2.0329919254025164E-4</v>
      </c>
    </row>
    <row r="285" spans="1:12" ht="15.75" thickBot="1">
      <c r="A285" s="241"/>
      <c r="B285" s="272"/>
      <c r="C285" s="272"/>
      <c r="D285" s="272"/>
      <c r="E285" s="217"/>
      <c r="F285" s="218"/>
      <c r="G285" s="218"/>
      <c r="H285" s="218"/>
      <c r="I285" s="219"/>
    </row>
    <row r="286" spans="1:12">
      <c r="A286" s="195"/>
      <c r="B286" s="273"/>
      <c r="C286" s="273"/>
      <c r="D286" s="273"/>
    </row>
    <row r="287" spans="1:12">
      <c r="A287" s="195"/>
      <c r="B287" s="273"/>
      <c r="C287" s="274"/>
      <c r="D287" s="274"/>
    </row>
    <row r="288" spans="1:12" ht="16.5" thickBot="1">
      <c r="A288" s="91" t="s">
        <v>176</v>
      </c>
      <c r="B288" s="80"/>
      <c r="C288" s="80"/>
      <c r="D288" s="80"/>
      <c r="E288" s="80"/>
      <c r="F288" s="80"/>
      <c r="G288" s="80"/>
      <c r="H288" s="80"/>
      <c r="I288" s="80"/>
    </row>
    <row r="289" spans="1:10" ht="15.75" thickBot="1">
      <c r="A289" s="177" t="s">
        <v>51</v>
      </c>
      <c r="B289" s="178">
        <v>2000</v>
      </c>
      <c r="C289" s="178">
        <v>2030</v>
      </c>
      <c r="D289" s="178">
        <v>2050</v>
      </c>
      <c r="E289" s="197" t="s">
        <v>98</v>
      </c>
      <c r="F289" s="198" t="s">
        <v>99</v>
      </c>
      <c r="G289" s="198" t="s">
        <v>100</v>
      </c>
      <c r="H289" s="198" t="s">
        <v>101</v>
      </c>
      <c r="I289" s="199" t="s">
        <v>102</v>
      </c>
    </row>
    <row r="290" spans="1:10">
      <c r="A290" s="181" t="s">
        <v>177</v>
      </c>
      <c r="B290" s="209">
        <v>13.997119781533799</v>
      </c>
      <c r="C290" s="209">
        <v>7.3616921669801201</v>
      </c>
      <c r="D290" s="209">
        <v>0.70284517859871498</v>
      </c>
      <c r="E290" s="203">
        <v>-4.8560460379067139E-2</v>
      </c>
      <c r="F290" s="204">
        <v>2.7482116744335539E-2</v>
      </c>
      <c r="G290" s="204">
        <v>8.7951632835900906E-3</v>
      </c>
      <c r="H290" s="204">
        <v>-1.4930336626109986E-2</v>
      </c>
      <c r="I290" s="205">
        <v>-0.1108109603663463</v>
      </c>
      <c r="J290" s="206"/>
    </row>
    <row r="291" spans="1:10">
      <c r="A291" s="181" t="s">
        <v>178</v>
      </c>
      <c r="B291" s="209">
        <v>26.535790998485542</v>
      </c>
      <c r="C291" s="209">
        <v>20.956568236101596</v>
      </c>
      <c r="D291" s="209">
        <v>2.7528416383164336</v>
      </c>
      <c r="E291" s="211">
        <v>1.4687516164497039E-2</v>
      </c>
      <c r="F291" s="212">
        <v>-1.3894208811641939E-2</v>
      </c>
      <c r="G291" s="212">
        <v>-3.5852489404619825E-2</v>
      </c>
      <c r="H291" s="212">
        <v>-3.9640846091020476E-2</v>
      </c>
      <c r="I291" s="213">
        <v>-9.6510617718959413E-2</v>
      </c>
      <c r="J291" s="206"/>
    </row>
    <row r="292" spans="1:10">
      <c r="A292" s="181" t="s">
        <v>179</v>
      </c>
      <c r="B292" s="209">
        <v>1.783802992</v>
      </c>
      <c r="C292" s="209">
        <v>1.5684339680142472</v>
      </c>
      <c r="D292" s="209">
        <v>1.5127612269015085</v>
      </c>
      <c r="E292" s="211">
        <v>-1.2369884935951925E-2</v>
      </c>
      <c r="F292" s="212">
        <v>-6.5069060666167466E-5</v>
      </c>
      <c r="G292" s="212">
        <v>6.7359140300744524E-3</v>
      </c>
      <c r="H292" s="212">
        <v>4.9711541088124367E-3</v>
      </c>
      <c r="I292" s="213">
        <v>-1.8054203114803435E-3</v>
      </c>
      <c r="J292" s="206"/>
    </row>
    <row r="293" spans="1:10">
      <c r="A293" s="181" t="s">
        <v>180</v>
      </c>
      <c r="B293" s="209">
        <v>0.20852249504211356</v>
      </c>
      <c r="C293" s="209">
        <v>-1.6390543817852597E-3</v>
      </c>
      <c r="D293" s="209">
        <v>1.1109676647870722E-3</v>
      </c>
      <c r="E293" s="211">
        <v>-3.6118422355186475E-2</v>
      </c>
      <c r="F293" s="212">
        <v>9.1425539228615627E-3</v>
      </c>
      <c r="G293" s="212">
        <v>8.8510241075989704E-3</v>
      </c>
      <c r="H293" s="212">
        <v>-1.4161381109390099</v>
      </c>
      <c r="I293" s="213" t="e">
        <v>#NUM!</v>
      </c>
      <c r="J293" s="206"/>
    </row>
    <row r="294" spans="1:10">
      <c r="A294" s="181" t="s">
        <v>181</v>
      </c>
      <c r="B294" s="209">
        <v>0</v>
      </c>
      <c r="C294" s="209">
        <v>0.93047307809883106</v>
      </c>
      <c r="D294" s="209">
        <v>3.6028639370370201</v>
      </c>
      <c r="E294" s="211"/>
      <c r="F294" s="212">
        <v>0.16081011856725658</v>
      </c>
      <c r="G294" s="212">
        <v>0.20970910495476347</v>
      </c>
      <c r="H294" s="212">
        <v>0.15178854719978596</v>
      </c>
      <c r="I294" s="213">
        <v>7.0033076020741269E-2</v>
      </c>
      <c r="J294" s="206"/>
    </row>
    <row r="295" spans="1:10">
      <c r="A295" s="181" t="s">
        <v>104</v>
      </c>
      <c r="B295" s="209">
        <v>0.80670000000000019</v>
      </c>
      <c r="C295" s="209">
        <v>3.1050811964351928</v>
      </c>
      <c r="D295" s="209">
        <v>8.1245524383179717</v>
      </c>
      <c r="E295" s="211">
        <v>6.7135895005314694E-3</v>
      </c>
      <c r="F295" s="212">
        <v>6.3487840029791798E-2</v>
      </c>
      <c r="G295" s="212">
        <v>0.11229146425059078</v>
      </c>
      <c r="H295" s="212">
        <v>8.4933837645329913E-2</v>
      </c>
      <c r="I295" s="213">
        <v>4.92677488585469E-2</v>
      </c>
      <c r="J295" s="206"/>
    </row>
    <row r="296" spans="1:10">
      <c r="A296" s="181" t="s">
        <v>109</v>
      </c>
      <c r="B296" s="209">
        <v>0</v>
      </c>
      <c r="C296" s="209">
        <v>0</v>
      </c>
      <c r="D296" s="209">
        <v>8.5984522785898534E-2</v>
      </c>
      <c r="E296" s="211"/>
      <c r="F296" s="212"/>
      <c r="G296" s="212"/>
      <c r="H296" s="212"/>
      <c r="I296" s="213"/>
      <c r="J296" s="206"/>
    </row>
    <row r="297" spans="1:10">
      <c r="A297" s="181"/>
      <c r="B297" s="182"/>
      <c r="C297" s="182"/>
      <c r="D297" s="182"/>
      <c r="E297" s="211"/>
      <c r="F297" s="212"/>
      <c r="G297" s="212"/>
      <c r="H297" s="212"/>
      <c r="I297" s="213"/>
    </row>
    <row r="298" spans="1:10" ht="15.75" thickBot="1">
      <c r="A298" s="190" t="s">
        <v>10</v>
      </c>
      <c r="B298" s="226">
        <v>43.331936267061451</v>
      </c>
      <c r="C298" s="226">
        <v>33.920609591248201</v>
      </c>
      <c r="D298" s="226">
        <v>16.782959909622335</v>
      </c>
      <c r="E298" s="217">
        <v>-1.7114473081362158E-3</v>
      </c>
      <c r="F298" s="218">
        <v>-4.0512974285620285E-3</v>
      </c>
      <c r="G298" s="218">
        <v>-1.8076355074965966E-2</v>
      </c>
      <c r="H298" s="218">
        <v>-2.1303243667912919E-2</v>
      </c>
      <c r="I298" s="219">
        <v>-3.4571210691747067E-2</v>
      </c>
      <c r="J298" s="186"/>
    </row>
    <row r="299" spans="1:10">
      <c r="A299" s="195"/>
      <c r="B299" s="171"/>
      <c r="C299" s="254"/>
      <c r="J299" s="222"/>
    </row>
    <row r="300" spans="1:10">
      <c r="A300" s="195"/>
      <c r="B300" s="171"/>
      <c r="C300" s="254"/>
    </row>
    <row r="301" spans="1:10" ht="16.5" thickBot="1">
      <c r="A301" s="91" t="s">
        <v>182</v>
      </c>
      <c r="B301" s="80"/>
      <c r="C301" s="275"/>
      <c r="D301" s="275"/>
      <c r="E301" s="80"/>
      <c r="F301" s="80"/>
      <c r="G301" s="80"/>
      <c r="H301" s="80"/>
      <c r="I301" s="80"/>
    </row>
    <row r="302" spans="1:10" ht="15.75" thickBot="1">
      <c r="A302" s="177" t="s">
        <v>51</v>
      </c>
      <c r="B302" s="178">
        <v>2000</v>
      </c>
      <c r="C302" s="178">
        <v>2030</v>
      </c>
      <c r="D302" s="178">
        <v>2050</v>
      </c>
      <c r="E302" s="197" t="s">
        <v>98</v>
      </c>
      <c r="F302" s="198" t="s">
        <v>99</v>
      </c>
      <c r="G302" s="198" t="s">
        <v>100</v>
      </c>
      <c r="H302" s="198" t="s">
        <v>101</v>
      </c>
      <c r="I302" s="199" t="s">
        <v>102</v>
      </c>
    </row>
    <row r="303" spans="1:10">
      <c r="A303" s="181" t="s">
        <v>183</v>
      </c>
      <c r="B303" s="182">
        <v>39.905836568061453</v>
      </c>
      <c r="C303" s="182">
        <v>30.817366953640541</v>
      </c>
      <c r="D303" s="182">
        <v>13.822431129824748</v>
      </c>
      <c r="E303" s="203">
        <v>-1.0591228097824867E-3</v>
      </c>
      <c r="F303" s="204">
        <v>-4.6044738636766835E-3</v>
      </c>
      <c r="G303" s="204">
        <v>-1.9831245959978649E-2</v>
      </c>
      <c r="H303" s="204">
        <v>-2.358165916746735E-2</v>
      </c>
      <c r="I303" s="205">
        <v>-3.929633997209192E-2</v>
      </c>
    </row>
    <row r="304" spans="1:10">
      <c r="A304" s="181" t="s">
        <v>184</v>
      </c>
      <c r="B304" s="209">
        <v>1.1697000000000002</v>
      </c>
      <c r="C304" s="209">
        <v>1.1633620850321045</v>
      </c>
      <c r="D304" s="209">
        <v>1.231147369555037</v>
      </c>
      <c r="E304" s="211">
        <v>-9.3887516254735903E-3</v>
      </c>
      <c r="F304" s="212">
        <v>1.1899222699643497E-2</v>
      </c>
      <c r="G304" s="212">
        <v>8.8578864839432558E-3</v>
      </c>
      <c r="H304" s="212">
        <v>6.5864091148477577E-3</v>
      </c>
      <c r="I304" s="213">
        <v>2.8356324809348799E-3</v>
      </c>
    </row>
    <row r="305" spans="1:11">
      <c r="A305" s="181" t="s">
        <v>185</v>
      </c>
      <c r="B305" s="209">
        <v>0.47259670699999995</v>
      </c>
      <c r="C305" s="209">
        <v>0.37144658456130919</v>
      </c>
      <c r="D305" s="209">
        <v>0.21662018334104061</v>
      </c>
      <c r="E305" s="211">
        <v>-1.6759290797919713E-3</v>
      </c>
      <c r="F305" s="212">
        <v>-6.1586392630241793E-3</v>
      </c>
      <c r="G305" s="212">
        <v>-2.2935777745134667E-2</v>
      </c>
      <c r="H305" s="212">
        <v>-1.3660717152266577E-2</v>
      </c>
      <c r="I305" s="213">
        <v>-2.660272192627311E-2</v>
      </c>
    </row>
    <row r="306" spans="1:11">
      <c r="A306" s="181" t="s">
        <v>186</v>
      </c>
      <c r="B306" s="209">
        <v>1.783802992</v>
      </c>
      <c r="C306" s="209">
        <v>1.5684339680142472</v>
      </c>
      <c r="D306" s="209">
        <v>1.5127612269015085</v>
      </c>
      <c r="E306" s="211">
        <v>-1.2369884935951925E-2</v>
      </c>
      <c r="F306" s="212">
        <v>-6.5069060666167466E-5</v>
      </c>
      <c r="G306" s="212">
        <v>6.7359140300744524E-3</v>
      </c>
      <c r="H306" s="212">
        <v>4.9711541088124367E-3</v>
      </c>
      <c r="I306" s="213">
        <v>-1.8054203114803435E-3</v>
      </c>
    </row>
    <row r="307" spans="1:11">
      <c r="A307" s="181"/>
      <c r="B307" s="182"/>
      <c r="C307" s="182"/>
      <c r="D307" s="182"/>
      <c r="E307" s="211"/>
      <c r="F307" s="212"/>
      <c r="G307" s="212"/>
      <c r="H307" s="212"/>
      <c r="I307" s="213"/>
    </row>
    <row r="308" spans="1:11" ht="15.75" thickBot="1">
      <c r="A308" s="241" t="s">
        <v>10</v>
      </c>
      <c r="B308" s="226">
        <v>43.331936267061451</v>
      </c>
      <c r="C308" s="226">
        <v>33.920609591248201</v>
      </c>
      <c r="D308" s="226">
        <v>16.782959909622335</v>
      </c>
      <c r="E308" s="217">
        <v>-1.7114473081362158E-3</v>
      </c>
      <c r="F308" s="218">
        <v>-4.0512974285620285E-3</v>
      </c>
      <c r="G308" s="218">
        <v>-1.8076355074965966E-2</v>
      </c>
      <c r="H308" s="218">
        <v>-2.1303243667912808E-2</v>
      </c>
      <c r="I308" s="219">
        <v>-3.4571210691747067E-2</v>
      </c>
    </row>
    <row r="309" spans="1:11">
      <c r="A309" s="195"/>
      <c r="B309" s="276"/>
    </row>
    <row r="310" spans="1:11">
      <c r="A310" s="195"/>
      <c r="B310" s="276"/>
    </row>
    <row r="311" spans="1:11" ht="16.5" thickBot="1">
      <c r="A311" s="91" t="s">
        <v>187</v>
      </c>
      <c r="B311" s="277"/>
      <c r="C311" s="80"/>
      <c r="D311" s="80"/>
      <c r="E311" s="80"/>
      <c r="F311" s="80"/>
      <c r="G311" s="80"/>
      <c r="H311" s="80"/>
      <c r="I311" s="80"/>
    </row>
    <row r="312" spans="1:11" ht="15.75" thickBot="1">
      <c r="A312" s="177" t="s">
        <v>51</v>
      </c>
      <c r="B312" s="178">
        <v>2000</v>
      </c>
      <c r="C312" s="178">
        <v>2030</v>
      </c>
      <c r="D312" s="178">
        <v>2050</v>
      </c>
      <c r="E312" s="197" t="s">
        <v>98</v>
      </c>
      <c r="F312" s="198" t="s">
        <v>99</v>
      </c>
      <c r="G312" s="198" t="s">
        <v>100</v>
      </c>
      <c r="H312" s="198" t="s">
        <v>101</v>
      </c>
      <c r="I312" s="199" t="s">
        <v>102</v>
      </c>
    </row>
    <row r="313" spans="1:11">
      <c r="A313" s="263" t="s">
        <v>188</v>
      </c>
      <c r="B313" s="182">
        <v>24.027286900070735</v>
      </c>
      <c r="C313" s="182">
        <v>17.114729421604906</v>
      </c>
      <c r="D313" s="182">
        <v>5.4108673334362987</v>
      </c>
      <c r="E313" s="203">
        <v>-1.6696791447358139E-3</v>
      </c>
      <c r="F313" s="204">
        <v>-6.6004028423241046E-3</v>
      </c>
      <c r="G313" s="204">
        <v>-2.3776978330879994E-2</v>
      </c>
      <c r="H313" s="204">
        <v>-3.1639086548690742E-2</v>
      </c>
      <c r="I313" s="205">
        <v>-5.5950335102449733E-2</v>
      </c>
      <c r="K313" s="248"/>
    </row>
    <row r="314" spans="1:11">
      <c r="A314" s="181" t="s">
        <v>177</v>
      </c>
      <c r="B314" s="209">
        <v>13.39859269494649</v>
      </c>
      <c r="C314" s="209">
        <v>7.0493412936793911</v>
      </c>
      <c r="D314" s="209">
        <v>0.69666280639901523</v>
      </c>
      <c r="E314" s="211">
        <v>-5.0921821341770257E-2</v>
      </c>
      <c r="F314" s="212">
        <v>3.1446491688119638E-2</v>
      </c>
      <c r="G314" s="212">
        <v>1.1199096554230348E-2</v>
      </c>
      <c r="H314" s="212">
        <v>-1.3655720677873573E-2</v>
      </c>
      <c r="I314" s="213">
        <v>-0.10927487174323569</v>
      </c>
    </row>
    <row r="315" spans="1:11">
      <c r="A315" s="181" t="s">
        <v>178</v>
      </c>
      <c r="B315" s="209">
        <v>10.470294291485542</v>
      </c>
      <c r="C315" s="209">
        <v>8.7753135908489099</v>
      </c>
      <c r="D315" s="209">
        <v>0.54710495232365219</v>
      </c>
      <c r="E315" s="211">
        <v>3.3517742695645003E-2</v>
      </c>
      <c r="F315" s="212">
        <v>-2.2685635126629244E-2</v>
      </c>
      <c r="G315" s="212">
        <v>-5.148675456623053E-2</v>
      </c>
      <c r="H315" s="212">
        <v>-5.6744689180459829E-2</v>
      </c>
      <c r="I315" s="213">
        <v>-0.12955687383007697</v>
      </c>
    </row>
    <row r="316" spans="1:11">
      <c r="A316" s="181" t="s">
        <v>180</v>
      </c>
      <c r="B316" s="209">
        <v>0.15839991363870282</v>
      </c>
      <c r="C316" s="209">
        <v>5.0098788547381715E-4</v>
      </c>
      <c r="D316" s="209">
        <v>-1.3025685022319245E-4</v>
      </c>
      <c r="E316" s="211">
        <v>-1.3210630531568235E-2</v>
      </c>
      <c r="F316" s="212">
        <v>2.7190924149946838E-3</v>
      </c>
      <c r="G316" s="212">
        <v>5.0457236189127563E-3</v>
      </c>
      <c r="H316" s="212">
        <v>-0.67343024104122451</v>
      </c>
      <c r="I316" s="213" t="e">
        <v>#NUM!</v>
      </c>
    </row>
    <row r="317" spans="1:11">
      <c r="A317" s="181" t="s">
        <v>181</v>
      </c>
      <c r="B317" s="209">
        <v>0</v>
      </c>
      <c r="C317" s="209">
        <v>0</v>
      </c>
      <c r="D317" s="209">
        <v>0</v>
      </c>
      <c r="E317" s="211"/>
      <c r="F317" s="212"/>
      <c r="G317" s="212"/>
      <c r="H317" s="212"/>
      <c r="I317" s="213"/>
    </row>
    <row r="318" spans="1:11">
      <c r="A318" s="181" t="s">
        <v>109</v>
      </c>
      <c r="B318" s="209">
        <v>0</v>
      </c>
      <c r="C318" s="209">
        <v>0</v>
      </c>
      <c r="D318" s="209">
        <v>0</v>
      </c>
      <c r="E318" s="211"/>
      <c r="F318" s="212"/>
      <c r="G318" s="212"/>
      <c r="H318" s="212"/>
      <c r="I318" s="213"/>
    </row>
    <row r="319" spans="1:11">
      <c r="A319" s="181" t="s">
        <v>104</v>
      </c>
      <c r="B319" s="209">
        <v>0</v>
      </c>
      <c r="C319" s="209">
        <v>1.2895735491911335</v>
      </c>
      <c r="D319" s="209">
        <v>4.1672298315638541</v>
      </c>
      <c r="E319" s="211"/>
      <c r="F319" s="212"/>
      <c r="G319" s="212"/>
      <c r="H319" s="212"/>
      <c r="I319" s="213"/>
    </row>
    <row r="320" spans="1:11">
      <c r="A320" s="181"/>
      <c r="B320" s="182"/>
      <c r="C320" s="182"/>
      <c r="D320" s="244"/>
      <c r="E320" s="211"/>
      <c r="F320" s="212"/>
      <c r="G320" s="212"/>
      <c r="H320" s="212"/>
      <c r="I320" s="213"/>
    </row>
    <row r="321" spans="1:9">
      <c r="A321" s="263" t="s">
        <v>189</v>
      </c>
      <c r="B321" s="182">
        <v>14.86224967499072</v>
      </c>
      <c r="C321" s="182">
        <v>12.385410509510248</v>
      </c>
      <c r="D321" s="182">
        <v>7.4779451697917185</v>
      </c>
      <c r="E321" s="211">
        <v>-2.2478373250710559E-3</v>
      </c>
      <c r="F321" s="212">
        <v>-2.0483570847040777E-3</v>
      </c>
      <c r="G321" s="212">
        <v>-1.4729965365314568E-2</v>
      </c>
      <c r="H321" s="212">
        <v>-1.273812775691141E-2</v>
      </c>
      <c r="I321" s="213">
        <v>-2.4912490022039324E-2</v>
      </c>
    </row>
    <row r="322" spans="1:9">
      <c r="A322" s="181" t="s">
        <v>177</v>
      </c>
      <c r="B322" s="209">
        <v>0.25552709358730952</v>
      </c>
      <c r="C322" s="209">
        <v>-1.0659262413274266E-2</v>
      </c>
      <c r="D322" s="209">
        <v>6.1823721996996997E-3</v>
      </c>
      <c r="E322" s="211"/>
      <c r="F322" s="212"/>
      <c r="G322" s="212"/>
      <c r="H322" s="212"/>
      <c r="I322" s="213"/>
    </row>
    <row r="323" spans="1:9">
      <c r="A323" s="181" t="s">
        <v>178</v>
      </c>
      <c r="B323" s="209">
        <v>14.5566</v>
      </c>
      <c r="C323" s="209">
        <v>10.988847813814505</v>
      </c>
      <c r="D323" s="209">
        <v>1.9155549180991991</v>
      </c>
      <c r="E323" s="211">
        <v>-8.9652551095531496E-4</v>
      </c>
      <c r="F323" s="212">
        <v>-4.2493456744144842E-3</v>
      </c>
      <c r="G323" s="212">
        <v>-2.1861739114521272E-2</v>
      </c>
      <c r="H323" s="212">
        <v>-2.6813251452596498E-2</v>
      </c>
      <c r="I323" s="213">
        <v>-8.3637892367373845E-2</v>
      </c>
    </row>
    <row r="324" spans="1:9">
      <c r="A324" s="181" t="s">
        <v>180</v>
      </c>
      <c r="B324" s="209">
        <v>5.0122581403410749E-2</v>
      </c>
      <c r="C324" s="209">
        <v>-2.1400422672590768E-3</v>
      </c>
      <c r="D324" s="209">
        <v>1.2412245150102647E-3</v>
      </c>
      <c r="E324" s="211"/>
      <c r="F324" s="212"/>
      <c r="G324" s="212"/>
      <c r="H324" s="212"/>
      <c r="I324" s="213"/>
    </row>
    <row r="325" spans="1:9">
      <c r="A325" s="181" t="s">
        <v>181</v>
      </c>
      <c r="B325" s="209">
        <v>0</v>
      </c>
      <c r="C325" s="209">
        <v>0.86469514683149262</v>
      </c>
      <c r="D325" s="209">
        <v>3.1713207480369392</v>
      </c>
      <c r="E325" s="211"/>
      <c r="F325" s="212"/>
      <c r="G325" s="212"/>
      <c r="H325" s="212"/>
      <c r="I325" s="213"/>
    </row>
    <row r="326" spans="1:9">
      <c r="A326" s="181" t="s">
        <v>109</v>
      </c>
      <c r="B326" s="209">
        <v>0</v>
      </c>
      <c r="C326" s="209">
        <v>0</v>
      </c>
      <c r="D326" s="209">
        <v>4.2992261392949267E-2</v>
      </c>
      <c r="E326" s="211"/>
      <c r="F326" s="212"/>
      <c r="G326" s="212"/>
      <c r="H326" s="212"/>
      <c r="I326" s="213"/>
    </row>
    <row r="327" spans="1:9">
      <c r="A327" s="181" t="s">
        <v>104</v>
      </c>
      <c r="B327" s="209">
        <v>0</v>
      </c>
      <c r="C327" s="209">
        <v>0.54466685354478217</v>
      </c>
      <c r="D327" s="209">
        <v>2.340653645547921</v>
      </c>
      <c r="E327" s="211"/>
      <c r="F327" s="212"/>
      <c r="G327" s="212"/>
      <c r="H327" s="212"/>
      <c r="I327" s="213"/>
    </row>
    <row r="328" spans="1:9">
      <c r="A328" s="181"/>
      <c r="B328" s="182"/>
      <c r="C328" s="182"/>
      <c r="D328" s="244"/>
      <c r="E328" s="211"/>
      <c r="F328" s="212"/>
      <c r="G328" s="212"/>
      <c r="H328" s="212"/>
      <c r="I328" s="213"/>
    </row>
    <row r="329" spans="1:9">
      <c r="A329" s="263" t="s">
        <v>190</v>
      </c>
      <c r="B329" s="182">
        <v>0.67330000000000001</v>
      </c>
      <c r="C329" s="182">
        <v>0.87043822266048954</v>
      </c>
      <c r="D329" s="182">
        <v>0.64480174357798292</v>
      </c>
      <c r="E329" s="211">
        <v>2.0273786312048125E-2</v>
      </c>
      <c r="F329" s="212">
        <v>1.1447699192846272E-2</v>
      </c>
      <c r="G329" s="212">
        <v>-6.573778312624845E-3</v>
      </c>
      <c r="H329" s="212">
        <v>-1.3546467813731922E-2</v>
      </c>
      <c r="I329" s="213">
        <v>-1.4890714964200025E-2</v>
      </c>
    </row>
    <row r="330" spans="1:9">
      <c r="A330" s="181" t="s">
        <v>177</v>
      </c>
      <c r="B330" s="209">
        <v>0</v>
      </c>
      <c r="C330" s="209">
        <v>0</v>
      </c>
      <c r="D330" s="209">
        <v>0</v>
      </c>
      <c r="E330" s="211"/>
      <c r="F330" s="212"/>
      <c r="G330" s="212"/>
      <c r="H330" s="212"/>
      <c r="I330" s="213"/>
    </row>
    <row r="331" spans="1:9">
      <c r="A331" s="181" t="s">
        <v>178</v>
      </c>
      <c r="B331" s="253">
        <v>0.67330000000000001</v>
      </c>
      <c r="C331" s="209">
        <v>0.78216143938249383</v>
      </c>
      <c r="D331" s="209">
        <v>0.2179750401132351</v>
      </c>
      <c r="E331" s="211">
        <v>1.8895344811516779E-2</v>
      </c>
      <c r="F331" s="212">
        <v>7.2028750151427179E-3</v>
      </c>
      <c r="G331" s="212">
        <v>-1.2375747645057444E-2</v>
      </c>
      <c r="H331" s="212">
        <v>-2.0690154917806236E-2</v>
      </c>
      <c r="I331" s="213">
        <v>-6.1886213821090941E-2</v>
      </c>
    </row>
    <row r="332" spans="1:9">
      <c r="A332" s="181" t="s">
        <v>180</v>
      </c>
      <c r="B332" s="209">
        <v>0</v>
      </c>
      <c r="C332" s="209">
        <v>0</v>
      </c>
      <c r="D332" s="209">
        <v>0</v>
      </c>
      <c r="E332" s="211"/>
      <c r="F332" s="212"/>
      <c r="G332" s="212"/>
      <c r="H332" s="212"/>
      <c r="I332" s="213"/>
    </row>
    <row r="333" spans="1:9">
      <c r="A333" s="181" t="s">
        <v>181</v>
      </c>
      <c r="B333" s="209">
        <v>0</v>
      </c>
      <c r="C333" s="209">
        <v>6.5777931267338413E-2</v>
      </c>
      <c r="D333" s="209">
        <v>0.28712973343938736</v>
      </c>
      <c r="E333" s="211"/>
      <c r="F333" s="212">
        <v>0.1480817000629886</v>
      </c>
      <c r="G333" s="212">
        <v>7.959882378385208E-2</v>
      </c>
      <c r="H333" s="212">
        <v>4.2453978710176532E-2</v>
      </c>
      <c r="I333" s="213">
        <v>7.6464960445029595E-2</v>
      </c>
    </row>
    <row r="334" spans="1:9">
      <c r="A334" s="181" t="s">
        <v>109</v>
      </c>
      <c r="B334" s="209">
        <v>0</v>
      </c>
      <c r="C334" s="209">
        <v>0</v>
      </c>
      <c r="D334" s="209">
        <v>0</v>
      </c>
      <c r="E334" s="211"/>
      <c r="F334" s="212"/>
      <c r="G334" s="212"/>
      <c r="H334" s="212"/>
      <c r="I334" s="213"/>
    </row>
    <row r="335" spans="1:9">
      <c r="A335" s="181" t="s">
        <v>104</v>
      </c>
      <c r="B335" s="209">
        <v>0</v>
      </c>
      <c r="C335" s="209">
        <v>2.2498852010657308E-2</v>
      </c>
      <c r="D335" s="209">
        <v>0.13969697002536055</v>
      </c>
      <c r="E335" s="211"/>
      <c r="F335" s="212"/>
      <c r="G335" s="212"/>
      <c r="H335" s="212"/>
      <c r="I335" s="213"/>
    </row>
    <row r="336" spans="1:9">
      <c r="A336" s="181"/>
      <c r="B336" s="182"/>
      <c r="C336" s="182"/>
      <c r="D336" s="244"/>
      <c r="E336" s="211"/>
      <c r="F336" s="212"/>
      <c r="G336" s="212"/>
      <c r="H336" s="212"/>
      <c r="I336" s="213"/>
    </row>
    <row r="337" spans="1:9">
      <c r="A337" s="263" t="s">
        <v>191</v>
      </c>
      <c r="B337" s="253">
        <v>0.342999993</v>
      </c>
      <c r="C337" s="253">
        <v>0.44678879986489639</v>
      </c>
      <c r="D337" s="253">
        <v>0.28881688301874892</v>
      </c>
      <c r="E337" s="211">
        <v>3.3865411086703379E-2</v>
      </c>
      <c r="F337" s="212">
        <v>-1.4380909674792552E-2</v>
      </c>
      <c r="G337" s="212">
        <v>-1.5495619379813697E-2</v>
      </c>
      <c r="H337" s="212">
        <v>-1.6797767177459955E-2</v>
      </c>
      <c r="I337" s="213">
        <v>-2.1578437916988991E-2</v>
      </c>
    </row>
    <row r="338" spans="1:9">
      <c r="A338" s="181" t="s">
        <v>192</v>
      </c>
      <c r="B338" s="253">
        <v>0.342999993</v>
      </c>
      <c r="C338" s="253">
        <v>0.323010135714004</v>
      </c>
      <c r="D338" s="253">
        <v>0</v>
      </c>
      <c r="E338" s="211"/>
      <c r="F338" s="212"/>
      <c r="G338" s="212"/>
      <c r="H338" s="212"/>
      <c r="I338" s="213"/>
    </row>
    <row r="339" spans="1:9">
      <c r="A339" s="181" t="s">
        <v>104</v>
      </c>
      <c r="B339" s="253">
        <v>0</v>
      </c>
      <c r="C339" s="253">
        <v>0.12377866415089239</v>
      </c>
      <c r="D339" s="253">
        <v>0.28881688301874892</v>
      </c>
      <c r="E339" s="211"/>
      <c r="F339" s="212"/>
      <c r="G339" s="212"/>
      <c r="H339" s="212"/>
      <c r="I339" s="213"/>
    </row>
    <row r="340" spans="1:9">
      <c r="A340" s="181"/>
      <c r="B340" s="182"/>
      <c r="C340" s="182"/>
      <c r="D340" s="244"/>
      <c r="E340" s="211"/>
      <c r="F340" s="212"/>
      <c r="G340" s="212"/>
      <c r="H340" s="212"/>
      <c r="I340" s="213"/>
    </row>
    <row r="341" spans="1:9" ht="15.75" thickBot="1">
      <c r="A341" s="241" t="s">
        <v>193</v>
      </c>
      <c r="B341" s="226">
        <v>39.905836568061453</v>
      </c>
      <c r="C341" s="226">
        <v>30.817366953640541</v>
      </c>
      <c r="D341" s="226">
        <v>13.822431129824748</v>
      </c>
      <c r="E341" s="217">
        <v>-1.0591228097824867E-3</v>
      </c>
      <c r="F341" s="218">
        <v>-4.6044738636766835E-3</v>
      </c>
      <c r="G341" s="218">
        <v>-1.9831245959978649E-2</v>
      </c>
      <c r="H341" s="218">
        <v>-2.358165916746735E-2</v>
      </c>
      <c r="I341" s="219">
        <v>-3.929633997209192E-2</v>
      </c>
    </row>
    <row r="342" spans="1:9">
      <c r="A342" s="195"/>
      <c r="B342" s="276"/>
    </row>
    <row r="343" spans="1:9">
      <c r="A343" s="278"/>
      <c r="B343" s="276"/>
    </row>
    <row r="344" spans="1:9" ht="16.5" thickBot="1">
      <c r="A344" s="91" t="s">
        <v>194</v>
      </c>
      <c r="B344" s="277"/>
      <c r="C344" s="80"/>
      <c r="D344" s="80"/>
      <c r="E344" s="80"/>
      <c r="F344" s="80"/>
      <c r="G344" s="80"/>
      <c r="H344" s="80"/>
      <c r="I344" s="80"/>
    </row>
    <row r="345" spans="1:9" ht="15.75" thickBot="1">
      <c r="A345" s="177"/>
      <c r="B345" s="178">
        <v>2000</v>
      </c>
      <c r="C345" s="178">
        <v>2030</v>
      </c>
      <c r="D345" s="178">
        <v>2050</v>
      </c>
      <c r="E345" s="197" t="s">
        <v>98</v>
      </c>
      <c r="F345" s="198" t="s">
        <v>99</v>
      </c>
      <c r="G345" s="198" t="s">
        <v>100</v>
      </c>
      <c r="H345" s="198" t="s">
        <v>101</v>
      </c>
      <c r="I345" s="199" t="s">
        <v>102</v>
      </c>
    </row>
    <row r="346" spans="1:9">
      <c r="A346" s="279" t="s">
        <v>195</v>
      </c>
      <c r="B346" s="280">
        <v>29.760983773998959</v>
      </c>
      <c r="C346" s="201">
        <v>36.435851335195295</v>
      </c>
      <c r="D346" s="281">
        <v>41.278678652849216</v>
      </c>
      <c r="E346" s="203">
        <v>9.2768512208549758E-3</v>
      </c>
      <c r="F346" s="204">
        <v>2.9551187070533391E-3</v>
      </c>
      <c r="G346" s="204">
        <v>5.2092614552610161E-3</v>
      </c>
      <c r="H346" s="204">
        <v>4.6329313905344449E-3</v>
      </c>
      <c r="I346" s="205">
        <v>6.2591518631291976E-3</v>
      </c>
    </row>
    <row r="347" spans="1:9" ht="15.75" thickBot="1">
      <c r="A347" s="190" t="s">
        <v>196</v>
      </c>
      <c r="B347" s="282">
        <v>2.4457815549611052E-2</v>
      </c>
      <c r="C347" s="237">
        <v>1.3086146029216225E-2</v>
      </c>
      <c r="D347" s="283">
        <v>4.6216559616605512E-3</v>
      </c>
      <c r="E347" s="217">
        <v>-1.2768442303100258E-2</v>
      </c>
      <c r="F347" s="218">
        <v>-1.9735527037358369E-2</v>
      </c>
      <c r="G347" s="218">
        <v>-3.0677546546349133E-2</v>
      </c>
      <c r="H347" s="218">
        <v>-3.4815820067358616E-2</v>
      </c>
      <c r="I347" s="219">
        <v>-5.0709154984180382E-2</v>
      </c>
    </row>
    <row r="348" spans="1:9">
      <c r="A348" s="238"/>
      <c r="B348" s="276"/>
    </row>
    <row r="349" spans="1:9" ht="15.75">
      <c r="A349" s="284"/>
    </row>
    <row r="350" spans="1:9" ht="21">
      <c r="A350" s="78" t="s">
        <v>197</v>
      </c>
      <c r="B350" s="73"/>
      <c r="C350" s="73"/>
      <c r="D350" s="239"/>
      <c r="E350" s="239"/>
      <c r="F350" s="239"/>
      <c r="G350" s="239"/>
      <c r="H350" s="239"/>
      <c r="I350" s="239"/>
    </row>
    <row r="351" spans="1:9">
      <c r="C351" s="170"/>
    </row>
    <row r="352" spans="1:9" ht="16.5" thickBot="1">
      <c r="A352" s="91" t="s">
        <v>198</v>
      </c>
      <c r="B352" s="80"/>
      <c r="C352" s="80"/>
      <c r="D352" s="80"/>
      <c r="E352" s="80"/>
      <c r="F352" s="80"/>
      <c r="G352" s="80"/>
      <c r="H352" s="80"/>
      <c r="I352" s="80"/>
    </row>
    <row r="353" spans="1:9" ht="15.75" thickBot="1">
      <c r="A353" s="235" t="s">
        <v>51</v>
      </c>
      <c r="B353" s="178">
        <v>2000</v>
      </c>
      <c r="C353" s="178">
        <v>2030</v>
      </c>
      <c r="D353" s="178">
        <v>2050</v>
      </c>
      <c r="E353" s="197" t="s">
        <v>98</v>
      </c>
      <c r="F353" s="198" t="s">
        <v>99</v>
      </c>
      <c r="G353" s="198" t="s">
        <v>100</v>
      </c>
      <c r="H353" s="198" t="s">
        <v>101</v>
      </c>
      <c r="I353" s="199" t="s">
        <v>102</v>
      </c>
    </row>
    <row r="354" spans="1:9">
      <c r="A354" s="181" t="s">
        <v>103</v>
      </c>
      <c r="B354" s="209">
        <v>3.48</v>
      </c>
      <c r="C354" s="209">
        <v>2.28816075231342</v>
      </c>
      <c r="D354" s="209">
        <v>0.21812059733714201</v>
      </c>
      <c r="E354" s="203">
        <v>-2.1192749945424527E-3</v>
      </c>
      <c r="F354" s="204">
        <v>-2.1515527030530501E-2</v>
      </c>
      <c r="G354" s="204">
        <v>-2.6034696614973707E-2</v>
      </c>
      <c r="H354" s="204">
        <v>-2.8935379084694013E-2</v>
      </c>
      <c r="I354" s="205">
        <v>-0.1108797382107628</v>
      </c>
    </row>
    <row r="355" spans="1:9">
      <c r="A355" s="181" t="s">
        <v>54</v>
      </c>
      <c r="B355" s="209">
        <v>0.29509000000000002</v>
      </c>
      <c r="C355" s="209">
        <v>0.47763215046268398</v>
      </c>
      <c r="D355" s="209">
        <v>0.69442453716561003</v>
      </c>
      <c r="E355" s="211">
        <v>-2.5471521119387774E-2</v>
      </c>
      <c r="F355" s="212">
        <v>0.1151404629217756</v>
      </c>
      <c r="G355" s="212">
        <v>3.4791119493878142E-2</v>
      </c>
      <c r="H355" s="212">
        <v>3.1007772048435189E-2</v>
      </c>
      <c r="I355" s="213">
        <v>1.8888300141020276E-2</v>
      </c>
    </row>
    <row r="356" spans="1:9">
      <c r="A356" s="181" t="s">
        <v>42</v>
      </c>
      <c r="B356" s="209">
        <v>0</v>
      </c>
      <c r="C356" s="209">
        <v>0</v>
      </c>
      <c r="D356" s="209">
        <v>0</v>
      </c>
      <c r="E356" s="211"/>
      <c r="F356" s="212"/>
      <c r="G356" s="212"/>
      <c r="H356" s="212"/>
      <c r="I356" s="213"/>
    </row>
    <row r="357" spans="1:9">
      <c r="A357" s="181" t="s">
        <v>104</v>
      </c>
      <c r="B357" s="209">
        <v>0.51178999999999997</v>
      </c>
      <c r="C357" s="209">
        <v>0.77565894251492096</v>
      </c>
      <c r="D357" s="209">
        <v>0.708817452060579</v>
      </c>
      <c r="E357" s="211">
        <v>2.5486351829053122E-2</v>
      </c>
      <c r="F357" s="212">
        <v>8.1672110616808347E-3</v>
      </c>
      <c r="G357" s="212">
        <v>-1.2068663444770866E-2</v>
      </c>
      <c r="H357" s="212">
        <v>1.1735100919725738E-2</v>
      </c>
      <c r="I357" s="213">
        <v>-4.4956091372805318E-3</v>
      </c>
    </row>
    <row r="358" spans="1:9">
      <c r="A358" s="181" t="s">
        <v>105</v>
      </c>
      <c r="B358" s="209">
        <v>0</v>
      </c>
      <c r="C358" s="209">
        <v>0</v>
      </c>
      <c r="D358" s="209">
        <v>0</v>
      </c>
      <c r="E358" s="211"/>
      <c r="F358" s="212"/>
      <c r="G358" s="212"/>
      <c r="H358" s="212"/>
      <c r="I358" s="213"/>
    </row>
    <row r="359" spans="1:9">
      <c r="A359" s="181" t="s">
        <v>134</v>
      </c>
      <c r="B359" s="209">
        <v>7.0879999999999999E-2</v>
      </c>
      <c r="C359" s="209">
        <v>0.23881607523134199</v>
      </c>
      <c r="D359" s="209">
        <v>0.21917958954438899</v>
      </c>
      <c r="E359" s="211">
        <v>5.554891447930288E-2</v>
      </c>
      <c r="F359" s="212">
        <v>1.6150995791948342E-2</v>
      </c>
      <c r="G359" s="212">
        <v>1.9184102850383855E-2</v>
      </c>
      <c r="H359" s="212">
        <v>4.679584744416565E-2</v>
      </c>
      <c r="I359" s="213">
        <v>-4.2809235424272618E-3</v>
      </c>
    </row>
    <row r="360" spans="1:9">
      <c r="A360" s="181" t="s">
        <v>136</v>
      </c>
      <c r="B360" s="209">
        <v>0</v>
      </c>
      <c r="C360" s="209">
        <v>0.1</v>
      </c>
      <c r="D360" s="209">
        <v>0.44138721696761302</v>
      </c>
      <c r="E360" s="211"/>
      <c r="F360" s="212"/>
      <c r="G360" s="212"/>
      <c r="H360" s="212"/>
      <c r="I360" s="213"/>
    </row>
    <row r="361" spans="1:9">
      <c r="A361" s="181"/>
      <c r="B361" s="182"/>
      <c r="C361" s="182"/>
      <c r="D361" s="182"/>
      <c r="E361" s="211"/>
      <c r="F361" s="212"/>
      <c r="G361" s="212"/>
      <c r="H361" s="212"/>
      <c r="I361" s="213"/>
    </row>
    <row r="362" spans="1:9" ht="15.75" thickBot="1">
      <c r="A362" s="190" t="s">
        <v>10</v>
      </c>
      <c r="B362" s="226">
        <v>4.3577599999999999</v>
      </c>
      <c r="C362" s="226">
        <v>3.8802679205223671</v>
      </c>
      <c r="D362" s="226">
        <v>2.281929393075333</v>
      </c>
      <c r="E362" s="217">
        <v>1.8400208256650341E-3</v>
      </c>
      <c r="F362" s="218">
        <v>-7.2536715970948906E-3</v>
      </c>
      <c r="G362" s="218">
        <v>-1.3693957837460968E-2</v>
      </c>
      <c r="H362" s="218">
        <v>-7.6278491989812958E-3</v>
      </c>
      <c r="I362" s="219">
        <v>-2.6194945385892621E-2</v>
      </c>
    </row>
    <row r="363" spans="1:9" ht="15.75">
      <c r="A363" s="284"/>
    </row>
    <row r="364" spans="1:9" ht="15.75">
      <c r="A364" s="284"/>
    </row>
    <row r="365" spans="1:9" ht="21">
      <c r="A365" s="78" t="s">
        <v>199</v>
      </c>
      <c r="B365" s="73"/>
      <c r="C365" s="73"/>
      <c r="D365" s="239"/>
      <c r="E365" s="239"/>
      <c r="F365" s="239"/>
      <c r="G365" s="239"/>
      <c r="H365" s="239"/>
      <c r="I365" s="239"/>
    </row>
    <row r="366" spans="1:9">
      <c r="C366" s="170"/>
    </row>
    <row r="367" spans="1:9" ht="16.5" thickBot="1">
      <c r="A367" s="91" t="s">
        <v>200</v>
      </c>
      <c r="B367" s="80"/>
      <c r="C367" s="80"/>
      <c r="D367" s="80"/>
      <c r="E367" s="80"/>
      <c r="F367" s="80"/>
      <c r="G367" s="80"/>
      <c r="H367" s="80"/>
      <c r="I367" s="80"/>
    </row>
    <row r="368" spans="1:9" ht="15.75" thickBot="1">
      <c r="A368" s="235" t="s">
        <v>51</v>
      </c>
      <c r="B368" s="178">
        <v>2000</v>
      </c>
      <c r="C368" s="178">
        <v>2030</v>
      </c>
      <c r="D368" s="178">
        <v>2050</v>
      </c>
      <c r="E368" s="197" t="s">
        <v>98</v>
      </c>
      <c r="F368" s="198" t="s">
        <v>99</v>
      </c>
      <c r="G368" s="198" t="s">
        <v>100</v>
      </c>
      <c r="H368" s="198" t="s">
        <v>101</v>
      </c>
      <c r="I368" s="199" t="s">
        <v>102</v>
      </c>
    </row>
    <row r="369" spans="1:10">
      <c r="A369" s="181" t="s">
        <v>103</v>
      </c>
      <c r="B369" s="209">
        <v>22.800202114011181</v>
      </c>
      <c r="C369" s="209">
        <v>5.7819887111288741</v>
      </c>
      <c r="D369" s="209">
        <v>0.56322748731722927</v>
      </c>
      <c r="E369" s="203">
        <v>-2.4663538264336649E-2</v>
      </c>
      <c r="F369" s="204">
        <v>-3.7890281959203409E-2</v>
      </c>
      <c r="G369" s="204">
        <v>-5.7928574077792616E-2</v>
      </c>
      <c r="H369" s="204">
        <v>-9.6234215255071476E-2</v>
      </c>
      <c r="I369" s="205">
        <v>-0.10991736125585239</v>
      </c>
    </row>
    <row r="370" spans="1:10">
      <c r="A370" s="181" t="s">
        <v>201</v>
      </c>
      <c r="B370" s="209">
        <v>42.525236267061452</v>
      </c>
      <c r="C370" s="209">
        <v>29.885055316714176</v>
      </c>
      <c r="D370" s="209">
        <v>4.9695590114814445</v>
      </c>
      <c r="E370" s="211"/>
      <c r="F370" s="212"/>
      <c r="G370" s="212"/>
      <c r="H370" s="212"/>
      <c r="I370" s="213"/>
    </row>
    <row r="371" spans="1:10">
      <c r="A371" s="181" t="s">
        <v>202</v>
      </c>
      <c r="B371" s="182">
        <v>32.847868625078455</v>
      </c>
      <c r="C371" s="182">
        <v>23.258694581457057</v>
      </c>
      <c r="D371" s="182">
        <v>7.1296876763004962</v>
      </c>
      <c r="E371" s="211">
        <v>-3.5564265792484839E-3</v>
      </c>
      <c r="F371" s="212">
        <v>-6.2689883644609923E-3</v>
      </c>
      <c r="G371" s="212">
        <v>-2.1515190497548575E-2</v>
      </c>
      <c r="H371" s="212">
        <v>-2.9859655615526393E-2</v>
      </c>
      <c r="I371" s="213">
        <v>-5.740689525726772E-2</v>
      </c>
    </row>
    <row r="372" spans="1:10">
      <c r="A372" s="181" t="s">
        <v>203</v>
      </c>
      <c r="B372" s="182">
        <v>0</v>
      </c>
      <c r="C372" s="182">
        <v>0.93047307809883106</v>
      </c>
      <c r="D372" s="182">
        <v>3.6028639370370201</v>
      </c>
      <c r="E372" s="211"/>
      <c r="F372" s="212"/>
      <c r="G372" s="212"/>
      <c r="H372" s="212"/>
      <c r="I372" s="213"/>
    </row>
    <row r="373" spans="1:10">
      <c r="A373" s="181" t="s">
        <v>42</v>
      </c>
      <c r="B373" s="182">
        <v>6.7202903804985699</v>
      </c>
      <c r="C373" s="182">
        <v>2.1404310060694471</v>
      </c>
      <c r="D373" s="182">
        <v>0.74476022441954859</v>
      </c>
      <c r="E373" s="211">
        <v>-2.6318420143024879E-2</v>
      </c>
      <c r="F373" s="212">
        <v>-5.920682005832234E-2</v>
      </c>
      <c r="G373" s="212">
        <v>-5.1963528653960478E-2</v>
      </c>
      <c r="H373" s="212">
        <v>-3.3832174138232918E-2</v>
      </c>
      <c r="I373" s="213">
        <v>-5.1416072065252116E-2</v>
      </c>
    </row>
    <row r="374" spans="1:10">
      <c r="A374" s="181" t="s">
        <v>104</v>
      </c>
      <c r="B374" s="182">
        <v>32.608098341652791</v>
      </c>
      <c r="C374" s="182">
        <v>36.727079284167004</v>
      </c>
      <c r="D374" s="182">
        <v>45.016078268538166</v>
      </c>
      <c r="E374" s="211">
        <v>9.1907997532998387E-3</v>
      </c>
      <c r="F374" s="212">
        <v>2.3184906988826803E-4</v>
      </c>
      <c r="G374" s="212">
        <v>-2.2883971074457721E-3</v>
      </c>
      <c r="H374" s="212">
        <v>-1.5952599823521041E-3</v>
      </c>
      <c r="I374" s="213">
        <v>1.0227213217079756E-2</v>
      </c>
    </row>
    <row r="375" spans="1:10">
      <c r="A375" s="181" t="s">
        <v>105</v>
      </c>
      <c r="B375" s="182">
        <v>3.6136280543802326</v>
      </c>
      <c r="C375" s="182">
        <v>4.4932148754867605</v>
      </c>
      <c r="D375" s="182">
        <v>4.2797913311968934</v>
      </c>
      <c r="E375" s="211">
        <v>1.0317444304028811E-3</v>
      </c>
      <c r="F375" s="212">
        <v>7.7748522900427108E-3</v>
      </c>
      <c r="G375" s="212">
        <v>1.9818509083845637E-2</v>
      </c>
      <c r="H375" s="212">
        <v>1.3194424429338492E-2</v>
      </c>
      <c r="I375" s="213">
        <v>-2.430252115850462E-3</v>
      </c>
      <c r="J375" s="285"/>
    </row>
    <row r="376" spans="1:10">
      <c r="A376" s="181" t="s">
        <v>106</v>
      </c>
      <c r="B376" s="209">
        <v>8.2636079446488786</v>
      </c>
      <c r="C376" s="209">
        <v>9.2879951420401436</v>
      </c>
      <c r="D376" s="209">
        <v>6.2547065010281511</v>
      </c>
      <c r="E376" s="211">
        <v>-1.5285416543815544E-2</v>
      </c>
      <c r="F376" s="212">
        <v>2.6612089801718586E-2</v>
      </c>
      <c r="G376" s="212">
        <v>1.8412284594735873E-2</v>
      </c>
      <c r="H376" s="212">
        <v>2.5390623734395268E-2</v>
      </c>
      <c r="I376" s="213">
        <v>-1.9575291367223024E-2</v>
      </c>
      <c r="J376" s="285"/>
    </row>
    <row r="377" spans="1:10">
      <c r="A377" s="181" t="s">
        <v>135</v>
      </c>
      <c r="B377" s="209">
        <v>2.0606803808999999E-2</v>
      </c>
      <c r="C377" s="209">
        <v>0.6897361816565879</v>
      </c>
      <c r="D377" s="209">
        <v>0.7545784485628344</v>
      </c>
      <c r="E377" s="211"/>
      <c r="F377" s="212"/>
      <c r="G377" s="212"/>
      <c r="H377" s="212"/>
      <c r="I377" s="213"/>
      <c r="J377" s="285"/>
    </row>
    <row r="378" spans="1:10">
      <c r="A378" s="181" t="s">
        <v>136</v>
      </c>
      <c r="B378" s="209">
        <v>0</v>
      </c>
      <c r="C378" s="209">
        <v>3.2469417094936275</v>
      </c>
      <c r="D378" s="209">
        <v>5.6245793298238835</v>
      </c>
      <c r="E378" s="211"/>
      <c r="F378" s="212"/>
      <c r="G378" s="212"/>
      <c r="H378" s="212"/>
      <c r="I378" s="213"/>
      <c r="J378" s="285"/>
    </row>
    <row r="379" spans="1:10">
      <c r="A379" s="181" t="s">
        <v>109</v>
      </c>
      <c r="B379" s="209">
        <v>0</v>
      </c>
      <c r="C379" s="209">
        <v>0</v>
      </c>
      <c r="D379" s="209">
        <v>8.5984522785898534E-2</v>
      </c>
      <c r="E379" s="211"/>
      <c r="F379" s="212"/>
      <c r="G379" s="212"/>
      <c r="H379" s="212"/>
      <c r="I379" s="213"/>
      <c r="J379" s="285"/>
    </row>
    <row r="380" spans="1:10">
      <c r="A380" s="181"/>
      <c r="B380" s="182"/>
      <c r="C380" s="182"/>
      <c r="D380" s="182"/>
      <c r="E380" s="211"/>
      <c r="F380" s="212"/>
      <c r="G380" s="212"/>
      <c r="H380" s="212"/>
      <c r="I380" s="213"/>
      <c r="J380" s="285"/>
    </row>
    <row r="381" spans="1:10" ht="15.75" thickBot="1">
      <c r="A381" s="190" t="s">
        <v>10</v>
      </c>
      <c r="B381" s="226">
        <v>149.39953853114051</v>
      </c>
      <c r="C381" s="226">
        <v>116.44160988631251</v>
      </c>
      <c r="D381" s="226">
        <v>79.025816738491571</v>
      </c>
      <c r="E381" s="217">
        <v>-3.5825120954279255E-3</v>
      </c>
      <c r="F381" s="218">
        <v>-6.0857999820592701E-3</v>
      </c>
      <c r="G381" s="218">
        <v>-1.5007246590185708E-2</v>
      </c>
      <c r="H381" s="218">
        <v>-1.7696175741339082E-2</v>
      </c>
      <c r="I381" s="219">
        <v>-1.919416792153894E-2</v>
      </c>
    </row>
    <row r="382" spans="1:10">
      <c r="A382" s="286"/>
      <c r="C382" s="287"/>
      <c r="D382" s="287"/>
      <c r="E382" s="287"/>
    </row>
    <row r="383" spans="1:10">
      <c r="A383" s="288"/>
      <c r="C383" s="287"/>
      <c r="D383" s="287"/>
      <c r="E383" s="287"/>
    </row>
    <row r="384" spans="1:10" ht="16.5" thickBot="1">
      <c r="A384" s="91" t="s">
        <v>204</v>
      </c>
      <c r="B384" s="80"/>
      <c r="C384" s="80"/>
      <c r="D384" s="80"/>
      <c r="E384" s="80"/>
      <c r="F384" s="80"/>
      <c r="G384" s="80"/>
      <c r="H384" s="80"/>
      <c r="I384" s="80"/>
    </row>
    <row r="385" spans="1:9" ht="15.75" thickBot="1">
      <c r="A385" s="235" t="s">
        <v>51</v>
      </c>
      <c r="B385" s="178">
        <v>2000</v>
      </c>
      <c r="C385" s="178">
        <v>2030</v>
      </c>
      <c r="D385" s="178">
        <v>2050</v>
      </c>
      <c r="E385" s="197" t="s">
        <v>98</v>
      </c>
      <c r="F385" s="198" t="s">
        <v>99</v>
      </c>
      <c r="G385" s="198" t="s">
        <v>100</v>
      </c>
      <c r="H385" s="198" t="s">
        <v>101</v>
      </c>
      <c r="I385" s="199" t="s">
        <v>102</v>
      </c>
    </row>
    <row r="386" spans="1:9">
      <c r="A386" s="289" t="s">
        <v>78</v>
      </c>
      <c r="B386" s="182">
        <v>38.915922087477441</v>
      </c>
      <c r="C386" s="182">
        <v>27.499902680015332</v>
      </c>
      <c r="D386" s="182">
        <v>22.436954513361478</v>
      </c>
      <c r="E386" s="203">
        <v>-1.3273030719028855E-2</v>
      </c>
      <c r="F386" s="204">
        <v>-3.4098804545312777E-3</v>
      </c>
      <c r="G386" s="204">
        <v>-1.0923722377949918E-2</v>
      </c>
      <c r="H386" s="204">
        <v>-1.484762675992457E-2</v>
      </c>
      <c r="I386" s="205">
        <v>-1.0122078981262161E-2</v>
      </c>
    </row>
    <row r="387" spans="1:9">
      <c r="A387" s="289" t="s">
        <v>80</v>
      </c>
      <c r="B387" s="182">
        <v>42.776692372461667</v>
      </c>
      <c r="C387" s="182">
        <v>33.411962830782613</v>
      </c>
      <c r="D387" s="182">
        <v>23.664254021098639</v>
      </c>
      <c r="E387" s="211">
        <v>-2.7444237679368211E-3</v>
      </c>
      <c r="F387" s="212">
        <v>-9.437605874686672E-3</v>
      </c>
      <c r="G387" s="212">
        <v>-1.4728075072347302E-2</v>
      </c>
      <c r="H387" s="212">
        <v>-1.6710065541940655E-2</v>
      </c>
      <c r="I387" s="213">
        <v>-1.7099532918173233E-2</v>
      </c>
    </row>
    <row r="388" spans="1:9">
      <c r="A388" s="289" t="s">
        <v>81</v>
      </c>
      <c r="B388" s="182">
        <v>20.017227804139996</v>
      </c>
      <c r="C388" s="182">
        <v>17.728866863743995</v>
      </c>
      <c r="D388" s="182">
        <v>13.85971890133378</v>
      </c>
      <c r="E388" s="211">
        <v>6.1939804284143474E-3</v>
      </c>
      <c r="F388" s="212">
        <v>-7.459120426147603E-3</v>
      </c>
      <c r="G388" s="212">
        <v>-1.5922008030237689E-2</v>
      </c>
      <c r="H388" s="212">
        <v>-1.9082816168849881E-2</v>
      </c>
      <c r="I388" s="213">
        <v>-1.2234912067208059E-2</v>
      </c>
    </row>
    <row r="389" spans="1:9">
      <c r="A389" s="289" t="s">
        <v>82</v>
      </c>
      <c r="B389" s="182">
        <v>4.3577599999999999</v>
      </c>
      <c r="C389" s="182">
        <v>3.8802679205223671</v>
      </c>
      <c r="D389" s="182">
        <v>2.281929393075333</v>
      </c>
      <c r="E389" s="211">
        <v>1.8400208256650341E-3</v>
      </c>
      <c r="F389" s="212">
        <v>-7.2536715970948906E-3</v>
      </c>
      <c r="G389" s="212">
        <v>-1.3693957837460968E-2</v>
      </c>
      <c r="H389" s="212">
        <v>-7.6278491989812958E-3</v>
      </c>
      <c r="I389" s="213">
        <v>-2.6194945385892621E-2</v>
      </c>
    </row>
    <row r="390" spans="1:9">
      <c r="A390" s="289" t="s">
        <v>79</v>
      </c>
      <c r="B390" s="182">
        <v>43.331936267061451</v>
      </c>
      <c r="C390" s="182">
        <v>33.920609591248201</v>
      </c>
      <c r="D390" s="182">
        <v>16.782959909622335</v>
      </c>
      <c r="E390" s="211">
        <v>-1.7114473081362158E-3</v>
      </c>
      <c r="F390" s="212">
        <v>-4.0512974285620285E-3</v>
      </c>
      <c r="G390" s="212">
        <v>-1.8076355074965966E-2</v>
      </c>
      <c r="H390" s="212">
        <v>-2.1303243667912808E-2</v>
      </c>
      <c r="I390" s="213">
        <v>-3.4571210691747067E-2</v>
      </c>
    </row>
    <row r="391" spans="1:9">
      <c r="A391" s="289"/>
      <c r="B391" s="182"/>
      <c r="C391" s="182"/>
      <c r="D391" s="182"/>
      <c r="E391" s="211"/>
      <c r="F391" s="212"/>
      <c r="G391" s="212"/>
      <c r="H391" s="212"/>
      <c r="I391" s="213"/>
    </row>
    <row r="392" spans="1:9" ht="15.75" thickBot="1">
      <c r="A392" s="290" t="s">
        <v>10</v>
      </c>
      <c r="B392" s="226">
        <v>149.39953853114054</v>
      </c>
      <c r="C392" s="226">
        <v>116.44160988631251</v>
      </c>
      <c r="D392" s="226">
        <v>79.025816738491557</v>
      </c>
      <c r="E392" s="217">
        <v>-3.5825120954279255E-3</v>
      </c>
      <c r="F392" s="218">
        <v>-6.0857999820591591E-3</v>
      </c>
      <c r="G392" s="218">
        <v>-1.5007246590185708E-2</v>
      </c>
      <c r="H392" s="218">
        <v>-1.7696175741339082E-2</v>
      </c>
      <c r="I392" s="219">
        <v>-1.919416792153894E-2</v>
      </c>
    </row>
    <row r="393" spans="1:9" ht="15.75">
      <c r="A393" s="284"/>
    </row>
    <row r="394" spans="1:9" ht="15.75">
      <c r="A394" s="284"/>
    </row>
    <row r="395" spans="1:9" ht="16.5" thickBot="1">
      <c r="A395" s="91" t="s">
        <v>205</v>
      </c>
      <c r="B395" s="277"/>
      <c r="C395" s="80"/>
      <c r="D395" s="80"/>
      <c r="E395" s="80"/>
      <c r="F395" s="80"/>
      <c r="G395" s="80"/>
      <c r="H395" s="80"/>
      <c r="I395" s="80"/>
    </row>
    <row r="396" spans="1:9" ht="15.75" thickBot="1">
      <c r="A396" s="177"/>
      <c r="B396" s="178">
        <v>2000</v>
      </c>
      <c r="C396" s="178">
        <v>2030</v>
      </c>
      <c r="D396" s="178">
        <v>2050</v>
      </c>
      <c r="E396" s="197" t="s">
        <v>98</v>
      </c>
      <c r="F396" s="198" t="s">
        <v>99</v>
      </c>
      <c r="G396" s="198" t="s">
        <v>100</v>
      </c>
      <c r="H396" s="198" t="s">
        <v>101</v>
      </c>
      <c r="I396" s="199" t="s">
        <v>102</v>
      </c>
    </row>
    <row r="397" spans="1:9">
      <c r="A397" s="181" t="s">
        <v>196</v>
      </c>
      <c r="B397" s="291">
        <v>8.4325480727922203E-2</v>
      </c>
      <c r="C397" s="291">
        <v>4.4921713648756446E-2</v>
      </c>
      <c r="D397" s="291">
        <v>2.1761962074707864E-2</v>
      </c>
      <c r="E397" s="211">
        <v>-1.4618783268674718E-2</v>
      </c>
      <c r="F397" s="212">
        <v>-2.1737990184502287E-2</v>
      </c>
      <c r="G397" s="212">
        <v>-2.764782444752989E-2</v>
      </c>
      <c r="H397" s="212">
        <v>-3.1258553859877525E-2</v>
      </c>
      <c r="I397" s="213">
        <v>-3.5589152259137946E-2</v>
      </c>
    </row>
    <row r="398" spans="1:9">
      <c r="A398" s="181" t="s">
        <v>206</v>
      </c>
      <c r="B398" s="268">
        <v>214.04976557185552</v>
      </c>
      <c r="C398" s="268">
        <v>164.78368899653216</v>
      </c>
      <c r="D398" s="268">
        <v>144.17050777866757</v>
      </c>
      <c r="E398" s="211">
        <v>-1.98694799483079E-3</v>
      </c>
      <c r="F398" s="212">
        <v>-1.5519831656577554E-2</v>
      </c>
      <c r="G398" s="212">
        <v>-1.5092198101798626E-2</v>
      </c>
      <c r="H398" s="212">
        <v>-1.537993867855858E-2</v>
      </c>
      <c r="I398" s="213">
        <v>-6.6595739495622919E-3</v>
      </c>
    </row>
    <row r="399" spans="1:9">
      <c r="A399" s="181" t="s">
        <v>150</v>
      </c>
      <c r="B399" s="253">
        <v>2.5383047084702253</v>
      </c>
      <c r="C399" s="253">
        <v>1.7110907815790266</v>
      </c>
      <c r="D399" s="253">
        <v>1.1025037736349335</v>
      </c>
      <c r="E399" s="211">
        <v>-9.4269338035228856E-3</v>
      </c>
      <c r="F399" s="212">
        <v>-1.0341261228513532E-2</v>
      </c>
      <c r="G399" s="212">
        <v>-1.8638172082507065E-2</v>
      </c>
      <c r="H399" s="212">
        <v>-2.102480410428953E-2</v>
      </c>
      <c r="I399" s="213">
        <v>-2.1737622229799247E-2</v>
      </c>
    </row>
    <row r="400" spans="1:9" ht="15.75" thickBot="1">
      <c r="A400" s="190" t="s">
        <v>151</v>
      </c>
      <c r="B400" s="292">
        <v>6443.1714246733154</v>
      </c>
      <c r="C400" s="292">
        <v>6276.6940148632757</v>
      </c>
      <c r="D400" s="292">
        <v>7303.9613030838946</v>
      </c>
      <c r="E400" s="217">
        <v>3.2714570186680447E-3</v>
      </c>
      <c r="F400" s="218">
        <v>-4.0506613028475913E-3</v>
      </c>
      <c r="G400" s="218">
        <v>-5.9662074064421589E-3</v>
      </c>
      <c r="H400" s="218">
        <v>-4.9784478039357483E-3</v>
      </c>
      <c r="I400" s="219">
        <v>7.6074625245969862E-3</v>
      </c>
    </row>
    <row r="401" spans="1:1" ht="15.75">
      <c r="A401" s="284"/>
    </row>
    <row r="402" spans="1:1" ht="15.75">
      <c r="A402" s="284"/>
    </row>
    <row r="427" spans="2:11">
      <c r="B427" s="168"/>
      <c r="C427" s="168"/>
      <c r="D427" s="168"/>
      <c r="E427" s="168"/>
      <c r="F427" s="168"/>
      <c r="G427" s="168"/>
      <c r="H427" s="168"/>
      <c r="I427" s="168"/>
      <c r="K427" s="293"/>
    </row>
    <row r="428" spans="2:11">
      <c r="B428" s="168"/>
      <c r="C428" s="168"/>
      <c r="D428" s="168"/>
      <c r="E428" s="168"/>
      <c r="F428" s="168"/>
      <c r="G428" s="168"/>
      <c r="H428" s="168"/>
      <c r="I428" s="168"/>
      <c r="K428" s="207"/>
    </row>
    <row r="429" spans="2:11">
      <c r="B429" s="168"/>
      <c r="C429" s="168"/>
      <c r="D429" s="168"/>
      <c r="E429" s="168"/>
      <c r="F429" s="168"/>
      <c r="G429" s="168"/>
      <c r="H429" s="168"/>
      <c r="I429" s="168"/>
      <c r="K429" s="206"/>
    </row>
    <row r="541" spans="2:9">
      <c r="B541" s="168"/>
      <c r="C541" s="168"/>
      <c r="D541" s="168"/>
      <c r="E541" s="168"/>
      <c r="F541" s="168"/>
      <c r="G541" s="168"/>
      <c r="H541" s="168"/>
      <c r="I541" s="168"/>
    </row>
    <row r="542" spans="2:9">
      <c r="B542" s="168"/>
      <c r="C542" s="168"/>
      <c r="D542" s="168"/>
      <c r="E542" s="168"/>
      <c r="F542" s="168"/>
      <c r="G542" s="168"/>
      <c r="H542" s="168"/>
      <c r="I542" s="168"/>
    </row>
    <row r="543" spans="2:9">
      <c r="B543" s="168"/>
      <c r="C543" s="168"/>
      <c r="D543" s="168"/>
      <c r="E543" s="168"/>
      <c r="F543" s="168"/>
      <c r="G543" s="168"/>
      <c r="H543" s="168"/>
      <c r="I543" s="168"/>
    </row>
    <row r="544" spans="2:9">
      <c r="B544" s="168"/>
      <c r="C544" s="168"/>
      <c r="D544" s="168"/>
      <c r="E544" s="168"/>
      <c r="F544" s="168"/>
      <c r="G544" s="168"/>
      <c r="H544" s="168"/>
      <c r="I544" s="168"/>
    </row>
    <row r="545" spans="2:9">
      <c r="B545" s="168"/>
      <c r="C545" s="168"/>
      <c r="D545" s="168"/>
      <c r="E545" s="168"/>
      <c r="F545" s="168"/>
      <c r="G545" s="168"/>
      <c r="H545" s="168"/>
      <c r="I545" s="168"/>
    </row>
    <row r="546" spans="2:9">
      <c r="B546" s="168"/>
      <c r="C546" s="168"/>
      <c r="D546" s="168"/>
      <c r="E546" s="168"/>
      <c r="F546" s="168"/>
      <c r="G546" s="168"/>
      <c r="H546" s="168"/>
      <c r="I546" s="168"/>
    </row>
    <row r="547" spans="2:9">
      <c r="B547" s="168"/>
      <c r="C547" s="168"/>
      <c r="D547" s="168"/>
      <c r="E547" s="168"/>
      <c r="F547" s="168"/>
      <c r="G547" s="168"/>
      <c r="H547" s="168"/>
      <c r="I547" s="168"/>
    </row>
    <row r="548" spans="2:9">
      <c r="B548" s="168"/>
      <c r="C548" s="168"/>
      <c r="D548" s="168"/>
      <c r="E548" s="168"/>
      <c r="F548" s="168"/>
      <c r="G548" s="168"/>
      <c r="H548" s="168"/>
      <c r="I548" s="168"/>
    </row>
    <row r="549" spans="2:9">
      <c r="B549" s="168"/>
      <c r="C549" s="168"/>
      <c r="D549" s="168"/>
      <c r="E549" s="168"/>
      <c r="F549" s="168"/>
      <c r="G549" s="168"/>
      <c r="H549" s="168"/>
      <c r="I549" s="168"/>
    </row>
    <row r="550" spans="2:9">
      <c r="B550" s="168"/>
      <c r="C550" s="168"/>
      <c r="D550" s="168"/>
      <c r="E550" s="168"/>
      <c r="F550" s="168"/>
      <c r="G550" s="168"/>
      <c r="H550" s="168"/>
      <c r="I550" s="168"/>
    </row>
    <row r="551" spans="2:9">
      <c r="B551" s="168"/>
      <c r="C551" s="168"/>
      <c r="D551" s="168"/>
      <c r="E551" s="168"/>
      <c r="F551" s="168"/>
      <c r="G551" s="168"/>
      <c r="H551" s="168"/>
      <c r="I551" s="168"/>
    </row>
    <row r="552" spans="2:9">
      <c r="B552" s="168"/>
      <c r="C552" s="168"/>
      <c r="D552" s="168"/>
      <c r="E552" s="168"/>
      <c r="F552" s="168"/>
      <c r="G552" s="168"/>
      <c r="H552" s="168"/>
      <c r="I552" s="168"/>
    </row>
    <row r="553" spans="2:9">
      <c r="B553" s="168"/>
      <c r="C553" s="168"/>
      <c r="D553" s="168"/>
      <c r="E553" s="168"/>
      <c r="F553" s="168"/>
      <c r="G553" s="168"/>
      <c r="H553" s="168"/>
      <c r="I553" s="168"/>
    </row>
    <row r="554" spans="2:9">
      <c r="B554" s="168"/>
      <c r="C554" s="168"/>
      <c r="D554" s="168"/>
      <c r="E554" s="168"/>
      <c r="F554" s="168"/>
      <c r="G554" s="168"/>
      <c r="H554" s="168"/>
      <c r="I554" s="168"/>
    </row>
    <row r="555" spans="2:9">
      <c r="B555" s="168"/>
      <c r="C555" s="168"/>
      <c r="D555" s="168"/>
      <c r="E555" s="168"/>
      <c r="F555" s="168"/>
      <c r="G555" s="168"/>
      <c r="H555" s="168"/>
      <c r="I555" s="168"/>
    </row>
    <row r="556" spans="2:9">
      <c r="B556" s="168"/>
      <c r="C556" s="168"/>
      <c r="D556" s="168"/>
      <c r="E556" s="168"/>
      <c r="F556" s="168"/>
      <c r="G556" s="168"/>
      <c r="H556" s="168"/>
      <c r="I556" s="168"/>
    </row>
    <row r="557" spans="2:9">
      <c r="B557" s="168"/>
      <c r="C557" s="168"/>
      <c r="D557" s="168"/>
      <c r="E557" s="168"/>
      <c r="F557" s="168"/>
      <c r="G557" s="168"/>
      <c r="H557" s="168"/>
      <c r="I557" s="168"/>
    </row>
    <row r="558" spans="2:9">
      <c r="B558" s="168"/>
      <c r="C558" s="168"/>
      <c r="D558" s="168"/>
      <c r="E558" s="168"/>
      <c r="F558" s="168"/>
      <c r="G558" s="168"/>
      <c r="H558" s="168"/>
      <c r="I558" s="168"/>
    </row>
    <row r="559" spans="2:9">
      <c r="B559" s="168"/>
      <c r="C559" s="168"/>
      <c r="D559" s="168"/>
      <c r="E559" s="168"/>
      <c r="F559" s="168"/>
      <c r="G559" s="168"/>
      <c r="H559" s="168"/>
      <c r="I559" s="168"/>
    </row>
    <row r="560" spans="2:9">
      <c r="B560" s="168"/>
      <c r="C560" s="168"/>
      <c r="D560" s="168"/>
      <c r="E560" s="168"/>
      <c r="F560" s="168"/>
      <c r="G560" s="168"/>
      <c r="H560" s="168"/>
      <c r="I560" s="168"/>
    </row>
    <row r="561" spans="1:75">
      <c r="B561" s="168"/>
      <c r="C561" s="168"/>
      <c r="D561" s="168"/>
      <c r="E561" s="168"/>
      <c r="F561" s="168"/>
      <c r="G561" s="168"/>
      <c r="H561" s="168"/>
      <c r="I561" s="168"/>
    </row>
    <row r="562" spans="1:75">
      <c r="B562" s="168"/>
      <c r="C562" s="168"/>
      <c r="D562" s="168"/>
      <c r="E562" s="168"/>
      <c r="F562" s="168"/>
      <c r="G562" s="168"/>
      <c r="H562" s="168"/>
      <c r="I562" s="168"/>
    </row>
    <row r="563" spans="1:75">
      <c r="B563" s="168"/>
      <c r="C563" s="168"/>
      <c r="D563" s="168"/>
      <c r="E563" s="168"/>
      <c r="F563" s="168"/>
      <c r="G563" s="168"/>
      <c r="H563" s="168"/>
      <c r="I563" s="168"/>
    </row>
    <row r="564" spans="1:75">
      <c r="A564" s="171"/>
      <c r="B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1"/>
      <c r="AT564" s="171"/>
      <c r="AU564" s="171"/>
      <c r="AV564" s="171"/>
      <c r="AW564" s="171"/>
      <c r="AX564" s="171"/>
      <c r="AY564" s="171"/>
      <c r="AZ564" s="171"/>
      <c r="BA564" s="171"/>
      <c r="BB564" s="171"/>
      <c r="BC564" s="171"/>
      <c r="BD564" s="171"/>
      <c r="BE564" s="171"/>
      <c r="BF564" s="171"/>
      <c r="BG564" s="171"/>
      <c r="BH564" s="171"/>
      <c r="BI564" s="171"/>
      <c r="BJ564" s="171"/>
      <c r="BK564" s="171"/>
      <c r="BL564" s="171"/>
      <c r="BM564" s="171"/>
      <c r="BN564" s="171"/>
      <c r="BO564" s="171"/>
      <c r="BP564" s="171"/>
      <c r="BQ564" s="171"/>
      <c r="BR564" s="171"/>
      <c r="BS564" s="171"/>
      <c r="BT564" s="171"/>
      <c r="BU564" s="171"/>
      <c r="BV564" s="171"/>
      <c r="BW564" s="171"/>
    </row>
    <row r="565" spans="1:75">
      <c r="A565" s="171"/>
      <c r="B565" s="171"/>
      <c r="J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1"/>
      <c r="AT565" s="171"/>
      <c r="AU565" s="171"/>
      <c r="AV565" s="171"/>
      <c r="AW565" s="171"/>
      <c r="AX565" s="171"/>
      <c r="AY565" s="171"/>
      <c r="AZ565" s="171"/>
      <c r="BA565" s="171"/>
      <c r="BB565" s="171"/>
      <c r="BC565" s="171"/>
      <c r="BD565" s="171"/>
      <c r="BE565" s="171"/>
      <c r="BF565" s="171"/>
      <c r="BG565" s="171"/>
      <c r="BH565" s="171"/>
      <c r="BI565" s="171"/>
      <c r="BJ565" s="171"/>
      <c r="BK565" s="171"/>
      <c r="BL565" s="171"/>
      <c r="BM565" s="171"/>
      <c r="BN565" s="171"/>
      <c r="BO565" s="171"/>
      <c r="BP565" s="171"/>
      <c r="BQ565" s="171"/>
      <c r="BR565" s="171"/>
      <c r="BS565" s="171"/>
      <c r="BT565" s="171"/>
      <c r="BU565" s="171"/>
      <c r="BV565" s="171"/>
      <c r="BW565" s="171"/>
    </row>
    <row r="566" spans="1:75">
      <c r="A566" s="171"/>
      <c r="B566" s="171"/>
      <c r="J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1"/>
      <c r="AT566" s="171"/>
      <c r="AU566" s="171"/>
      <c r="AV566" s="171"/>
      <c r="AW566" s="171"/>
      <c r="AX566" s="171"/>
      <c r="AY566" s="171"/>
      <c r="AZ566" s="171"/>
      <c r="BA566" s="171"/>
      <c r="BB566" s="171"/>
      <c r="BC566" s="171"/>
      <c r="BD566" s="171"/>
      <c r="BE566" s="171"/>
      <c r="BF566" s="171"/>
      <c r="BG566" s="171"/>
      <c r="BH566" s="171"/>
      <c r="BI566" s="171"/>
      <c r="BJ566" s="171"/>
      <c r="BK566" s="171"/>
      <c r="BL566" s="171"/>
      <c r="BM566" s="171"/>
      <c r="BN566" s="171"/>
      <c r="BO566" s="171"/>
      <c r="BP566" s="171"/>
      <c r="BQ566" s="171"/>
      <c r="BR566" s="171"/>
      <c r="BS566" s="171"/>
      <c r="BT566" s="171"/>
      <c r="BU566" s="171"/>
      <c r="BV566" s="171"/>
      <c r="BW566" s="171"/>
    </row>
    <row r="567" spans="1:75">
      <c r="A567" s="171"/>
      <c r="B567" s="171"/>
      <c r="J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1"/>
      <c r="AT567" s="171"/>
      <c r="AU567" s="171"/>
      <c r="AV567" s="171"/>
      <c r="AW567" s="171"/>
      <c r="AX567" s="171"/>
      <c r="AY567" s="171"/>
      <c r="AZ567" s="171"/>
      <c r="BA567" s="171"/>
      <c r="BB567" s="171"/>
      <c r="BC567" s="171"/>
      <c r="BD567" s="171"/>
      <c r="BE567" s="171"/>
      <c r="BF567" s="171"/>
      <c r="BG567" s="171"/>
      <c r="BH567" s="171"/>
      <c r="BI567" s="171"/>
      <c r="BJ567" s="171"/>
      <c r="BK567" s="171"/>
      <c r="BL567" s="171"/>
      <c r="BM567" s="171"/>
      <c r="BN567" s="171"/>
      <c r="BO567" s="171"/>
      <c r="BP567" s="171"/>
      <c r="BQ567" s="171"/>
      <c r="BR567" s="171"/>
      <c r="BS567" s="171"/>
      <c r="BT567" s="171"/>
      <c r="BU567" s="171"/>
      <c r="BV567" s="171"/>
      <c r="BW567" s="171"/>
    </row>
    <row r="568" spans="1:75">
      <c r="B568" s="168"/>
      <c r="C568" s="168"/>
      <c r="D568" s="168"/>
      <c r="E568" s="168"/>
      <c r="F568" s="168"/>
      <c r="G568" s="168"/>
      <c r="H568" s="168"/>
      <c r="I568" s="168"/>
    </row>
    <row r="569" spans="1:75">
      <c r="A569" s="171"/>
      <c r="B569" s="171"/>
      <c r="J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1"/>
      <c r="AT569" s="171"/>
      <c r="AU569" s="171"/>
      <c r="AV569" s="171"/>
      <c r="AW569" s="171"/>
      <c r="AX569" s="171"/>
      <c r="AY569" s="171"/>
      <c r="AZ569" s="171"/>
      <c r="BA569" s="171"/>
      <c r="BB569" s="171"/>
      <c r="BC569" s="171"/>
      <c r="BD569" s="171"/>
      <c r="BE569" s="171"/>
      <c r="BF569" s="171"/>
      <c r="BG569" s="171"/>
      <c r="BH569" s="171"/>
      <c r="BI569" s="171"/>
      <c r="BJ569" s="171"/>
      <c r="BK569" s="171"/>
      <c r="BL569" s="171"/>
      <c r="BM569" s="171"/>
      <c r="BN569" s="171"/>
      <c r="BO569" s="171"/>
      <c r="BP569" s="171"/>
      <c r="BQ569" s="171"/>
      <c r="BR569" s="171"/>
      <c r="BS569" s="171"/>
      <c r="BT569" s="171"/>
      <c r="BU569" s="171"/>
      <c r="BV569" s="171"/>
      <c r="BW569" s="171"/>
    </row>
    <row r="570" spans="1:75">
      <c r="A570" s="171"/>
      <c r="B570" s="171"/>
      <c r="J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1"/>
      <c r="AT570" s="171"/>
      <c r="AU570" s="171"/>
      <c r="AV570" s="171"/>
      <c r="AW570" s="171"/>
      <c r="AX570" s="171"/>
      <c r="AY570" s="171"/>
      <c r="AZ570" s="171"/>
      <c r="BA570" s="171"/>
      <c r="BB570" s="171"/>
      <c r="BC570" s="171"/>
      <c r="BD570" s="171"/>
      <c r="BE570" s="171"/>
      <c r="BF570" s="171"/>
      <c r="BG570" s="171"/>
      <c r="BH570" s="171"/>
      <c r="BI570" s="171"/>
      <c r="BJ570" s="171"/>
      <c r="BK570" s="171"/>
      <c r="BL570" s="171"/>
      <c r="BM570" s="171"/>
      <c r="BN570" s="171"/>
      <c r="BO570" s="171"/>
      <c r="BP570" s="171"/>
      <c r="BQ570" s="171"/>
      <c r="BR570" s="171"/>
      <c r="BS570" s="171"/>
      <c r="BT570" s="171"/>
      <c r="BU570" s="171"/>
      <c r="BV570" s="171"/>
      <c r="BW570" s="171"/>
    </row>
    <row r="571" spans="1:75">
      <c r="A571" s="171"/>
      <c r="B571" s="171"/>
      <c r="J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1"/>
      <c r="AT571" s="171"/>
      <c r="AU571" s="171"/>
      <c r="AV571" s="171"/>
      <c r="AW571" s="171"/>
      <c r="AX571" s="171"/>
      <c r="AY571" s="171"/>
      <c r="AZ571" s="171"/>
      <c r="BA571" s="171"/>
      <c r="BB571" s="171"/>
      <c r="BC571" s="171"/>
      <c r="BD571" s="171"/>
      <c r="BE571" s="171"/>
      <c r="BF571" s="171"/>
      <c r="BG571" s="171"/>
      <c r="BH571" s="171"/>
      <c r="BI571" s="171"/>
      <c r="BJ571" s="171"/>
      <c r="BK571" s="171"/>
      <c r="BL571" s="171"/>
      <c r="BM571" s="171"/>
      <c r="BN571" s="171"/>
      <c r="BO571" s="171"/>
      <c r="BP571" s="171"/>
      <c r="BQ571" s="171"/>
      <c r="BR571" s="171"/>
      <c r="BS571" s="171"/>
      <c r="BT571" s="171"/>
      <c r="BU571" s="171"/>
      <c r="BV571" s="171"/>
      <c r="BW571" s="171"/>
    </row>
    <row r="572" spans="1:75">
      <c r="A572" s="171"/>
      <c r="B572" s="171"/>
      <c r="J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1"/>
      <c r="AT572" s="171"/>
      <c r="AU572" s="171"/>
      <c r="AV572" s="171"/>
      <c r="AW572" s="171"/>
      <c r="AX572" s="171"/>
      <c r="AY572" s="171"/>
      <c r="AZ572" s="171"/>
      <c r="BA572" s="171"/>
      <c r="BB572" s="171"/>
      <c r="BC572" s="171"/>
      <c r="BD572" s="171"/>
      <c r="BE572" s="171"/>
      <c r="BF572" s="171"/>
      <c r="BG572" s="171"/>
      <c r="BH572" s="171"/>
      <c r="BI572" s="171"/>
      <c r="BJ572" s="171"/>
      <c r="BK572" s="171"/>
      <c r="BL572" s="171"/>
      <c r="BM572" s="171"/>
      <c r="BN572" s="171"/>
      <c r="BO572" s="171"/>
      <c r="BP572" s="171"/>
      <c r="BQ572" s="171"/>
      <c r="BR572" s="171"/>
      <c r="BS572" s="171"/>
      <c r="BT572" s="171"/>
      <c r="BU572" s="171"/>
      <c r="BV572" s="171"/>
      <c r="BW572" s="171"/>
    </row>
    <row r="573" spans="1:75">
      <c r="A573" s="171"/>
      <c r="B573" s="171"/>
      <c r="J573" s="171"/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1"/>
      <c r="AT573" s="171"/>
      <c r="AU573" s="171"/>
      <c r="AV573" s="171"/>
      <c r="AW573" s="171"/>
      <c r="AX573" s="171"/>
      <c r="AY573" s="171"/>
      <c r="AZ573" s="171"/>
      <c r="BA573" s="171"/>
      <c r="BB573" s="171"/>
      <c r="BC573" s="171"/>
      <c r="BD573" s="171"/>
      <c r="BE573" s="171"/>
      <c r="BF573" s="171"/>
      <c r="BG573" s="171"/>
      <c r="BH573" s="171"/>
      <c r="BI573" s="171"/>
      <c r="BJ573" s="171"/>
      <c r="BK573" s="171"/>
      <c r="BL573" s="171"/>
      <c r="BM573" s="171"/>
      <c r="BN573" s="171"/>
      <c r="BO573" s="171"/>
      <c r="BP573" s="171"/>
      <c r="BQ573" s="171"/>
      <c r="BR573" s="171"/>
      <c r="BS573" s="171"/>
      <c r="BT573" s="171"/>
      <c r="BU573" s="171"/>
      <c r="BV573" s="171"/>
      <c r="BW573" s="171"/>
    </row>
    <row r="574" spans="1:75">
      <c r="A574" s="171"/>
      <c r="B574" s="171"/>
      <c r="J574" s="171"/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171"/>
      <c r="AR574" s="171"/>
      <c r="AS574" s="171"/>
      <c r="AT574" s="171"/>
      <c r="AU574" s="171"/>
      <c r="AV574" s="171"/>
      <c r="AW574" s="171"/>
      <c r="AX574" s="171"/>
      <c r="AY574" s="171"/>
      <c r="AZ574" s="171"/>
      <c r="BA574" s="171"/>
      <c r="BB574" s="171"/>
      <c r="BC574" s="171"/>
      <c r="BD574" s="171"/>
      <c r="BE574" s="171"/>
      <c r="BF574" s="171"/>
      <c r="BG574" s="171"/>
      <c r="BH574" s="171"/>
      <c r="BI574" s="171"/>
      <c r="BJ574" s="171"/>
      <c r="BK574" s="171"/>
      <c r="BL574" s="171"/>
      <c r="BM574" s="171"/>
      <c r="BN574" s="171"/>
      <c r="BO574" s="171"/>
      <c r="BP574" s="171"/>
      <c r="BQ574" s="171"/>
      <c r="BR574" s="171"/>
      <c r="BS574" s="171"/>
      <c r="BT574" s="171"/>
      <c r="BU574" s="171"/>
      <c r="BV574" s="171"/>
      <c r="BW574" s="171"/>
    </row>
    <row r="575" spans="1:75">
      <c r="A575" s="171"/>
      <c r="B575" s="171"/>
      <c r="J575" s="171"/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  <c r="AF575" s="171"/>
      <c r="AG575" s="171"/>
      <c r="AH575" s="171"/>
      <c r="AI575" s="171"/>
      <c r="AJ575" s="171"/>
      <c r="AK575" s="171"/>
      <c r="AL575" s="171"/>
      <c r="AM575" s="171"/>
      <c r="AN575" s="171"/>
      <c r="AO575" s="171"/>
      <c r="AP575" s="171"/>
      <c r="AQ575" s="171"/>
      <c r="AR575" s="171"/>
      <c r="AS575" s="171"/>
      <c r="AT575" s="171"/>
      <c r="AU575" s="171"/>
      <c r="AV575" s="171"/>
      <c r="AW575" s="171"/>
      <c r="AX575" s="171"/>
      <c r="AY575" s="171"/>
      <c r="AZ575" s="171"/>
      <c r="BA575" s="171"/>
      <c r="BB575" s="171"/>
      <c r="BC575" s="171"/>
      <c r="BD575" s="171"/>
      <c r="BE575" s="171"/>
      <c r="BF575" s="171"/>
      <c r="BG575" s="171"/>
      <c r="BH575" s="171"/>
      <c r="BI575" s="171"/>
      <c r="BJ575" s="171"/>
      <c r="BK575" s="171"/>
      <c r="BL575" s="171"/>
      <c r="BM575" s="171"/>
      <c r="BN575" s="171"/>
      <c r="BO575" s="171"/>
      <c r="BP575" s="171"/>
      <c r="BQ575" s="171"/>
      <c r="BR575" s="171"/>
      <c r="BS575" s="171"/>
      <c r="BT575" s="171"/>
      <c r="BU575" s="171"/>
      <c r="BV575" s="171"/>
      <c r="BW575" s="171"/>
    </row>
    <row r="576" spans="1:75">
      <c r="A576" s="171"/>
      <c r="B576" s="171"/>
      <c r="J576" s="171"/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171"/>
      <c r="AR576" s="171"/>
      <c r="AS576" s="171"/>
      <c r="AT576" s="171"/>
      <c r="AU576" s="171"/>
      <c r="AV576" s="171"/>
      <c r="AW576" s="171"/>
      <c r="AX576" s="171"/>
      <c r="AY576" s="171"/>
      <c r="AZ576" s="171"/>
      <c r="BA576" s="171"/>
      <c r="BB576" s="171"/>
      <c r="BC576" s="171"/>
      <c r="BD576" s="171"/>
      <c r="BE576" s="171"/>
      <c r="BF576" s="171"/>
      <c r="BG576" s="171"/>
      <c r="BH576" s="171"/>
      <c r="BI576" s="171"/>
      <c r="BJ576" s="171"/>
      <c r="BK576" s="171"/>
      <c r="BL576" s="171"/>
      <c r="BM576" s="171"/>
      <c r="BN576" s="171"/>
      <c r="BO576" s="171"/>
      <c r="BP576" s="171"/>
      <c r="BQ576" s="171"/>
      <c r="BR576" s="171"/>
      <c r="BS576" s="171"/>
      <c r="BT576" s="171"/>
      <c r="BU576" s="171"/>
      <c r="BV576" s="171"/>
      <c r="BW576" s="171"/>
    </row>
    <row r="577" spans="1:75">
      <c r="A577" s="171"/>
      <c r="B577" s="171"/>
      <c r="J577" s="171"/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  <c r="AF577" s="171"/>
      <c r="AG577" s="171"/>
      <c r="AH577" s="171"/>
      <c r="AI577" s="171"/>
      <c r="AJ577" s="171"/>
      <c r="AK577" s="171"/>
      <c r="AL577" s="171"/>
      <c r="AM577" s="171"/>
      <c r="AN577" s="171"/>
      <c r="AO577" s="171"/>
      <c r="AP577" s="171"/>
      <c r="AQ577" s="171"/>
      <c r="AR577" s="171"/>
      <c r="AS577" s="171"/>
      <c r="AT577" s="171"/>
      <c r="AU577" s="171"/>
      <c r="AV577" s="171"/>
      <c r="AW577" s="171"/>
      <c r="AX577" s="171"/>
      <c r="AY577" s="171"/>
      <c r="AZ577" s="171"/>
      <c r="BA577" s="171"/>
      <c r="BB577" s="171"/>
      <c r="BC577" s="171"/>
      <c r="BD577" s="171"/>
      <c r="BE577" s="171"/>
      <c r="BF577" s="171"/>
      <c r="BG577" s="171"/>
      <c r="BH577" s="171"/>
      <c r="BI577" s="171"/>
      <c r="BJ577" s="171"/>
      <c r="BK577" s="171"/>
      <c r="BL577" s="171"/>
      <c r="BM577" s="171"/>
      <c r="BN577" s="171"/>
      <c r="BO577" s="171"/>
      <c r="BP577" s="171"/>
      <c r="BQ577" s="171"/>
      <c r="BR577" s="171"/>
      <c r="BS577" s="171"/>
      <c r="BT577" s="171"/>
      <c r="BU577" s="171"/>
      <c r="BV577" s="171"/>
      <c r="BW577" s="171"/>
    </row>
    <row r="578" spans="1:75">
      <c r="A578" s="171"/>
      <c r="B578" s="171"/>
      <c r="J578" s="171"/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  <c r="AS578" s="171"/>
      <c r="AT578" s="171"/>
      <c r="AU578" s="171"/>
      <c r="AV578" s="171"/>
      <c r="AW578" s="171"/>
      <c r="AX578" s="171"/>
      <c r="AY578" s="171"/>
      <c r="AZ578" s="171"/>
      <c r="BA578" s="171"/>
      <c r="BB578" s="171"/>
      <c r="BC578" s="171"/>
      <c r="BD578" s="171"/>
      <c r="BE578" s="171"/>
      <c r="BF578" s="171"/>
      <c r="BG578" s="171"/>
      <c r="BH578" s="171"/>
      <c r="BI578" s="171"/>
      <c r="BJ578" s="171"/>
      <c r="BK578" s="171"/>
      <c r="BL578" s="171"/>
      <c r="BM578" s="171"/>
      <c r="BN578" s="171"/>
      <c r="BO578" s="171"/>
      <c r="BP578" s="171"/>
      <c r="BQ578" s="171"/>
      <c r="BR578" s="171"/>
      <c r="BS578" s="171"/>
      <c r="BT578" s="171"/>
      <c r="BU578" s="171"/>
      <c r="BV578" s="171"/>
      <c r="BW578" s="171"/>
    </row>
    <row r="579" spans="1:75">
      <c r="B579" s="168"/>
      <c r="C579" s="168"/>
      <c r="D579" s="168"/>
      <c r="E579" s="168"/>
      <c r="F579" s="168"/>
      <c r="G579" s="168"/>
      <c r="H579" s="168"/>
      <c r="I579" s="168"/>
    </row>
    <row r="580" spans="1:75">
      <c r="B580" s="168"/>
      <c r="C580" s="168"/>
      <c r="D580" s="168"/>
      <c r="E580" s="168"/>
      <c r="F580" s="168"/>
      <c r="G580" s="168"/>
      <c r="H580" s="168"/>
      <c r="I580" s="168"/>
    </row>
    <row r="581" spans="1:75">
      <c r="A581" s="171"/>
      <c r="B581" s="171"/>
      <c r="J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  <c r="AS581" s="171"/>
      <c r="AT581" s="171"/>
      <c r="AU581" s="171"/>
      <c r="AV581" s="171"/>
      <c r="AW581" s="171"/>
      <c r="AX581" s="171"/>
      <c r="AY581" s="171"/>
      <c r="AZ581" s="171"/>
      <c r="BA581" s="171"/>
      <c r="BB581" s="171"/>
      <c r="BC581" s="171"/>
      <c r="BD581" s="171"/>
      <c r="BE581" s="171"/>
      <c r="BF581" s="171"/>
      <c r="BG581" s="171"/>
      <c r="BH581" s="171"/>
      <c r="BI581" s="171"/>
      <c r="BJ581" s="171"/>
      <c r="BK581" s="171"/>
      <c r="BL581" s="171"/>
      <c r="BM581" s="171"/>
      <c r="BN581" s="171"/>
      <c r="BO581" s="171"/>
      <c r="BP581" s="171"/>
      <c r="BQ581" s="171"/>
      <c r="BR581" s="171"/>
      <c r="BS581" s="171"/>
      <c r="BT581" s="171"/>
      <c r="BU581" s="171"/>
      <c r="BV581" s="171"/>
      <c r="BW581" s="171"/>
    </row>
    <row r="582" spans="1:75">
      <c r="A582" s="171"/>
      <c r="B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  <c r="AS582" s="171"/>
      <c r="AT582" s="171"/>
      <c r="AU582" s="171"/>
      <c r="AV582" s="171"/>
      <c r="AW582" s="171"/>
      <c r="AX582" s="171"/>
      <c r="AY582" s="171"/>
      <c r="AZ582" s="171"/>
      <c r="BA582" s="171"/>
      <c r="BB582" s="171"/>
      <c r="BC582" s="171"/>
      <c r="BD582" s="171"/>
      <c r="BE582" s="171"/>
      <c r="BF582" s="171"/>
      <c r="BG582" s="171"/>
      <c r="BH582" s="171"/>
      <c r="BI582" s="171"/>
      <c r="BJ582" s="171"/>
      <c r="BK582" s="171"/>
      <c r="BL582" s="171"/>
      <c r="BM582" s="171"/>
      <c r="BN582" s="171"/>
      <c r="BO582" s="171"/>
      <c r="BP582" s="171"/>
      <c r="BQ582" s="171"/>
      <c r="BR582" s="171"/>
      <c r="BS582" s="171"/>
      <c r="BT582" s="171"/>
      <c r="BU582" s="171"/>
      <c r="BV582" s="171"/>
      <c r="BW582" s="171"/>
    </row>
    <row r="583" spans="1:75">
      <c r="A583" s="171"/>
      <c r="B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  <c r="AS583" s="171"/>
      <c r="AT583" s="171"/>
      <c r="AU583" s="171"/>
      <c r="AV583" s="171"/>
      <c r="AW583" s="171"/>
      <c r="AX583" s="171"/>
      <c r="AY583" s="171"/>
      <c r="AZ583" s="171"/>
      <c r="BA583" s="171"/>
      <c r="BB583" s="171"/>
      <c r="BC583" s="171"/>
      <c r="BD583" s="171"/>
      <c r="BE583" s="171"/>
      <c r="BF583" s="171"/>
      <c r="BG583" s="171"/>
      <c r="BH583" s="171"/>
      <c r="BI583" s="171"/>
      <c r="BJ583" s="171"/>
      <c r="BK583" s="171"/>
      <c r="BL583" s="171"/>
      <c r="BM583" s="171"/>
      <c r="BN583" s="171"/>
      <c r="BO583" s="171"/>
      <c r="BP583" s="171"/>
      <c r="BQ583" s="171"/>
      <c r="BR583" s="171"/>
      <c r="BS583" s="171"/>
      <c r="BT583" s="171"/>
      <c r="BU583" s="171"/>
      <c r="BV583" s="171"/>
      <c r="BW583" s="171"/>
    </row>
    <row r="584" spans="1:75">
      <c r="A584" s="171"/>
      <c r="B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  <c r="AS584" s="171"/>
      <c r="AT584" s="171"/>
      <c r="AU584" s="171"/>
      <c r="AV584" s="171"/>
      <c r="AW584" s="171"/>
      <c r="AX584" s="171"/>
      <c r="AY584" s="171"/>
      <c r="AZ584" s="171"/>
      <c r="BA584" s="171"/>
      <c r="BB584" s="171"/>
      <c r="BC584" s="171"/>
      <c r="BD584" s="171"/>
      <c r="BE584" s="171"/>
      <c r="BF584" s="171"/>
      <c r="BG584" s="171"/>
      <c r="BH584" s="171"/>
      <c r="BI584" s="171"/>
      <c r="BJ584" s="171"/>
      <c r="BK584" s="171"/>
      <c r="BL584" s="171"/>
      <c r="BM584" s="171"/>
      <c r="BN584" s="171"/>
      <c r="BO584" s="171"/>
      <c r="BP584" s="171"/>
      <c r="BQ584" s="171"/>
      <c r="BR584" s="171"/>
      <c r="BS584" s="171"/>
      <c r="BT584" s="171"/>
      <c r="BU584" s="171"/>
      <c r="BV584" s="171"/>
      <c r="BW584" s="171"/>
    </row>
    <row r="585" spans="1:75">
      <c r="A585" s="171"/>
      <c r="B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  <c r="AS585" s="171"/>
      <c r="AT585" s="171"/>
      <c r="AU585" s="171"/>
      <c r="AV585" s="171"/>
      <c r="AW585" s="171"/>
      <c r="AX585" s="171"/>
      <c r="AY585" s="171"/>
      <c r="AZ585" s="171"/>
      <c r="BA585" s="171"/>
      <c r="BB585" s="171"/>
      <c r="BC585" s="171"/>
      <c r="BD585" s="171"/>
      <c r="BE585" s="171"/>
      <c r="BF585" s="171"/>
      <c r="BG585" s="171"/>
      <c r="BH585" s="171"/>
      <c r="BI585" s="171"/>
      <c r="BJ585" s="171"/>
      <c r="BK585" s="171"/>
      <c r="BL585" s="171"/>
      <c r="BM585" s="171"/>
      <c r="BN585" s="171"/>
      <c r="BO585" s="171"/>
      <c r="BP585" s="171"/>
      <c r="BQ585" s="171"/>
      <c r="BR585" s="171"/>
      <c r="BS585" s="171"/>
      <c r="BT585" s="171"/>
      <c r="BU585" s="171"/>
      <c r="BV585" s="171"/>
      <c r="BW585" s="171"/>
    </row>
    <row r="586" spans="1:75">
      <c r="A586" s="171"/>
      <c r="B586" s="171"/>
      <c r="J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  <c r="AS586" s="171"/>
      <c r="AT586" s="171"/>
      <c r="AU586" s="171"/>
      <c r="AV586" s="171"/>
      <c r="AW586" s="171"/>
      <c r="AX586" s="171"/>
      <c r="AY586" s="171"/>
      <c r="AZ586" s="171"/>
      <c r="BA586" s="171"/>
      <c r="BB586" s="171"/>
      <c r="BC586" s="171"/>
      <c r="BD586" s="171"/>
      <c r="BE586" s="171"/>
      <c r="BF586" s="171"/>
      <c r="BG586" s="171"/>
      <c r="BH586" s="171"/>
      <c r="BI586" s="171"/>
      <c r="BJ586" s="171"/>
      <c r="BK586" s="171"/>
      <c r="BL586" s="171"/>
      <c r="BM586" s="171"/>
      <c r="BN586" s="171"/>
      <c r="BO586" s="171"/>
      <c r="BP586" s="171"/>
      <c r="BQ586" s="171"/>
      <c r="BR586" s="171"/>
      <c r="BS586" s="171"/>
      <c r="BT586" s="171"/>
      <c r="BU586" s="171"/>
      <c r="BV586" s="171"/>
      <c r="BW586" s="171"/>
    </row>
    <row r="587" spans="1:75">
      <c r="A587" s="171"/>
      <c r="B587" s="171"/>
      <c r="J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  <c r="AF587" s="171"/>
      <c r="AG587" s="171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171"/>
      <c r="AR587" s="171"/>
      <c r="AS587" s="171"/>
      <c r="AT587" s="171"/>
      <c r="AU587" s="171"/>
      <c r="AV587" s="171"/>
      <c r="AW587" s="171"/>
      <c r="AX587" s="171"/>
      <c r="AY587" s="171"/>
      <c r="AZ587" s="171"/>
      <c r="BA587" s="171"/>
      <c r="BB587" s="171"/>
      <c r="BC587" s="171"/>
      <c r="BD587" s="171"/>
      <c r="BE587" s="171"/>
      <c r="BF587" s="171"/>
      <c r="BG587" s="171"/>
      <c r="BH587" s="171"/>
      <c r="BI587" s="171"/>
      <c r="BJ587" s="171"/>
      <c r="BK587" s="171"/>
      <c r="BL587" s="171"/>
      <c r="BM587" s="171"/>
      <c r="BN587" s="171"/>
      <c r="BO587" s="171"/>
      <c r="BP587" s="171"/>
      <c r="BQ587" s="171"/>
      <c r="BR587" s="171"/>
      <c r="BS587" s="171"/>
      <c r="BT587" s="171"/>
      <c r="BU587" s="171"/>
      <c r="BV587" s="171"/>
      <c r="BW587" s="171"/>
    </row>
    <row r="588" spans="1:75">
      <c r="A588" s="171"/>
      <c r="B588" s="171"/>
      <c r="J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  <c r="AF588" s="171"/>
      <c r="AG588" s="171"/>
      <c r="AH588" s="171"/>
      <c r="AI588" s="171"/>
      <c r="AJ588" s="171"/>
      <c r="AK588" s="171"/>
      <c r="AL588" s="171"/>
      <c r="AM588" s="171"/>
      <c r="AN588" s="171"/>
      <c r="AO588" s="171"/>
      <c r="AP588" s="171"/>
      <c r="AQ588" s="171"/>
      <c r="AR588" s="171"/>
      <c r="AS588" s="171"/>
      <c r="AT588" s="171"/>
      <c r="AU588" s="171"/>
      <c r="AV588" s="171"/>
      <c r="AW588" s="171"/>
      <c r="AX588" s="171"/>
      <c r="AY588" s="171"/>
      <c r="AZ588" s="171"/>
      <c r="BA588" s="171"/>
      <c r="BB588" s="171"/>
      <c r="BC588" s="171"/>
      <c r="BD588" s="171"/>
      <c r="BE588" s="171"/>
      <c r="BF588" s="171"/>
      <c r="BG588" s="171"/>
      <c r="BH588" s="171"/>
      <c r="BI588" s="171"/>
      <c r="BJ588" s="171"/>
      <c r="BK588" s="171"/>
      <c r="BL588" s="171"/>
      <c r="BM588" s="171"/>
      <c r="BN588" s="171"/>
      <c r="BO588" s="171"/>
      <c r="BP588" s="171"/>
      <c r="BQ588" s="171"/>
      <c r="BR588" s="171"/>
      <c r="BS588" s="171"/>
      <c r="BT588" s="171"/>
      <c r="BU588" s="171"/>
      <c r="BV588" s="171"/>
      <c r="BW588" s="171"/>
    </row>
    <row r="589" spans="1:75">
      <c r="A589" s="171"/>
      <c r="B589" s="171"/>
      <c r="J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  <c r="AF589" s="171"/>
      <c r="AG589" s="171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171"/>
      <c r="AR589" s="171"/>
      <c r="AS589" s="171"/>
      <c r="AT589" s="171"/>
      <c r="AU589" s="171"/>
      <c r="AV589" s="171"/>
      <c r="AW589" s="171"/>
      <c r="AX589" s="171"/>
      <c r="AY589" s="171"/>
      <c r="AZ589" s="171"/>
      <c r="BA589" s="171"/>
      <c r="BB589" s="171"/>
      <c r="BC589" s="171"/>
      <c r="BD589" s="171"/>
      <c r="BE589" s="171"/>
      <c r="BF589" s="171"/>
      <c r="BG589" s="171"/>
      <c r="BH589" s="171"/>
      <c r="BI589" s="171"/>
      <c r="BJ589" s="171"/>
      <c r="BK589" s="171"/>
      <c r="BL589" s="171"/>
      <c r="BM589" s="171"/>
      <c r="BN589" s="171"/>
      <c r="BO589" s="171"/>
      <c r="BP589" s="171"/>
      <c r="BQ589" s="171"/>
      <c r="BR589" s="171"/>
      <c r="BS589" s="171"/>
      <c r="BT589" s="171"/>
      <c r="BU589" s="171"/>
      <c r="BV589" s="171"/>
      <c r="BW589" s="171"/>
    </row>
    <row r="590" spans="1:75">
      <c r="A590" s="171"/>
      <c r="B590" s="171"/>
      <c r="J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71"/>
      <c r="AT590" s="171"/>
      <c r="AU590" s="171"/>
      <c r="AV590" s="171"/>
      <c r="AW590" s="171"/>
      <c r="AX590" s="171"/>
      <c r="AY590" s="171"/>
      <c r="AZ590" s="171"/>
      <c r="BA590" s="171"/>
      <c r="BB590" s="171"/>
      <c r="BC590" s="171"/>
      <c r="BD590" s="171"/>
      <c r="BE590" s="171"/>
      <c r="BF590" s="171"/>
      <c r="BG590" s="171"/>
      <c r="BH590" s="171"/>
      <c r="BI590" s="171"/>
      <c r="BJ590" s="171"/>
      <c r="BK590" s="171"/>
      <c r="BL590" s="171"/>
      <c r="BM590" s="171"/>
      <c r="BN590" s="171"/>
      <c r="BO590" s="171"/>
      <c r="BP590" s="171"/>
      <c r="BQ590" s="171"/>
      <c r="BR590" s="171"/>
      <c r="BS590" s="171"/>
      <c r="BT590" s="171"/>
      <c r="BU590" s="171"/>
      <c r="BV590" s="171"/>
      <c r="BW590" s="171"/>
    </row>
    <row r="591" spans="1:75">
      <c r="B591" s="168"/>
      <c r="C591" s="168"/>
      <c r="D591" s="168"/>
      <c r="E591" s="168"/>
      <c r="F591" s="168"/>
      <c r="G591" s="168"/>
      <c r="H591" s="168"/>
      <c r="I591" s="168"/>
    </row>
    <row r="592" spans="1:75">
      <c r="B592" s="168"/>
      <c r="C592" s="168"/>
      <c r="D592" s="168"/>
      <c r="E592" s="168"/>
      <c r="F592" s="168"/>
      <c r="G592" s="168"/>
      <c r="H592" s="168"/>
      <c r="I592" s="168"/>
    </row>
    <row r="593" spans="1:75">
      <c r="A593" s="171"/>
      <c r="B593" s="171"/>
      <c r="J593" s="171"/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71"/>
      <c r="AL593" s="171"/>
      <c r="AM593" s="171"/>
      <c r="AN593" s="171"/>
      <c r="AO593" s="171"/>
      <c r="AP593" s="171"/>
      <c r="AQ593" s="171"/>
      <c r="AR593" s="171"/>
      <c r="AS593" s="171"/>
      <c r="AT593" s="171"/>
      <c r="AU593" s="171"/>
      <c r="AV593" s="171"/>
      <c r="AW593" s="171"/>
      <c r="AX593" s="171"/>
      <c r="AY593" s="171"/>
      <c r="AZ593" s="171"/>
      <c r="BA593" s="171"/>
      <c r="BB593" s="171"/>
      <c r="BC593" s="171"/>
      <c r="BD593" s="171"/>
      <c r="BE593" s="171"/>
      <c r="BF593" s="171"/>
      <c r="BG593" s="171"/>
      <c r="BH593" s="171"/>
      <c r="BI593" s="171"/>
      <c r="BJ593" s="171"/>
      <c r="BK593" s="171"/>
      <c r="BL593" s="171"/>
      <c r="BM593" s="171"/>
      <c r="BN593" s="171"/>
      <c r="BO593" s="171"/>
      <c r="BP593" s="171"/>
      <c r="BQ593" s="171"/>
      <c r="BR593" s="171"/>
      <c r="BS593" s="171"/>
      <c r="BT593" s="171"/>
      <c r="BU593" s="171"/>
      <c r="BV593" s="171"/>
      <c r="BW593" s="171"/>
    </row>
    <row r="594" spans="1:75">
      <c r="A594" s="171"/>
      <c r="B594" s="171"/>
      <c r="J594" s="171"/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71"/>
      <c r="AL594" s="171"/>
      <c r="AM594" s="171"/>
      <c r="AN594" s="171"/>
      <c r="AO594" s="171"/>
      <c r="AP594" s="171"/>
      <c r="AQ594" s="171"/>
      <c r="AR594" s="171"/>
      <c r="AS594" s="171"/>
      <c r="AT594" s="171"/>
      <c r="AU594" s="171"/>
      <c r="AV594" s="171"/>
      <c r="AW594" s="171"/>
      <c r="AX594" s="171"/>
      <c r="AY594" s="171"/>
      <c r="AZ594" s="171"/>
      <c r="BA594" s="171"/>
      <c r="BB594" s="171"/>
      <c r="BC594" s="171"/>
      <c r="BD594" s="171"/>
      <c r="BE594" s="171"/>
      <c r="BF594" s="171"/>
      <c r="BG594" s="171"/>
      <c r="BH594" s="171"/>
      <c r="BI594" s="171"/>
      <c r="BJ594" s="171"/>
      <c r="BK594" s="171"/>
      <c r="BL594" s="171"/>
      <c r="BM594" s="171"/>
      <c r="BN594" s="171"/>
      <c r="BO594" s="171"/>
      <c r="BP594" s="171"/>
      <c r="BQ594" s="171"/>
      <c r="BR594" s="171"/>
      <c r="BS594" s="171"/>
      <c r="BT594" s="171"/>
      <c r="BU594" s="171"/>
      <c r="BV594" s="171"/>
      <c r="BW594" s="171"/>
    </row>
    <row r="595" spans="1:75">
      <c r="A595" s="171"/>
      <c r="B595" s="171"/>
      <c r="J595" s="171"/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71"/>
      <c r="AL595" s="171"/>
      <c r="AM595" s="171"/>
      <c r="AN595" s="171"/>
      <c r="AO595" s="171"/>
      <c r="AP595" s="171"/>
      <c r="AQ595" s="171"/>
      <c r="AR595" s="171"/>
      <c r="AS595" s="171"/>
      <c r="AT595" s="171"/>
      <c r="AU595" s="171"/>
      <c r="AV595" s="171"/>
      <c r="AW595" s="171"/>
      <c r="AX595" s="171"/>
      <c r="AY595" s="171"/>
      <c r="AZ595" s="171"/>
      <c r="BA595" s="171"/>
      <c r="BB595" s="171"/>
      <c r="BC595" s="171"/>
      <c r="BD595" s="171"/>
      <c r="BE595" s="171"/>
      <c r="BF595" s="171"/>
      <c r="BG595" s="171"/>
      <c r="BH595" s="171"/>
      <c r="BI595" s="171"/>
      <c r="BJ595" s="171"/>
      <c r="BK595" s="171"/>
      <c r="BL595" s="171"/>
      <c r="BM595" s="171"/>
      <c r="BN595" s="171"/>
      <c r="BO595" s="171"/>
      <c r="BP595" s="171"/>
      <c r="BQ595" s="171"/>
      <c r="BR595" s="171"/>
      <c r="BS595" s="171"/>
      <c r="BT595" s="171"/>
      <c r="BU595" s="171"/>
      <c r="BV595" s="171"/>
      <c r="BW595" s="171"/>
    </row>
    <row r="596" spans="1:75">
      <c r="B596" s="168"/>
      <c r="C596" s="168"/>
      <c r="D596" s="168"/>
      <c r="E596" s="168"/>
      <c r="F596" s="168"/>
      <c r="G596" s="168"/>
      <c r="H596" s="168"/>
      <c r="I596" s="168"/>
    </row>
    <row r="597" spans="1:75">
      <c r="B597" s="168"/>
      <c r="C597" s="168"/>
      <c r="D597" s="168"/>
      <c r="E597" s="168"/>
      <c r="F597" s="168"/>
      <c r="G597" s="168"/>
      <c r="H597" s="168"/>
      <c r="I597" s="168"/>
    </row>
    <row r="598" spans="1:75">
      <c r="B598" s="168"/>
      <c r="C598" s="168"/>
      <c r="D598" s="168"/>
      <c r="E598" s="168"/>
      <c r="F598" s="168"/>
      <c r="G598" s="168"/>
      <c r="H598" s="168"/>
      <c r="I598" s="168"/>
    </row>
    <row r="599" spans="1:75">
      <c r="B599" s="168"/>
      <c r="C599" s="168"/>
      <c r="D599" s="168"/>
      <c r="E599" s="168"/>
      <c r="F599" s="168"/>
      <c r="G599" s="168"/>
      <c r="H599" s="168"/>
      <c r="I599" s="168"/>
    </row>
    <row r="600" spans="1:75">
      <c r="B600" s="168"/>
      <c r="C600" s="168"/>
      <c r="D600" s="168"/>
      <c r="E600" s="168"/>
      <c r="F600" s="168"/>
      <c r="G600" s="168"/>
      <c r="H600" s="168"/>
      <c r="I600" s="168"/>
    </row>
    <row r="601" spans="1:75">
      <c r="B601" s="168"/>
      <c r="C601" s="168"/>
      <c r="D601" s="168"/>
      <c r="E601" s="168"/>
      <c r="F601" s="168"/>
      <c r="G601" s="168"/>
      <c r="H601" s="168"/>
      <c r="I601" s="168"/>
    </row>
    <row r="602" spans="1:75">
      <c r="B602" s="168"/>
      <c r="C602" s="168"/>
      <c r="D602" s="168"/>
      <c r="E602" s="168"/>
      <c r="F602" s="168"/>
      <c r="G602" s="168"/>
      <c r="H602" s="168"/>
      <c r="I602" s="168"/>
    </row>
    <row r="603" spans="1:75">
      <c r="B603" s="168"/>
      <c r="C603" s="168"/>
      <c r="D603" s="168"/>
      <c r="E603" s="168"/>
      <c r="F603" s="168"/>
      <c r="G603" s="168"/>
      <c r="H603" s="168"/>
      <c r="I603" s="168"/>
    </row>
    <row r="604" spans="1:75">
      <c r="B604" s="168"/>
      <c r="C604" s="168"/>
      <c r="D604" s="168"/>
      <c r="E604" s="168"/>
      <c r="F604" s="168"/>
      <c r="G604" s="168"/>
      <c r="H604" s="168"/>
      <c r="I604" s="168"/>
    </row>
    <row r="605" spans="1:75">
      <c r="B605" s="168"/>
      <c r="C605" s="168"/>
      <c r="D605" s="168"/>
      <c r="E605" s="168"/>
      <c r="F605" s="168"/>
      <c r="G605" s="168"/>
      <c r="H605" s="168"/>
      <c r="I605" s="168"/>
    </row>
    <row r="606" spans="1:75">
      <c r="B606" s="168"/>
      <c r="C606" s="168"/>
      <c r="D606" s="168"/>
      <c r="E606" s="168"/>
      <c r="F606" s="168"/>
      <c r="G606" s="168"/>
      <c r="H606" s="168"/>
      <c r="I606" s="168"/>
    </row>
    <row r="607" spans="1:75">
      <c r="B607" s="168"/>
      <c r="C607" s="168"/>
      <c r="D607" s="168"/>
      <c r="E607" s="168"/>
      <c r="F607" s="168"/>
      <c r="G607" s="168"/>
      <c r="H607" s="168"/>
      <c r="I607" s="168"/>
    </row>
    <row r="608" spans="1:75">
      <c r="B608" s="168"/>
      <c r="C608" s="168"/>
      <c r="D608" s="168"/>
      <c r="E608" s="168"/>
      <c r="F608" s="168"/>
      <c r="G608" s="168"/>
      <c r="H608" s="168"/>
      <c r="I608" s="168"/>
    </row>
    <row r="609" spans="2:9">
      <c r="B609" s="168"/>
      <c r="C609" s="168"/>
      <c r="D609" s="168"/>
      <c r="E609" s="168"/>
      <c r="F609" s="168"/>
      <c r="G609" s="168"/>
      <c r="H609" s="168"/>
      <c r="I609" s="168"/>
    </row>
    <row r="610" spans="2:9">
      <c r="B610" s="168"/>
      <c r="C610" s="168"/>
      <c r="D610" s="168"/>
      <c r="E610" s="168"/>
      <c r="F610" s="168"/>
      <c r="G610" s="168"/>
      <c r="H610" s="168"/>
      <c r="I610" s="168"/>
    </row>
    <row r="611" spans="2:9">
      <c r="B611" s="168"/>
      <c r="C611" s="168"/>
      <c r="D611" s="168"/>
      <c r="E611" s="168"/>
      <c r="F611" s="168"/>
      <c r="G611" s="168"/>
      <c r="H611" s="168"/>
      <c r="I611" s="168"/>
    </row>
    <row r="612" spans="2:9">
      <c r="B612" s="168"/>
      <c r="C612" s="168"/>
      <c r="D612" s="168"/>
      <c r="E612" s="168"/>
      <c r="F612" s="168"/>
      <c r="G612" s="168"/>
      <c r="H612" s="168"/>
      <c r="I612" s="168"/>
    </row>
    <row r="613" spans="2:9">
      <c r="B613" s="168"/>
      <c r="C613" s="168"/>
      <c r="D613" s="168"/>
      <c r="E613" s="168"/>
      <c r="F613" s="168"/>
      <c r="G613" s="168"/>
      <c r="H613" s="168"/>
      <c r="I613" s="168"/>
    </row>
    <row r="614" spans="2:9">
      <c r="B614" s="168"/>
      <c r="C614" s="168"/>
      <c r="D614" s="168"/>
      <c r="E614" s="168"/>
      <c r="F614" s="168"/>
      <c r="G614" s="168"/>
      <c r="H614" s="168"/>
      <c r="I614" s="168"/>
    </row>
    <row r="615" spans="2:9">
      <c r="B615" s="168"/>
      <c r="C615" s="168"/>
      <c r="D615" s="168"/>
      <c r="E615" s="168"/>
      <c r="F615" s="168"/>
      <c r="G615" s="168"/>
      <c r="H615" s="168"/>
      <c r="I615" s="168"/>
    </row>
    <row r="616" spans="2:9">
      <c r="B616" s="168"/>
      <c r="C616" s="168"/>
      <c r="D616" s="168"/>
      <c r="E616" s="168"/>
      <c r="F616" s="168"/>
      <c r="G616" s="168"/>
      <c r="H616" s="168"/>
      <c r="I616" s="168"/>
    </row>
    <row r="617" spans="2:9">
      <c r="B617" s="168"/>
      <c r="C617" s="168"/>
      <c r="D617" s="168"/>
      <c r="E617" s="168"/>
      <c r="F617" s="168"/>
      <c r="G617" s="168"/>
      <c r="H617" s="168"/>
      <c r="I617" s="168"/>
    </row>
    <row r="618" spans="2:9">
      <c r="B618" s="168"/>
      <c r="C618" s="168"/>
      <c r="D618" s="168"/>
      <c r="E618" s="168"/>
      <c r="F618" s="168"/>
      <c r="G618" s="168"/>
      <c r="H618" s="168"/>
      <c r="I618" s="168"/>
    </row>
    <row r="619" spans="2:9">
      <c r="B619" s="168"/>
      <c r="C619" s="168"/>
      <c r="D619" s="168"/>
      <c r="E619" s="168"/>
      <c r="F619" s="168"/>
      <c r="G619" s="168"/>
      <c r="H619" s="168"/>
      <c r="I619" s="168"/>
    </row>
    <row r="620" spans="2:9">
      <c r="B620" s="168"/>
      <c r="C620" s="168"/>
      <c r="D620" s="168"/>
      <c r="E620" s="168"/>
      <c r="F620" s="168"/>
      <c r="G620" s="168"/>
      <c r="H620" s="168"/>
      <c r="I620" s="168"/>
    </row>
    <row r="621" spans="2:9">
      <c r="B621" s="168"/>
      <c r="C621" s="168"/>
      <c r="D621" s="168"/>
      <c r="E621" s="168"/>
      <c r="F621" s="168"/>
      <c r="G621" s="168"/>
      <c r="H621" s="168"/>
      <c r="I621" s="168"/>
    </row>
    <row r="622" spans="2:9">
      <c r="B622" s="168"/>
      <c r="C622" s="168"/>
      <c r="D622" s="168"/>
      <c r="E622" s="168"/>
      <c r="F622" s="168"/>
      <c r="G622" s="168"/>
      <c r="H622" s="168"/>
      <c r="I622" s="168"/>
    </row>
    <row r="623" spans="2:9">
      <c r="B623" s="168"/>
      <c r="C623" s="168"/>
      <c r="D623" s="168"/>
      <c r="E623" s="168"/>
      <c r="F623" s="168"/>
      <c r="G623" s="168"/>
      <c r="H623" s="168"/>
      <c r="I623" s="168"/>
    </row>
    <row r="624" spans="2:9">
      <c r="B624" s="168"/>
      <c r="C624" s="168"/>
      <c r="D624" s="168"/>
      <c r="E624" s="168"/>
      <c r="F624" s="168"/>
      <c r="G624" s="168"/>
      <c r="H624" s="168"/>
      <c r="I624" s="168"/>
    </row>
    <row r="625" spans="1:75">
      <c r="B625" s="168"/>
      <c r="C625" s="168"/>
      <c r="D625" s="168"/>
      <c r="E625" s="168"/>
      <c r="F625" s="168"/>
      <c r="G625" s="168"/>
      <c r="H625" s="168"/>
      <c r="I625" s="168"/>
    </row>
    <row r="626" spans="1:75">
      <c r="B626" s="168"/>
      <c r="C626" s="168"/>
      <c r="D626" s="168"/>
      <c r="E626" s="168"/>
      <c r="F626" s="168"/>
      <c r="G626" s="168"/>
      <c r="H626" s="168"/>
      <c r="I626" s="168"/>
    </row>
    <row r="627" spans="1:75">
      <c r="B627" s="168"/>
      <c r="C627" s="168"/>
      <c r="D627" s="168"/>
      <c r="E627" s="168"/>
      <c r="F627" s="168"/>
      <c r="G627" s="168"/>
      <c r="H627" s="168"/>
      <c r="I627" s="168"/>
    </row>
    <row r="628" spans="1:75">
      <c r="A628" s="171"/>
      <c r="B628" s="171"/>
      <c r="J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1"/>
      <c r="AR628" s="171"/>
      <c r="AS628" s="171"/>
      <c r="AT628" s="171"/>
      <c r="AU628" s="171"/>
      <c r="AV628" s="171"/>
      <c r="AW628" s="171"/>
      <c r="AX628" s="171"/>
      <c r="AY628" s="171"/>
      <c r="AZ628" s="171"/>
      <c r="BA628" s="171"/>
      <c r="BB628" s="171"/>
      <c r="BC628" s="171"/>
      <c r="BD628" s="171"/>
      <c r="BE628" s="171"/>
      <c r="BF628" s="171"/>
      <c r="BG628" s="171"/>
      <c r="BH628" s="171"/>
      <c r="BI628" s="171"/>
      <c r="BJ628" s="171"/>
      <c r="BK628" s="171"/>
      <c r="BL628" s="171"/>
      <c r="BM628" s="171"/>
      <c r="BN628" s="171"/>
      <c r="BO628" s="171"/>
      <c r="BP628" s="171"/>
      <c r="BQ628" s="171"/>
      <c r="BR628" s="171"/>
      <c r="BS628" s="171"/>
      <c r="BT628" s="171"/>
      <c r="BU628" s="171"/>
      <c r="BV628" s="171"/>
      <c r="BW628" s="171"/>
    </row>
    <row r="629" spans="1:75">
      <c r="A629" s="171"/>
      <c r="B629" s="171"/>
      <c r="J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71"/>
      <c r="AL629" s="171"/>
      <c r="AM629" s="171"/>
      <c r="AN629" s="171"/>
      <c r="AO629" s="171"/>
      <c r="AP629" s="171"/>
      <c r="AQ629" s="171"/>
      <c r="AR629" s="171"/>
      <c r="AS629" s="171"/>
      <c r="AT629" s="171"/>
      <c r="AU629" s="171"/>
      <c r="AV629" s="171"/>
      <c r="AW629" s="171"/>
      <c r="AX629" s="171"/>
      <c r="AY629" s="171"/>
      <c r="AZ629" s="171"/>
      <c r="BA629" s="171"/>
      <c r="BB629" s="171"/>
      <c r="BC629" s="171"/>
      <c r="BD629" s="171"/>
      <c r="BE629" s="171"/>
      <c r="BF629" s="171"/>
      <c r="BG629" s="171"/>
      <c r="BH629" s="171"/>
      <c r="BI629" s="171"/>
      <c r="BJ629" s="171"/>
      <c r="BK629" s="171"/>
      <c r="BL629" s="171"/>
      <c r="BM629" s="171"/>
      <c r="BN629" s="171"/>
      <c r="BO629" s="171"/>
      <c r="BP629" s="171"/>
      <c r="BQ629" s="171"/>
      <c r="BR629" s="171"/>
      <c r="BS629" s="171"/>
      <c r="BT629" s="171"/>
      <c r="BU629" s="171"/>
      <c r="BV629" s="171"/>
      <c r="BW629" s="171"/>
    </row>
    <row r="630" spans="1:75">
      <c r="A630" s="171"/>
      <c r="B630" s="171"/>
      <c r="J630" s="171"/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  <c r="AB630" s="171"/>
      <c r="AC630" s="171"/>
      <c r="AD630" s="171"/>
      <c r="AE630" s="171"/>
      <c r="AF630" s="171"/>
      <c r="AG630" s="171"/>
      <c r="AH630" s="171"/>
      <c r="AI630" s="171"/>
      <c r="AJ630" s="171"/>
      <c r="AK630" s="171"/>
      <c r="AL630" s="171"/>
      <c r="AM630" s="171"/>
      <c r="AN630" s="171"/>
      <c r="AO630" s="171"/>
      <c r="AP630" s="171"/>
      <c r="AQ630" s="171"/>
      <c r="AR630" s="171"/>
      <c r="AS630" s="171"/>
      <c r="AT630" s="171"/>
      <c r="AU630" s="171"/>
      <c r="AV630" s="171"/>
      <c r="AW630" s="171"/>
      <c r="AX630" s="171"/>
      <c r="AY630" s="171"/>
      <c r="AZ630" s="171"/>
      <c r="BA630" s="171"/>
      <c r="BB630" s="171"/>
      <c r="BC630" s="171"/>
      <c r="BD630" s="171"/>
      <c r="BE630" s="171"/>
      <c r="BF630" s="171"/>
      <c r="BG630" s="171"/>
      <c r="BH630" s="171"/>
      <c r="BI630" s="171"/>
      <c r="BJ630" s="171"/>
      <c r="BK630" s="171"/>
      <c r="BL630" s="171"/>
      <c r="BM630" s="171"/>
      <c r="BN630" s="171"/>
      <c r="BO630" s="171"/>
      <c r="BP630" s="171"/>
      <c r="BQ630" s="171"/>
      <c r="BR630" s="171"/>
      <c r="BS630" s="171"/>
      <c r="BT630" s="171"/>
      <c r="BU630" s="171"/>
      <c r="BV630" s="171"/>
      <c r="BW630" s="171"/>
    </row>
    <row r="631" spans="1:75">
      <c r="A631" s="171"/>
      <c r="B631" s="171"/>
      <c r="J631" s="171"/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71"/>
      <c r="AL631" s="171"/>
      <c r="AM631" s="171"/>
      <c r="AN631" s="171"/>
      <c r="AO631" s="171"/>
      <c r="AP631" s="171"/>
      <c r="AQ631" s="171"/>
      <c r="AR631" s="171"/>
      <c r="AS631" s="171"/>
      <c r="AT631" s="171"/>
      <c r="AU631" s="171"/>
      <c r="AV631" s="171"/>
      <c r="AW631" s="171"/>
      <c r="AX631" s="171"/>
      <c r="AY631" s="171"/>
      <c r="AZ631" s="171"/>
      <c r="BA631" s="171"/>
      <c r="BB631" s="171"/>
      <c r="BC631" s="171"/>
      <c r="BD631" s="171"/>
      <c r="BE631" s="171"/>
      <c r="BF631" s="171"/>
      <c r="BG631" s="171"/>
      <c r="BH631" s="171"/>
      <c r="BI631" s="171"/>
      <c r="BJ631" s="171"/>
      <c r="BK631" s="171"/>
      <c r="BL631" s="171"/>
      <c r="BM631" s="171"/>
      <c r="BN631" s="171"/>
      <c r="BO631" s="171"/>
      <c r="BP631" s="171"/>
      <c r="BQ631" s="171"/>
      <c r="BR631" s="171"/>
      <c r="BS631" s="171"/>
      <c r="BT631" s="171"/>
      <c r="BU631" s="171"/>
      <c r="BV631" s="171"/>
      <c r="BW631" s="171"/>
    </row>
    <row r="632" spans="1:75">
      <c r="A632" s="171"/>
      <c r="B632" s="171"/>
      <c r="J632" s="171"/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71"/>
      <c r="AL632" s="171"/>
      <c r="AM632" s="171"/>
      <c r="AN632" s="171"/>
      <c r="AO632" s="171"/>
      <c r="AP632" s="171"/>
      <c r="AQ632" s="171"/>
      <c r="AR632" s="171"/>
      <c r="AS632" s="171"/>
      <c r="AT632" s="171"/>
      <c r="AU632" s="171"/>
      <c r="AV632" s="171"/>
      <c r="AW632" s="171"/>
      <c r="AX632" s="171"/>
      <c r="AY632" s="171"/>
      <c r="AZ632" s="171"/>
      <c r="BA632" s="171"/>
      <c r="BB632" s="171"/>
      <c r="BC632" s="171"/>
      <c r="BD632" s="171"/>
      <c r="BE632" s="171"/>
      <c r="BF632" s="171"/>
      <c r="BG632" s="171"/>
      <c r="BH632" s="171"/>
      <c r="BI632" s="171"/>
      <c r="BJ632" s="171"/>
      <c r="BK632" s="171"/>
      <c r="BL632" s="171"/>
      <c r="BM632" s="171"/>
      <c r="BN632" s="171"/>
      <c r="BO632" s="171"/>
      <c r="BP632" s="171"/>
      <c r="BQ632" s="171"/>
      <c r="BR632" s="171"/>
      <c r="BS632" s="171"/>
      <c r="BT632" s="171"/>
      <c r="BU632" s="171"/>
      <c r="BV632" s="171"/>
      <c r="BW632" s="171"/>
    </row>
    <row r="633" spans="1:75">
      <c r="A633" s="171"/>
      <c r="B633" s="171"/>
      <c r="J633" s="171"/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71"/>
      <c r="AL633" s="171"/>
      <c r="AM633" s="171"/>
      <c r="AN633" s="171"/>
      <c r="AO633" s="171"/>
      <c r="AP633" s="171"/>
      <c r="AQ633" s="171"/>
      <c r="AR633" s="171"/>
      <c r="AS633" s="171"/>
      <c r="AT633" s="171"/>
      <c r="AU633" s="171"/>
      <c r="AV633" s="171"/>
      <c r="AW633" s="171"/>
      <c r="AX633" s="171"/>
      <c r="AY633" s="171"/>
      <c r="AZ633" s="171"/>
      <c r="BA633" s="171"/>
      <c r="BB633" s="171"/>
      <c r="BC633" s="171"/>
      <c r="BD633" s="171"/>
      <c r="BE633" s="171"/>
      <c r="BF633" s="171"/>
      <c r="BG633" s="171"/>
      <c r="BH633" s="171"/>
      <c r="BI633" s="171"/>
      <c r="BJ633" s="171"/>
      <c r="BK633" s="171"/>
      <c r="BL633" s="171"/>
      <c r="BM633" s="171"/>
      <c r="BN633" s="171"/>
      <c r="BO633" s="171"/>
      <c r="BP633" s="171"/>
      <c r="BQ633" s="171"/>
      <c r="BR633" s="171"/>
      <c r="BS633" s="171"/>
      <c r="BT633" s="171"/>
      <c r="BU633" s="171"/>
      <c r="BV633" s="171"/>
      <c r="BW633" s="171"/>
    </row>
    <row r="634" spans="1:75">
      <c r="A634" s="171"/>
      <c r="B634" s="171"/>
      <c r="J634" s="171"/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1"/>
      <c r="AR634" s="171"/>
      <c r="AS634" s="171"/>
      <c r="AT634" s="171"/>
      <c r="AU634" s="171"/>
      <c r="AV634" s="171"/>
      <c r="AW634" s="171"/>
      <c r="AX634" s="171"/>
      <c r="AY634" s="171"/>
      <c r="AZ634" s="171"/>
      <c r="BA634" s="171"/>
      <c r="BB634" s="171"/>
      <c r="BC634" s="171"/>
      <c r="BD634" s="171"/>
      <c r="BE634" s="171"/>
      <c r="BF634" s="171"/>
      <c r="BG634" s="171"/>
      <c r="BH634" s="171"/>
      <c r="BI634" s="171"/>
      <c r="BJ634" s="171"/>
      <c r="BK634" s="171"/>
      <c r="BL634" s="171"/>
      <c r="BM634" s="171"/>
      <c r="BN634" s="171"/>
      <c r="BO634" s="171"/>
      <c r="BP634" s="171"/>
      <c r="BQ634" s="171"/>
      <c r="BR634" s="171"/>
      <c r="BS634" s="171"/>
      <c r="BT634" s="171"/>
      <c r="BU634" s="171"/>
      <c r="BV634" s="171"/>
      <c r="BW634" s="171"/>
    </row>
    <row r="635" spans="1:75">
      <c r="B635" s="168"/>
      <c r="C635" s="168"/>
      <c r="D635" s="168"/>
      <c r="E635" s="168"/>
      <c r="F635" s="168"/>
      <c r="G635" s="168"/>
      <c r="H635" s="168"/>
      <c r="I635" s="168"/>
    </row>
    <row r="636" spans="1:75">
      <c r="A636" s="171"/>
      <c r="B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  <c r="AS636" s="171"/>
      <c r="AT636" s="171"/>
      <c r="AU636" s="171"/>
      <c r="AV636" s="171"/>
      <c r="AW636" s="171"/>
      <c r="AX636" s="171"/>
      <c r="AY636" s="171"/>
      <c r="AZ636" s="171"/>
      <c r="BA636" s="171"/>
      <c r="BB636" s="171"/>
      <c r="BC636" s="171"/>
      <c r="BD636" s="171"/>
      <c r="BE636" s="171"/>
      <c r="BF636" s="171"/>
      <c r="BG636" s="171"/>
      <c r="BH636" s="171"/>
      <c r="BI636" s="171"/>
      <c r="BJ636" s="171"/>
      <c r="BK636" s="171"/>
      <c r="BL636" s="171"/>
      <c r="BM636" s="171"/>
      <c r="BN636" s="171"/>
      <c r="BO636" s="171"/>
      <c r="BP636" s="171"/>
      <c r="BQ636" s="171"/>
      <c r="BR636" s="171"/>
      <c r="BS636" s="171"/>
      <c r="BT636" s="171"/>
      <c r="BU636" s="171"/>
      <c r="BV636" s="171"/>
      <c r="BW636" s="171"/>
    </row>
    <row r="637" spans="1:75">
      <c r="B637" s="168"/>
      <c r="C637" s="168"/>
      <c r="D637" s="168"/>
      <c r="E637" s="168"/>
      <c r="F637" s="168"/>
      <c r="G637" s="168"/>
      <c r="H637" s="168"/>
      <c r="I637" s="168"/>
    </row>
    <row r="638" spans="1:75">
      <c r="B638" s="168"/>
      <c r="C638" s="168"/>
      <c r="D638" s="168"/>
      <c r="E638" s="168"/>
      <c r="F638" s="168"/>
      <c r="G638" s="168"/>
      <c r="H638" s="168"/>
      <c r="I638" s="168"/>
    </row>
    <row r="639" spans="1:75">
      <c r="B639" s="168"/>
      <c r="C639" s="168"/>
      <c r="D639" s="168"/>
      <c r="E639" s="168"/>
      <c r="F639" s="168"/>
      <c r="G639" s="168"/>
      <c r="H639" s="168"/>
      <c r="I639" s="168"/>
    </row>
    <row r="640" spans="1:75">
      <c r="B640" s="168"/>
      <c r="C640" s="168"/>
      <c r="D640" s="168"/>
      <c r="E640" s="168"/>
      <c r="F640" s="168"/>
      <c r="G640" s="168"/>
      <c r="H640" s="168"/>
      <c r="I640" s="168"/>
    </row>
    <row r="641" spans="2:9">
      <c r="B641" s="168"/>
      <c r="C641" s="168"/>
      <c r="D641" s="168"/>
      <c r="E641" s="168"/>
      <c r="F641" s="168"/>
      <c r="G641" s="168"/>
      <c r="H641" s="168"/>
      <c r="I641" s="168"/>
    </row>
    <row r="642" spans="2:9">
      <c r="B642" s="168"/>
      <c r="C642" s="168"/>
      <c r="D642" s="168"/>
      <c r="E642" s="168"/>
      <c r="F642" s="168"/>
      <c r="G642" s="168"/>
      <c r="H642" s="168"/>
      <c r="I642" s="16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BV642"/>
  <sheetViews>
    <sheetView workbookViewId="0"/>
  </sheetViews>
  <sheetFormatPr baseColWidth="10" defaultRowHeight="15"/>
  <cols>
    <col min="1" max="1" width="38.140625" style="168" customWidth="1"/>
    <col min="2" max="2" width="12.28515625" style="170" customWidth="1"/>
    <col min="3" max="3" width="12.28515625" style="171" customWidth="1"/>
    <col min="4" max="8" width="13.140625" style="171" customWidth="1"/>
    <col min="9" max="74" width="11.42578125" style="168"/>
    <col min="75" max="16384" width="11.42578125" style="300"/>
  </cols>
  <sheetData>
    <row r="1" spans="1:14" ht="28.5">
      <c r="A1" s="72" t="s">
        <v>45</v>
      </c>
      <c r="B1" s="73"/>
      <c r="C1" s="75" t="s">
        <v>47</v>
      </c>
      <c r="D1" s="75"/>
      <c r="E1" s="74" t="s">
        <v>48</v>
      </c>
      <c r="F1" s="75">
        <v>4</v>
      </c>
      <c r="G1" s="74" t="s">
        <v>49</v>
      </c>
      <c r="H1" s="167">
        <v>43273</v>
      </c>
    </row>
    <row r="2" spans="1:14" ht="26.25">
      <c r="B2" s="169"/>
    </row>
    <row r="3" spans="1:14" ht="21">
      <c r="A3" s="172"/>
      <c r="B3" s="173"/>
    </row>
    <row r="4" spans="1:14">
      <c r="B4" s="168"/>
    </row>
    <row r="5" spans="1:14" ht="21">
      <c r="A5" s="78" t="s">
        <v>96</v>
      </c>
      <c r="B5" s="176"/>
      <c r="C5" s="176"/>
      <c r="D5" s="176"/>
      <c r="E5" s="176"/>
      <c r="F5" s="176"/>
      <c r="G5" s="176"/>
      <c r="H5" s="176"/>
    </row>
    <row r="6" spans="1:14">
      <c r="B6" s="171"/>
    </row>
    <row r="7" spans="1:14" ht="16.5" thickBot="1">
      <c r="A7" s="91" t="s">
        <v>97</v>
      </c>
      <c r="B7" s="81"/>
      <c r="C7" s="80"/>
      <c r="D7" s="80"/>
      <c r="E7" s="80"/>
      <c r="F7" s="80"/>
      <c r="G7" s="80"/>
      <c r="H7" s="80"/>
    </row>
    <row r="8" spans="1:14" ht="15.75" thickBot="1">
      <c r="A8" s="177" t="s">
        <v>51</v>
      </c>
      <c r="B8" s="178">
        <v>2000</v>
      </c>
      <c r="C8" s="178">
        <v>2050</v>
      </c>
      <c r="D8" s="179" t="s">
        <v>98</v>
      </c>
      <c r="E8" s="178" t="s">
        <v>99</v>
      </c>
      <c r="F8" s="178" t="s">
        <v>100</v>
      </c>
      <c r="G8" s="178" t="s">
        <v>101</v>
      </c>
      <c r="H8" s="180" t="s">
        <v>102</v>
      </c>
    </row>
    <row r="9" spans="1:14">
      <c r="A9" s="181" t="s">
        <v>103</v>
      </c>
      <c r="B9" s="182">
        <v>6.4882208233774001</v>
      </c>
      <c r="C9" s="182">
        <v>0.14301841888332004</v>
      </c>
      <c r="D9" s="183">
        <v>-4.3856717185363436E-2</v>
      </c>
      <c r="E9" s="184">
        <v>-3.9155890253509851E-2</v>
      </c>
      <c r="F9" s="184">
        <v>-5.2617380910608635E-2</v>
      </c>
      <c r="G9" s="184">
        <v>-9.1724270817560183E-2</v>
      </c>
      <c r="H9" s="185">
        <v>-0.10376464890595904</v>
      </c>
      <c r="I9" s="186"/>
    </row>
    <row r="10" spans="1:14">
      <c r="A10" s="181" t="s">
        <v>54</v>
      </c>
      <c r="B10" s="182">
        <v>11.950886234578043</v>
      </c>
      <c r="C10" s="182">
        <v>2.6943614795288058</v>
      </c>
      <c r="D10" s="187">
        <v>-8.6230762237680114E-3</v>
      </c>
      <c r="E10" s="188">
        <v>1.3010127628632517E-2</v>
      </c>
      <c r="F10" s="188">
        <v>-7.1705369024327448E-3</v>
      </c>
      <c r="G10" s="188">
        <v>-2.4347768444455964E-2</v>
      </c>
      <c r="H10" s="189">
        <v>-6.129785201037008E-2</v>
      </c>
      <c r="I10" s="186"/>
    </row>
    <row r="11" spans="1:14">
      <c r="A11" s="181" t="s">
        <v>42</v>
      </c>
      <c r="B11" s="182">
        <v>6.5015903804985697</v>
      </c>
      <c r="C11" s="182">
        <v>0.74476022441954859</v>
      </c>
      <c r="D11" s="187">
        <v>-2.5093702071978807E-2</v>
      </c>
      <c r="E11" s="188">
        <v>-5.6525684335671289E-2</v>
      </c>
      <c r="F11" s="188">
        <v>-5.1963528653960478E-2</v>
      </c>
      <c r="G11" s="188">
        <v>-3.3832174138232918E-2</v>
      </c>
      <c r="H11" s="189">
        <v>-5.1416072065252116E-2</v>
      </c>
      <c r="I11" s="186"/>
    </row>
    <row r="12" spans="1:14">
      <c r="A12" s="181" t="s">
        <v>104</v>
      </c>
      <c r="B12" s="182">
        <v>11.393120739833542</v>
      </c>
      <c r="C12" s="182">
        <v>15.514724172011537</v>
      </c>
      <c r="D12" s="187">
        <v>-8.9509795210076515E-3</v>
      </c>
      <c r="E12" s="188">
        <v>5.3024071355434188E-5</v>
      </c>
      <c r="F12" s="188">
        <v>-3.0631622876613473E-3</v>
      </c>
      <c r="G12" s="188">
        <v>-1.502122314941734E-3</v>
      </c>
      <c r="H12" s="189">
        <v>2.3585820623661213E-2</v>
      </c>
      <c r="I12" s="186"/>
    </row>
    <row r="13" spans="1:14">
      <c r="A13" s="181" t="s">
        <v>105</v>
      </c>
      <c r="B13" s="182">
        <v>1.006189880699035</v>
      </c>
      <c r="C13" s="182">
        <v>0.65813392858338293</v>
      </c>
      <c r="D13" s="187">
        <v>3.9932893011980886E-2</v>
      </c>
      <c r="E13" s="188">
        <v>8.0091143316862734E-4</v>
      </c>
      <c r="F13" s="188">
        <v>-1.0206804551134763E-2</v>
      </c>
      <c r="G13" s="188">
        <v>-1.5583359495910276E-2</v>
      </c>
      <c r="H13" s="189">
        <v>-4.333484711513258E-2</v>
      </c>
      <c r="I13" s="186"/>
      <c r="K13" s="186"/>
      <c r="L13" s="186"/>
      <c r="M13" s="186"/>
      <c r="N13" s="186"/>
    </row>
    <row r="14" spans="1:14">
      <c r="A14" s="181" t="s">
        <v>106</v>
      </c>
      <c r="B14" s="182">
        <v>1.5759140284908504</v>
      </c>
      <c r="C14" s="182">
        <v>2.6819562899348819</v>
      </c>
      <c r="D14" s="187">
        <v>1.0203505635017596E-2</v>
      </c>
      <c r="E14" s="188">
        <v>4.6708447719812751E-2</v>
      </c>
      <c r="F14" s="188">
        <v>3.1341703280112876E-2</v>
      </c>
      <c r="G14" s="188">
        <v>3.5495979797013355E-2</v>
      </c>
      <c r="H14" s="189">
        <v>-8.8369033947823805E-3</v>
      </c>
      <c r="I14" s="186"/>
    </row>
    <row r="15" spans="1:14">
      <c r="A15" s="181"/>
      <c r="B15" s="182"/>
      <c r="C15" s="182"/>
      <c r="D15" s="187"/>
      <c r="E15" s="188"/>
      <c r="F15" s="188"/>
      <c r="G15" s="188"/>
      <c r="H15" s="189"/>
      <c r="K15" s="186"/>
      <c r="L15" s="186"/>
      <c r="M15" s="186"/>
    </row>
    <row r="16" spans="1:14" ht="15.75" thickBot="1">
      <c r="A16" s="190" t="s">
        <v>10</v>
      </c>
      <c r="B16" s="191">
        <v>38.915922087477441</v>
      </c>
      <c r="C16" s="191">
        <v>22.436954513361478</v>
      </c>
      <c r="D16" s="192">
        <v>-1.3273030719028855E-2</v>
      </c>
      <c r="E16" s="193">
        <v>-3.4098804545312777E-3</v>
      </c>
      <c r="F16" s="193">
        <v>-1.0923722377949918E-2</v>
      </c>
      <c r="G16" s="193">
        <v>-1.484762675992457E-2</v>
      </c>
      <c r="H16" s="194">
        <v>-1.0122078981262161E-2</v>
      </c>
    </row>
    <row r="17" spans="1:15">
      <c r="A17" s="195"/>
      <c r="C17" s="196"/>
    </row>
    <row r="19" spans="1:15" ht="16.5" thickBot="1">
      <c r="A19" s="91" t="s">
        <v>107</v>
      </c>
      <c r="B19" s="81"/>
      <c r="C19" s="80"/>
      <c r="D19" s="80"/>
      <c r="E19" s="80"/>
      <c r="F19" s="80"/>
      <c r="G19" s="80"/>
      <c r="H19" s="80"/>
    </row>
    <row r="20" spans="1:15" ht="15.75" thickBot="1">
      <c r="A20" s="177" t="s">
        <v>51</v>
      </c>
      <c r="B20" s="178">
        <v>2000</v>
      </c>
      <c r="C20" s="178">
        <v>2050</v>
      </c>
      <c r="D20" s="197" t="s">
        <v>98</v>
      </c>
      <c r="E20" s="198" t="s">
        <v>99</v>
      </c>
      <c r="F20" s="198" t="s">
        <v>100</v>
      </c>
      <c r="G20" s="198" t="s">
        <v>101</v>
      </c>
      <c r="H20" s="199" t="s">
        <v>102</v>
      </c>
    </row>
    <row r="21" spans="1:15">
      <c r="A21" s="181" t="s">
        <v>108</v>
      </c>
      <c r="B21" s="200">
        <v>12.835644288573071</v>
      </c>
      <c r="C21" s="202">
        <v>3.1558487374952491</v>
      </c>
      <c r="D21" s="203">
        <v>-2.0418210296894168E-3</v>
      </c>
      <c r="E21" s="204">
        <v>-1.2981656397325958E-2</v>
      </c>
      <c r="F21" s="204">
        <v>-2.4214441228512018E-2</v>
      </c>
      <c r="G21" s="204">
        <v>-3.7372279095381211E-2</v>
      </c>
      <c r="H21" s="205">
        <v>-4.8483825121501511E-2</v>
      </c>
      <c r="N21" s="206"/>
      <c r="O21" s="207"/>
    </row>
    <row r="22" spans="1:15">
      <c r="A22" s="181" t="s">
        <v>54</v>
      </c>
      <c r="B22" s="208">
        <v>1.6286979567685305</v>
      </c>
      <c r="C22" s="210">
        <v>0.28608823842971293</v>
      </c>
      <c r="D22" s="211">
        <v>-2.5734767101810885E-2</v>
      </c>
      <c r="E22" s="212">
        <v>-1.3689799048109075E-2</v>
      </c>
      <c r="F22" s="212">
        <v>-3.5649036012973534E-2</v>
      </c>
      <c r="G22" s="212">
        <v>-5.1591584964612802E-2</v>
      </c>
      <c r="H22" s="213">
        <v>-4.0789203540956387E-2</v>
      </c>
    </row>
    <row r="23" spans="1:15">
      <c r="A23" s="181" t="s">
        <v>42</v>
      </c>
      <c r="B23" s="214">
        <v>0.15113499999999999</v>
      </c>
      <c r="C23" s="210">
        <v>0</v>
      </c>
      <c r="D23" s="211"/>
      <c r="E23" s="212"/>
      <c r="F23" s="212"/>
      <c r="G23" s="212"/>
      <c r="H23" s="213"/>
    </row>
    <row r="24" spans="1:15">
      <c r="A24" s="181" t="s">
        <v>109</v>
      </c>
      <c r="B24" s="214">
        <v>0</v>
      </c>
      <c r="C24" s="210">
        <v>1.7196904557179702</v>
      </c>
      <c r="D24" s="211"/>
      <c r="E24" s="212"/>
      <c r="F24" s="212"/>
      <c r="G24" s="212"/>
      <c r="H24" s="213"/>
    </row>
    <row r="25" spans="1:15">
      <c r="A25" s="181"/>
      <c r="B25" s="214"/>
      <c r="C25" s="210"/>
      <c r="D25" s="211"/>
      <c r="E25" s="212"/>
      <c r="F25" s="212"/>
      <c r="G25" s="212"/>
      <c r="H25" s="213"/>
    </row>
    <row r="26" spans="1:15" ht="15.75" thickBot="1">
      <c r="A26" s="190" t="s">
        <v>10</v>
      </c>
      <c r="B26" s="215">
        <v>14.615477245341602</v>
      </c>
      <c r="C26" s="216">
        <v>5.1616274316429323</v>
      </c>
      <c r="D26" s="217">
        <v>-3.5586811437722243E-3</v>
      </c>
      <c r="E26" s="218">
        <v>-1.4068897056350838E-2</v>
      </c>
      <c r="F26" s="218">
        <v>-1.914657319213442E-2</v>
      </c>
      <c r="G26" s="218">
        <v>-2.2178137489036853E-2</v>
      </c>
      <c r="H26" s="219">
        <v>-3.4766735015457351E-2</v>
      </c>
      <c r="O26" s="207"/>
    </row>
    <row r="27" spans="1:15">
      <c r="A27" s="195"/>
    </row>
    <row r="28" spans="1:15">
      <c r="A28" s="195"/>
    </row>
    <row r="29" spans="1:15" ht="16.5" thickBot="1">
      <c r="A29" s="91" t="s">
        <v>110</v>
      </c>
      <c r="B29" s="81"/>
      <c r="C29" s="80"/>
      <c r="D29" s="80"/>
      <c r="E29" s="80"/>
      <c r="F29" s="80"/>
      <c r="G29" s="80"/>
      <c r="H29" s="80"/>
      <c r="N29" s="207"/>
      <c r="O29" s="207"/>
    </row>
    <row r="30" spans="1:15" ht="15.75" thickBot="1">
      <c r="A30" s="177" t="s">
        <v>51</v>
      </c>
      <c r="B30" s="178">
        <v>2000</v>
      </c>
      <c r="C30" s="178">
        <v>2050</v>
      </c>
      <c r="D30" s="197" t="s">
        <v>98</v>
      </c>
      <c r="E30" s="198" t="s">
        <v>99</v>
      </c>
      <c r="F30" s="198" t="s">
        <v>100</v>
      </c>
      <c r="G30" s="198" t="s">
        <v>101</v>
      </c>
      <c r="H30" s="199" t="s">
        <v>102</v>
      </c>
    </row>
    <row r="31" spans="1:15">
      <c r="A31" s="220" t="s">
        <v>111</v>
      </c>
      <c r="B31" s="221">
        <v>8.0394712179039001</v>
      </c>
      <c r="C31" s="221">
        <v>2.3625478953926566</v>
      </c>
      <c r="D31" s="203">
        <v>-2.882004035877217E-2</v>
      </c>
      <c r="E31" s="204">
        <v>-1.4526041240476739E-2</v>
      </c>
      <c r="F31" s="204">
        <v>-1.4652860485782848E-2</v>
      </c>
      <c r="G31" s="204">
        <v>-2.0568577068076799E-2</v>
      </c>
      <c r="H31" s="205">
        <v>-2.639956052647785E-2</v>
      </c>
      <c r="J31" s="222"/>
      <c r="K31" s="222"/>
      <c r="L31" s="222"/>
      <c r="M31" s="222"/>
      <c r="N31" s="222"/>
      <c r="O31" s="222"/>
    </row>
    <row r="32" spans="1:15">
      <c r="A32" s="223" t="s">
        <v>112</v>
      </c>
      <c r="B32" s="224">
        <v>6.7332839541308918</v>
      </c>
      <c r="C32" s="224">
        <v>1.8202122308792859</v>
      </c>
      <c r="D32" s="211">
        <v>-2.9090690523181584E-2</v>
      </c>
      <c r="E32" s="212">
        <v>-1.6390992381878799E-2</v>
      </c>
      <c r="F32" s="212">
        <v>-1.4951999893957013E-2</v>
      </c>
      <c r="G32" s="212">
        <v>-2.031699267299869E-2</v>
      </c>
      <c r="H32" s="213">
        <v>-2.9781861944458865E-2</v>
      </c>
      <c r="J32" s="222"/>
      <c r="K32" s="222"/>
      <c r="L32" s="222"/>
      <c r="M32" s="222"/>
      <c r="N32" s="222"/>
      <c r="O32" s="222"/>
    </row>
    <row r="33" spans="1:15">
      <c r="A33" s="223" t="s">
        <v>113</v>
      </c>
      <c r="B33" s="224">
        <v>0.77559051401547718</v>
      </c>
      <c r="C33" s="224">
        <v>0.18359310283748928</v>
      </c>
      <c r="D33" s="211">
        <v>-2.3758508572556902E-2</v>
      </c>
      <c r="E33" s="212">
        <v>-1.5932877830166836E-2</v>
      </c>
      <c r="F33" s="212">
        <v>-2.5512345193146713E-2</v>
      </c>
      <c r="G33" s="212">
        <v>-3.8886719318729335E-2</v>
      </c>
      <c r="H33" s="213">
        <v>-3.306042203497761E-2</v>
      </c>
      <c r="J33" s="222"/>
      <c r="K33" s="222"/>
      <c r="L33" s="222"/>
      <c r="M33" s="222"/>
      <c r="N33" s="222"/>
      <c r="O33" s="222"/>
    </row>
    <row r="34" spans="1:15">
      <c r="A34" s="220" t="s">
        <v>114</v>
      </c>
      <c r="B34" s="209">
        <v>10.4052195619748</v>
      </c>
      <c r="C34" s="209">
        <v>5.3559195704119285</v>
      </c>
      <c r="D34" s="211">
        <v>-1.2073221594690486E-2</v>
      </c>
      <c r="E34" s="212">
        <v>-2.2551914850852395E-3</v>
      </c>
      <c r="F34" s="212">
        <v>-1.4519117202353105E-2</v>
      </c>
      <c r="G34" s="212">
        <v>-1.6978778630905356E-2</v>
      </c>
      <c r="H34" s="213">
        <v>-1.5472325734152914E-2</v>
      </c>
      <c r="J34" s="222"/>
      <c r="K34" s="222"/>
      <c r="L34" s="222"/>
      <c r="M34" s="222"/>
      <c r="N34" s="222"/>
      <c r="O34" s="222"/>
    </row>
    <row r="35" spans="1:15">
      <c r="A35" s="223" t="s">
        <v>115</v>
      </c>
      <c r="B35" s="224">
        <v>0.68312001018483248</v>
      </c>
      <c r="C35" s="224">
        <v>0.35450138063253811</v>
      </c>
      <c r="D35" s="211">
        <v>-2.3163343596647179E-2</v>
      </c>
      <c r="E35" s="212">
        <v>-6.4462326771118628E-3</v>
      </c>
      <c r="F35" s="212">
        <v>-6.6334772092663252E-3</v>
      </c>
      <c r="G35" s="212">
        <v>-7.0384890511416831E-3</v>
      </c>
      <c r="H35" s="213">
        <v>-1.012294488951071E-2</v>
      </c>
      <c r="J35" s="222"/>
      <c r="K35" s="222"/>
      <c r="L35" s="222"/>
      <c r="M35" s="222"/>
      <c r="N35" s="222"/>
      <c r="O35" s="222"/>
    </row>
    <row r="36" spans="1:15">
      <c r="A36" s="223" t="s">
        <v>116</v>
      </c>
      <c r="B36" s="224">
        <v>5.1075100039894741</v>
      </c>
      <c r="C36" s="224">
        <v>1.5111257706517573</v>
      </c>
      <c r="D36" s="211">
        <v>-1.2737129908311662E-2</v>
      </c>
      <c r="E36" s="212">
        <v>-1.135244676972591E-2</v>
      </c>
      <c r="F36" s="212">
        <v>-2.2148792341749046E-2</v>
      </c>
      <c r="G36" s="212">
        <v>-2.3525409252853957E-2</v>
      </c>
      <c r="H36" s="213">
        <v>-3.6201687547356975E-2</v>
      </c>
      <c r="J36" s="222"/>
      <c r="K36" s="222"/>
      <c r="L36" s="222"/>
      <c r="M36" s="222"/>
      <c r="N36" s="222"/>
      <c r="O36" s="222"/>
    </row>
    <row r="37" spans="1:15">
      <c r="A37" s="223" t="s">
        <v>117</v>
      </c>
      <c r="B37" s="224">
        <v>0.54892519346517621</v>
      </c>
      <c r="C37" s="224">
        <v>0.27253654342218397</v>
      </c>
      <c r="D37" s="211">
        <v>-3.068602496959294E-2</v>
      </c>
      <c r="E37" s="212">
        <v>-6.6272609556158324E-3</v>
      </c>
      <c r="F37" s="212">
        <v>-6.6207402593306819E-3</v>
      </c>
      <c r="G37" s="212">
        <v>-6.6278338643249723E-3</v>
      </c>
      <c r="H37" s="213">
        <v>-6.6269006013536247E-3</v>
      </c>
      <c r="J37" s="222"/>
      <c r="K37" s="222"/>
      <c r="L37" s="222"/>
      <c r="M37" s="222"/>
      <c r="N37" s="222"/>
      <c r="O37" s="222"/>
    </row>
    <row r="38" spans="1:15">
      <c r="A38" s="220" t="s">
        <v>118</v>
      </c>
      <c r="B38" s="209">
        <v>4.5197668823632196</v>
      </c>
      <c r="C38" s="209">
        <v>3.5267403011479717</v>
      </c>
      <c r="D38" s="211">
        <v>-1.7885128597275535E-2</v>
      </c>
      <c r="E38" s="212">
        <v>8.3339337189247686E-3</v>
      </c>
      <c r="F38" s="212">
        <v>-1.1616090068351514E-3</v>
      </c>
      <c r="G38" s="212">
        <v>-2.7088581652070509E-3</v>
      </c>
      <c r="H38" s="213">
        <v>2.4785551026695885E-5</v>
      </c>
      <c r="J38" s="222"/>
      <c r="K38" s="222"/>
      <c r="L38" s="222"/>
      <c r="M38" s="222"/>
      <c r="N38" s="222"/>
      <c r="O38" s="222"/>
    </row>
    <row r="39" spans="1:15">
      <c r="A39" s="223" t="s">
        <v>119</v>
      </c>
      <c r="B39" s="224">
        <v>1.7363799820886927</v>
      </c>
      <c r="C39" s="224">
        <v>1.3892801680948215</v>
      </c>
      <c r="D39" s="211">
        <v>-1.4175951100393935E-2</v>
      </c>
      <c r="E39" s="212">
        <v>1.9820631419208867E-2</v>
      </c>
      <c r="F39" s="212">
        <v>-2.6738358547824248E-3</v>
      </c>
      <c r="G39" s="212">
        <v>-2.4881705096504447E-3</v>
      </c>
      <c r="H39" s="213">
        <v>-4.0490923890846853E-3</v>
      </c>
      <c r="J39" s="222"/>
      <c r="K39" s="222"/>
      <c r="L39" s="222"/>
      <c r="M39" s="222"/>
      <c r="N39" s="222"/>
      <c r="O39" s="222"/>
    </row>
    <row r="40" spans="1:15">
      <c r="A40" s="223" t="s">
        <v>120</v>
      </c>
      <c r="B40" s="224">
        <v>1.4736883103796508</v>
      </c>
      <c r="C40" s="224">
        <v>1.0408883823018047</v>
      </c>
      <c r="D40" s="211">
        <v>-8.9571162177584096E-3</v>
      </c>
      <c r="E40" s="212">
        <v>-7.7681318092893692E-3</v>
      </c>
      <c r="F40" s="212">
        <v>-7.832319975623836E-3</v>
      </c>
      <c r="G40" s="212">
        <v>-7.8654989502765504E-3</v>
      </c>
      <c r="H40" s="213">
        <v>-4.735781493586555E-3</v>
      </c>
      <c r="J40" s="222"/>
      <c r="K40" s="222"/>
      <c r="L40" s="222"/>
      <c r="M40" s="222"/>
      <c r="N40" s="222"/>
      <c r="O40" s="222"/>
    </row>
    <row r="41" spans="1:15">
      <c r="A41" s="220" t="s">
        <v>121</v>
      </c>
      <c r="B41" s="209">
        <v>5.1496266408640006</v>
      </c>
      <c r="C41" s="209">
        <v>4.4458524021286028</v>
      </c>
      <c r="D41" s="211">
        <v>8.8280283181072505E-3</v>
      </c>
      <c r="E41" s="212">
        <v>-2.7590517378522916E-3</v>
      </c>
      <c r="F41" s="212">
        <v>-1.04042570745142E-2</v>
      </c>
      <c r="G41" s="212">
        <v>-1.5799727411699438E-2</v>
      </c>
      <c r="H41" s="213">
        <v>-6.6306418028676539E-3</v>
      </c>
      <c r="J41" s="222"/>
      <c r="K41" s="222"/>
      <c r="L41" s="222"/>
      <c r="M41" s="222"/>
      <c r="N41" s="222"/>
      <c r="O41" s="222"/>
    </row>
    <row r="42" spans="1:15">
      <c r="A42" s="223" t="s">
        <v>122</v>
      </c>
      <c r="B42" s="224">
        <v>0.89190999086672396</v>
      </c>
      <c r="C42" s="224">
        <v>0.69562637154176654</v>
      </c>
      <c r="D42" s="211">
        <v>-4.2727375856344008E-4</v>
      </c>
      <c r="E42" s="212">
        <v>-8.6490302339939928E-3</v>
      </c>
      <c r="F42" s="212">
        <v>-8.3880711873516312E-3</v>
      </c>
      <c r="G42" s="212">
        <v>-8.0913336247184775E-3</v>
      </c>
      <c r="H42" s="213">
        <v>-5.7817372560600155E-3</v>
      </c>
      <c r="J42" s="222"/>
      <c r="K42" s="222"/>
      <c r="L42" s="222"/>
      <c r="M42" s="222"/>
      <c r="N42" s="222"/>
      <c r="O42" s="222"/>
    </row>
    <row r="43" spans="1:15">
      <c r="A43" s="220" t="s">
        <v>123</v>
      </c>
      <c r="B43" s="209">
        <v>4.7684999999999995</v>
      </c>
      <c r="C43" s="209">
        <v>3.7611211162741518</v>
      </c>
      <c r="D43" s="211">
        <v>-1.4504478070025084E-2</v>
      </c>
      <c r="E43" s="212">
        <v>4.7161248590787963E-3</v>
      </c>
      <c r="F43" s="212">
        <v>-4.2530314663815627E-3</v>
      </c>
      <c r="G43" s="212">
        <v>-9.1012434194077674E-3</v>
      </c>
      <c r="H43" s="213">
        <v>1.2680840401131377E-3</v>
      </c>
      <c r="J43" s="222"/>
      <c r="K43" s="222"/>
      <c r="L43" s="222"/>
      <c r="M43" s="222"/>
      <c r="N43" s="222"/>
      <c r="O43" s="222"/>
    </row>
    <row r="44" spans="1:15">
      <c r="A44" s="220" t="s">
        <v>124</v>
      </c>
      <c r="B44" s="209">
        <v>6.0333377843715192</v>
      </c>
      <c r="C44" s="209">
        <v>2.9847732280061638</v>
      </c>
      <c r="D44" s="211">
        <v>-1.4611845468938789E-2</v>
      </c>
      <c r="E44" s="212">
        <v>-9.8154322852737064E-3</v>
      </c>
      <c r="F44" s="212">
        <v>-1.4613983738678837E-2</v>
      </c>
      <c r="G44" s="212">
        <v>-1.9405865678447376E-2</v>
      </c>
      <c r="H44" s="213">
        <v>-1.3018023004762513E-2</v>
      </c>
      <c r="J44" s="222"/>
      <c r="K44" s="222"/>
      <c r="L44" s="222"/>
      <c r="M44" s="222"/>
      <c r="N44" s="222"/>
      <c r="O44" s="222"/>
    </row>
    <row r="45" spans="1:15">
      <c r="A45" s="223" t="s">
        <v>125</v>
      </c>
      <c r="B45" s="225">
        <v>3.7799499921678623</v>
      </c>
      <c r="C45" s="225">
        <v>1.8797035765152388</v>
      </c>
      <c r="D45" s="211">
        <v>-1.0949147569268014E-2</v>
      </c>
      <c r="E45" s="212">
        <v>-1.1266274495920436E-2</v>
      </c>
      <c r="F45" s="212">
        <v>-1.4136597243633697E-2</v>
      </c>
      <c r="G45" s="212">
        <v>-2.0233623483975283E-2</v>
      </c>
      <c r="H45" s="213">
        <v>-1.5055989955698346E-2</v>
      </c>
      <c r="J45" s="222"/>
      <c r="K45" s="222"/>
      <c r="L45" s="222"/>
      <c r="M45" s="222"/>
      <c r="N45" s="222"/>
      <c r="O45" s="222"/>
    </row>
    <row r="46" spans="1:15">
      <c r="A46" s="181"/>
      <c r="B46" s="182"/>
      <c r="C46" s="182"/>
      <c r="D46" s="211"/>
      <c r="E46" s="212"/>
      <c r="F46" s="212"/>
      <c r="G46" s="212"/>
      <c r="H46" s="213"/>
    </row>
    <row r="47" spans="1:15">
      <c r="A47" s="181"/>
      <c r="B47" s="182"/>
      <c r="C47" s="182"/>
      <c r="D47" s="211"/>
      <c r="E47" s="212"/>
      <c r="F47" s="212"/>
      <c r="G47" s="212"/>
      <c r="H47" s="213"/>
    </row>
    <row r="48" spans="1:15" ht="15.75" thickBot="1">
      <c r="A48" s="190" t="s">
        <v>10</v>
      </c>
      <c r="B48" s="226">
        <v>38.915922087477433</v>
      </c>
      <c r="C48" s="226">
        <v>22.436954513361474</v>
      </c>
      <c r="D48" s="217">
        <v>-1.3273030719028855E-2</v>
      </c>
      <c r="E48" s="218">
        <v>-3.4098804545312777E-3</v>
      </c>
      <c r="F48" s="218">
        <v>-1.0923722377949918E-2</v>
      </c>
      <c r="G48" s="218">
        <v>-1.4847626759924459E-2</v>
      </c>
      <c r="H48" s="219">
        <v>-1.0122078981262272E-2</v>
      </c>
    </row>
    <row r="49" spans="1:15" ht="15.75" thickBot="1">
      <c r="A49" s="195"/>
    </row>
    <row r="50" spans="1:15" ht="15.75" thickBot="1">
      <c r="A50" s="227" t="s">
        <v>126</v>
      </c>
      <c r="B50" s="228">
        <v>21.730357951288781</v>
      </c>
      <c r="C50" s="228">
        <v>9.1474675268768859</v>
      </c>
      <c r="D50" s="229">
        <v>-1.7464530547261159E-2</v>
      </c>
      <c r="E50" s="230">
        <v>-9.3304384083779945E-3</v>
      </c>
      <c r="F50" s="230">
        <v>-1.4331236969760019E-2</v>
      </c>
      <c r="G50" s="230">
        <v>-1.7275020441781752E-2</v>
      </c>
      <c r="H50" s="231">
        <v>-1.9545216478406569E-2</v>
      </c>
    </row>
    <row r="51" spans="1:15">
      <c r="A51" s="232"/>
      <c r="B51" s="233"/>
      <c r="C51" s="233"/>
      <c r="D51" s="212"/>
      <c r="E51" s="212"/>
      <c r="F51" s="212"/>
      <c r="G51" s="212"/>
      <c r="H51" s="212"/>
    </row>
    <row r="52" spans="1:15">
      <c r="B52" s="234"/>
    </row>
    <row r="53" spans="1:15" ht="16.5" thickBot="1">
      <c r="A53" s="91" t="s">
        <v>127</v>
      </c>
      <c r="B53" s="81"/>
      <c r="C53" s="80"/>
      <c r="D53" s="80"/>
      <c r="E53" s="80"/>
      <c r="F53" s="80"/>
      <c r="G53" s="80"/>
      <c r="H53" s="80"/>
    </row>
    <row r="54" spans="1:15" ht="15.75" thickBot="1">
      <c r="A54" s="235" t="s">
        <v>128</v>
      </c>
      <c r="B54" s="178">
        <v>2000</v>
      </c>
      <c r="C54" s="178">
        <v>2050</v>
      </c>
      <c r="D54" s="197" t="s">
        <v>98</v>
      </c>
      <c r="E54" s="198" t="s">
        <v>99</v>
      </c>
      <c r="F54" s="198" t="s">
        <v>100</v>
      </c>
      <c r="G54" s="198" t="s">
        <v>101</v>
      </c>
      <c r="H54" s="199" t="s">
        <v>102</v>
      </c>
    </row>
    <row r="55" spans="1:15">
      <c r="A55" s="220" t="s">
        <v>111</v>
      </c>
      <c r="B55" s="209">
        <v>22.518680393209301</v>
      </c>
      <c r="C55" s="209">
        <v>16.542048660589597</v>
      </c>
      <c r="D55" s="203">
        <v>-1.9484576089642713E-2</v>
      </c>
      <c r="E55" s="204">
        <v>3.457246287976723E-4</v>
      </c>
      <c r="F55" s="204">
        <v>-2.1832446285263707E-3</v>
      </c>
      <c r="G55" s="204">
        <v>-3.1976743828334708E-3</v>
      </c>
      <c r="H55" s="205">
        <v>5.9656299673127577E-4</v>
      </c>
      <c r="J55" s="222"/>
      <c r="K55" s="222"/>
      <c r="L55" s="222"/>
      <c r="M55" s="222"/>
      <c r="N55" s="222"/>
      <c r="O55" s="222"/>
    </row>
    <row r="56" spans="1:15">
      <c r="A56" s="223" t="s">
        <v>112</v>
      </c>
      <c r="B56" s="224">
        <v>12.717519555999999</v>
      </c>
      <c r="C56" s="224">
        <v>11.069596652632001</v>
      </c>
      <c r="D56" s="211">
        <v>-2.3522445296106476E-2</v>
      </c>
      <c r="E56" s="212">
        <v>4.2460480621713259E-3</v>
      </c>
      <c r="F56" s="212">
        <v>5.2329078770170234E-3</v>
      </c>
      <c r="G56" s="212">
        <v>8.3952821157484703E-3</v>
      </c>
      <c r="H56" s="213">
        <v>6.4804924837684741E-3</v>
      </c>
      <c r="J56" s="222"/>
      <c r="K56" s="222"/>
      <c r="L56" s="222"/>
      <c r="M56" s="222"/>
      <c r="N56" s="222"/>
      <c r="O56" s="222"/>
    </row>
    <row r="57" spans="1:15">
      <c r="A57" s="223" t="s">
        <v>113</v>
      </c>
      <c r="B57" s="224">
        <v>6.4558120000000008</v>
      </c>
      <c r="C57" s="224">
        <v>1.9148900000000004</v>
      </c>
      <c r="D57" s="211">
        <v>-1.3782742229120348E-2</v>
      </c>
      <c r="E57" s="212">
        <v>-1.5474308830559447E-2</v>
      </c>
      <c r="F57" s="212">
        <v>-2.4327159240073892E-2</v>
      </c>
      <c r="G57" s="212">
        <v>-3.6116628208944679E-2</v>
      </c>
      <c r="H57" s="213">
        <v>-3.0626239311444592E-2</v>
      </c>
      <c r="J57" s="222"/>
      <c r="K57" s="222"/>
      <c r="L57" s="222"/>
      <c r="M57" s="222"/>
      <c r="N57" s="222"/>
      <c r="O57" s="222"/>
    </row>
    <row r="58" spans="1:15">
      <c r="A58" s="220" t="s">
        <v>114</v>
      </c>
      <c r="B58" s="209">
        <v>34.317436634125585</v>
      </c>
      <c r="C58" s="209">
        <v>41.405759651043759</v>
      </c>
      <c r="D58" s="211">
        <v>-7.9524496774868725E-3</v>
      </c>
      <c r="E58" s="212">
        <v>-5.337329154053716E-4</v>
      </c>
      <c r="F58" s="212">
        <v>-4.716743914149224E-3</v>
      </c>
      <c r="G58" s="212">
        <v>-1.8802107418773861E-3</v>
      </c>
      <c r="H58" s="213">
        <v>1.7310560391055496E-2</v>
      </c>
      <c r="J58" s="222"/>
      <c r="K58" s="222"/>
      <c r="L58" s="222"/>
      <c r="M58" s="222"/>
      <c r="N58" s="222"/>
      <c r="O58" s="222"/>
    </row>
    <row r="59" spans="1:15">
      <c r="A59" s="223" t="s">
        <v>115</v>
      </c>
      <c r="B59" s="224">
        <v>1.4306063496000001</v>
      </c>
      <c r="C59" s="224">
        <v>1.8039342958032001</v>
      </c>
      <c r="D59" s="211">
        <v>-4.3849908552130334E-2</v>
      </c>
      <c r="E59" s="212">
        <v>-5.9378485624641542E-3</v>
      </c>
      <c r="F59" s="212">
        <v>-9.0168293734382843E-4</v>
      </c>
      <c r="G59" s="212">
        <v>8.4672842999160558E-3</v>
      </c>
      <c r="H59" s="213">
        <v>4.5850432243369932E-2</v>
      </c>
      <c r="J59" s="222"/>
      <c r="K59" s="222"/>
      <c r="L59" s="222"/>
      <c r="M59" s="222"/>
      <c r="N59" s="222"/>
      <c r="O59" s="222"/>
    </row>
    <row r="60" spans="1:15">
      <c r="A60" s="223" t="s">
        <v>116</v>
      </c>
      <c r="B60" s="224">
        <v>9.2656209821999997</v>
      </c>
      <c r="C60" s="224">
        <v>11.304263411981832</v>
      </c>
      <c r="D60" s="211">
        <v>-8.0114810887681465E-3</v>
      </c>
      <c r="E60" s="212">
        <v>-1.0518357694465075E-2</v>
      </c>
      <c r="F60" s="212">
        <v>-1.0099568113222435E-2</v>
      </c>
      <c r="G60" s="212">
        <v>-2.1263826370314654E-3</v>
      </c>
      <c r="H60" s="213">
        <v>2.1926600117262662E-2</v>
      </c>
      <c r="J60" s="222"/>
      <c r="K60" s="222"/>
      <c r="L60" s="222"/>
      <c r="M60" s="222"/>
      <c r="N60" s="222"/>
      <c r="O60" s="222"/>
    </row>
    <row r="61" spans="1:15">
      <c r="A61" s="223" t="s">
        <v>117</v>
      </c>
      <c r="B61" s="224">
        <v>6.3840000000000003</v>
      </c>
      <c r="C61" s="224">
        <v>3.1696</v>
      </c>
      <c r="D61" s="211">
        <v>-3.068602496959294E-2</v>
      </c>
      <c r="E61" s="212">
        <v>-6.6272609556158324E-3</v>
      </c>
      <c r="F61" s="212">
        <v>-6.6207402593306819E-3</v>
      </c>
      <c r="G61" s="212">
        <v>-6.6278338643249723E-3</v>
      </c>
      <c r="H61" s="213">
        <v>-6.6269006013536247E-3</v>
      </c>
      <c r="J61" s="222"/>
      <c r="K61" s="222"/>
      <c r="L61" s="222"/>
      <c r="M61" s="222"/>
      <c r="N61" s="222"/>
      <c r="O61" s="222"/>
    </row>
    <row r="62" spans="1:15">
      <c r="A62" s="220" t="s">
        <v>118</v>
      </c>
      <c r="B62" s="209">
        <v>10.089770094130467</v>
      </c>
      <c r="C62" s="209">
        <v>24.929055598960488</v>
      </c>
      <c r="D62" s="211">
        <v>-5.0466540081156586E-3</v>
      </c>
      <c r="E62" s="212">
        <v>7.0533802098573517E-3</v>
      </c>
      <c r="F62" s="212">
        <v>7.6498993768454593E-3</v>
      </c>
      <c r="G62" s="212">
        <v>1.1262028880753672E-2</v>
      </c>
      <c r="H62" s="213">
        <v>4.3476626924084938E-2</v>
      </c>
      <c r="J62" s="222"/>
      <c r="K62" s="222"/>
      <c r="L62" s="222"/>
      <c r="M62" s="222"/>
      <c r="N62" s="222"/>
      <c r="O62" s="222"/>
    </row>
    <row r="63" spans="1:15">
      <c r="A63" s="223" t="s">
        <v>119</v>
      </c>
      <c r="B63" s="224">
        <v>2.8699343444999998</v>
      </c>
      <c r="C63" s="224">
        <v>7.073843024248001</v>
      </c>
      <c r="D63" s="211">
        <v>-8.1311686295574281E-3</v>
      </c>
      <c r="E63" s="212">
        <v>1.9264144643261982E-2</v>
      </c>
      <c r="F63" s="212">
        <v>3.221360872852852E-3</v>
      </c>
      <c r="G63" s="212">
        <v>9.2399982012025816E-3</v>
      </c>
      <c r="H63" s="213">
        <v>4.4308943926575362E-2</v>
      </c>
      <c r="J63" s="222"/>
      <c r="K63" s="222"/>
      <c r="L63" s="222"/>
      <c r="M63" s="222"/>
      <c r="N63" s="222"/>
      <c r="O63" s="222"/>
    </row>
    <row r="64" spans="1:15">
      <c r="A64" s="223" t="s">
        <v>120</v>
      </c>
      <c r="B64" s="224">
        <v>3.5000683077700003</v>
      </c>
      <c r="C64" s="224">
        <v>8.172680268564001</v>
      </c>
      <c r="D64" s="211">
        <v>4.3277639952932212E-4</v>
      </c>
      <c r="E64" s="212">
        <v>-6.561472118623235E-3</v>
      </c>
      <c r="F64" s="212">
        <v>1.39465171572839E-3</v>
      </c>
      <c r="G64" s="212">
        <v>8.3319570067608151E-3</v>
      </c>
      <c r="H64" s="213">
        <v>4.2163877829478835E-2</v>
      </c>
      <c r="J64" s="222"/>
      <c r="K64" s="222"/>
      <c r="L64" s="222"/>
      <c r="M64" s="222"/>
      <c r="N64" s="222"/>
      <c r="O64" s="222"/>
    </row>
    <row r="65" spans="1:15">
      <c r="A65" s="220" t="s">
        <v>121</v>
      </c>
      <c r="B65" s="209">
        <v>17.126937614697678</v>
      </c>
      <c r="C65" s="209">
        <v>35.759844305960428</v>
      </c>
      <c r="D65" s="211">
        <v>1.2865977180223087E-2</v>
      </c>
      <c r="E65" s="212">
        <v>-3.7101256771170377E-3</v>
      </c>
      <c r="F65" s="212">
        <v>-5.5506720125205744E-3</v>
      </c>
      <c r="G65" s="212">
        <v>-2.3115233324033646E-3</v>
      </c>
      <c r="H65" s="213">
        <v>3.0578255766283258E-2</v>
      </c>
      <c r="J65" s="222"/>
      <c r="K65" s="222"/>
      <c r="L65" s="222"/>
      <c r="M65" s="222"/>
      <c r="N65" s="222"/>
      <c r="O65" s="222"/>
    </row>
    <row r="66" spans="1:15">
      <c r="A66" s="223" t="s">
        <v>122</v>
      </c>
      <c r="B66" s="224">
        <v>1.075774824</v>
      </c>
      <c r="C66" s="224">
        <v>4.36006303422492</v>
      </c>
      <c r="D66" s="211">
        <v>2.1363245239840456E-3</v>
      </c>
      <c r="E66" s="212">
        <v>-8.6550920534156361E-3</v>
      </c>
      <c r="F66" s="212">
        <v>9.6806017707231629E-3</v>
      </c>
      <c r="G66" s="212">
        <v>2.3891188290943388E-2</v>
      </c>
      <c r="H66" s="213">
        <v>6.4211179326033374E-2</v>
      </c>
      <c r="J66" s="222"/>
      <c r="K66" s="222"/>
      <c r="L66" s="222"/>
      <c r="M66" s="222"/>
      <c r="N66" s="222"/>
      <c r="O66" s="222"/>
    </row>
    <row r="67" spans="1:15">
      <c r="A67" s="220" t="s">
        <v>123</v>
      </c>
      <c r="B67" s="209">
        <v>26.596511627906978</v>
      </c>
      <c r="C67" s="209">
        <v>41.628931969166253</v>
      </c>
      <c r="D67" s="211">
        <v>-1.085322009177081E-2</v>
      </c>
      <c r="E67" s="212">
        <v>7.9072416084033925E-3</v>
      </c>
      <c r="F67" s="212">
        <v>1.248012171704449E-3</v>
      </c>
      <c r="G67" s="212">
        <v>2.5379894664756542E-4</v>
      </c>
      <c r="H67" s="213">
        <v>2.8643444965444909E-2</v>
      </c>
      <c r="J67" s="222"/>
      <c r="K67" s="222"/>
      <c r="L67" s="222"/>
      <c r="M67" s="222"/>
      <c r="N67" s="222"/>
      <c r="O67" s="222"/>
    </row>
    <row r="68" spans="1:15">
      <c r="A68" s="220" t="s">
        <v>124</v>
      </c>
      <c r="B68" s="209">
        <v>21.828811773529303</v>
      </c>
      <c r="C68" s="209">
        <v>20.138129256274084</v>
      </c>
      <c r="D68" s="211">
        <v>-2.1004882411991499E-2</v>
      </c>
      <c r="E68" s="212">
        <v>-9.9808225370821013E-3</v>
      </c>
      <c r="F68" s="212">
        <v>-1.1313127541162316E-2</v>
      </c>
      <c r="G68" s="212">
        <v>-9.9255875117842951E-3</v>
      </c>
      <c r="H68" s="213">
        <v>1.9932672113075034E-2</v>
      </c>
      <c r="J68" s="222"/>
      <c r="K68" s="222"/>
      <c r="L68" s="222"/>
      <c r="M68" s="222"/>
      <c r="N68" s="222"/>
      <c r="O68" s="222"/>
    </row>
    <row r="69" spans="1:15">
      <c r="A69" s="223" t="s">
        <v>125</v>
      </c>
      <c r="B69" s="224">
        <v>12.133462936320001</v>
      </c>
      <c r="C69" s="224">
        <v>9.8448280746497989</v>
      </c>
      <c r="D69" s="211">
        <v>-1.9435635747002244E-2</v>
      </c>
      <c r="E69" s="212">
        <v>-1.248806694870741E-2</v>
      </c>
      <c r="F69" s="212">
        <v>-1.2370780345036914E-2</v>
      </c>
      <c r="G69" s="212">
        <v>-1.5663131115900453E-2</v>
      </c>
      <c r="H69" s="213">
        <v>1.4574821208431121E-2</v>
      </c>
      <c r="J69" s="222"/>
      <c r="K69" s="222"/>
      <c r="L69" s="222"/>
      <c r="M69" s="222"/>
      <c r="N69" s="222"/>
      <c r="O69" s="222"/>
    </row>
    <row r="70" spans="1:15">
      <c r="A70" s="181"/>
      <c r="B70" s="182"/>
      <c r="C70" s="182"/>
      <c r="D70" s="211"/>
      <c r="E70" s="212"/>
      <c r="F70" s="212"/>
      <c r="G70" s="212"/>
      <c r="H70" s="213"/>
    </row>
    <row r="71" spans="1:15">
      <c r="A71" s="181"/>
      <c r="B71" s="182"/>
      <c r="C71" s="182"/>
      <c r="D71" s="211"/>
      <c r="E71" s="212"/>
      <c r="F71" s="212"/>
      <c r="G71" s="212"/>
      <c r="H71" s="213"/>
    </row>
    <row r="72" spans="1:15" ht="15.75" thickBot="1">
      <c r="A72" s="190" t="s">
        <v>10</v>
      </c>
      <c r="B72" s="226">
        <v>132.47814813759931</v>
      </c>
      <c r="C72" s="226">
        <v>180.4037694419946</v>
      </c>
      <c r="D72" s="217">
        <v>-8.9509795210076515E-3</v>
      </c>
      <c r="E72" s="218">
        <v>5.3024071355434188E-5</v>
      </c>
      <c r="F72" s="218">
        <v>-3.0631622876612363E-3</v>
      </c>
      <c r="G72" s="218">
        <v>-1.502122314941845E-3</v>
      </c>
      <c r="H72" s="219">
        <v>2.3585820623661213E-2</v>
      </c>
    </row>
    <row r="73" spans="1:15" ht="15.75" thickBot="1">
      <c r="A73" s="195"/>
    </row>
    <row r="74" spans="1:15" ht="15.75" thickBot="1">
      <c r="A74" s="227" t="s">
        <v>126</v>
      </c>
      <c r="B74" s="228">
        <v>55.83279930039</v>
      </c>
      <c r="C74" s="228">
        <v>58.71369876210376</v>
      </c>
      <c r="D74" s="229">
        <v>-1.6810622409562326E-2</v>
      </c>
      <c r="E74" s="230">
        <v>-5.7734388262641323E-3</v>
      </c>
      <c r="F74" s="230">
        <v>-5.9047943408462311E-3</v>
      </c>
      <c r="G74" s="230">
        <v>-3.3481638277382819E-3</v>
      </c>
      <c r="H74" s="231">
        <v>1.9178880492322303E-2</v>
      </c>
    </row>
    <row r="75" spans="1:15">
      <c r="A75" s="232"/>
      <c r="B75" s="233"/>
      <c r="C75" s="233"/>
      <c r="D75" s="212"/>
      <c r="E75" s="212"/>
      <c r="F75" s="212"/>
      <c r="G75" s="212"/>
      <c r="H75" s="212"/>
    </row>
    <row r="77" spans="1:15" ht="16.5" thickBot="1">
      <c r="A77" s="91" t="s">
        <v>129</v>
      </c>
      <c r="B77" s="81"/>
      <c r="C77" s="80"/>
      <c r="D77" s="80"/>
      <c r="E77" s="80"/>
      <c r="F77" s="80"/>
      <c r="G77" s="80"/>
      <c r="H77" s="80"/>
    </row>
    <row r="78" spans="1:15" ht="15.75" thickBot="1">
      <c r="A78" s="235" t="s">
        <v>51</v>
      </c>
      <c r="B78" s="178">
        <v>2000</v>
      </c>
      <c r="C78" s="178">
        <v>2050</v>
      </c>
      <c r="D78" s="197" t="s">
        <v>98</v>
      </c>
      <c r="E78" s="198" t="s">
        <v>99</v>
      </c>
      <c r="F78" s="198" t="s">
        <v>100</v>
      </c>
      <c r="G78" s="198" t="s">
        <v>101</v>
      </c>
      <c r="H78" s="199" t="s">
        <v>102</v>
      </c>
    </row>
    <row r="79" spans="1:15">
      <c r="A79" s="220" t="s">
        <v>111</v>
      </c>
      <c r="B79" s="209">
        <v>6.1028647040878994</v>
      </c>
      <c r="C79" s="209">
        <v>0.93993171058195146</v>
      </c>
      <c r="D79" s="203">
        <v>-3.2065133243258437E-2</v>
      </c>
      <c r="E79" s="204">
        <v>-2.0501464042258277E-2</v>
      </c>
      <c r="F79" s="204">
        <v>-2.0187474137542516E-2</v>
      </c>
      <c r="G79" s="204">
        <v>-2.9153625531606608E-2</v>
      </c>
      <c r="H79" s="205">
        <v>-5.0118991966425885E-2</v>
      </c>
      <c r="J79" s="222"/>
      <c r="K79" s="222"/>
      <c r="L79" s="222"/>
      <c r="M79" s="222"/>
      <c r="N79" s="222"/>
      <c r="O79" s="222"/>
    </row>
    <row r="80" spans="1:15">
      <c r="A80" s="223" t="s">
        <v>112</v>
      </c>
      <c r="B80" s="224">
        <v>5.6397741040878993</v>
      </c>
      <c r="C80" s="224">
        <v>0.86839824527034348</v>
      </c>
      <c r="D80" s="211">
        <v>-3.0223983367855145E-2</v>
      </c>
      <c r="E80" s="212">
        <v>-2.1062081281624345E-2</v>
      </c>
      <c r="F80" s="212">
        <v>-2.0142982514886554E-2</v>
      </c>
      <c r="G80" s="212">
        <v>-2.8917291757819874E-2</v>
      </c>
      <c r="H80" s="213">
        <v>-5.1416072065252116E-2</v>
      </c>
      <c r="J80" s="222"/>
      <c r="K80" s="222"/>
      <c r="L80" s="222"/>
      <c r="M80" s="222"/>
      <c r="N80" s="222"/>
      <c r="O80" s="222"/>
    </row>
    <row r="81" spans="1:15">
      <c r="A81" s="223" t="s">
        <v>113</v>
      </c>
      <c r="B81" s="224">
        <v>0.22049060000000001</v>
      </c>
      <c r="C81" s="224">
        <v>1.8942200000000003E-2</v>
      </c>
      <c r="D81" s="211">
        <v>-5.800925990156014E-2</v>
      </c>
      <c r="E81" s="212">
        <v>-1.8243449391070587E-2</v>
      </c>
      <c r="F81" s="212">
        <v>-3.1625686200436376E-2</v>
      </c>
      <c r="G81" s="212">
        <v>-5.4057169458854637E-2</v>
      </c>
      <c r="H81" s="213">
        <v>-5.0075580850414636E-2</v>
      </c>
      <c r="J81" s="222"/>
      <c r="K81" s="222"/>
      <c r="L81" s="222"/>
      <c r="M81" s="222"/>
      <c r="N81" s="222"/>
      <c r="O81" s="222"/>
    </row>
    <row r="82" spans="1:15">
      <c r="A82" s="220" t="s">
        <v>114</v>
      </c>
      <c r="B82" s="209">
        <v>7.4539200114399993</v>
      </c>
      <c r="C82" s="209">
        <v>1.795024240422165</v>
      </c>
      <c r="D82" s="211">
        <v>-1.3773642860210988E-2</v>
      </c>
      <c r="E82" s="212">
        <v>-3.0033839999191736E-3</v>
      </c>
      <c r="F82" s="212">
        <v>-1.8936892563536922E-2</v>
      </c>
      <c r="G82" s="212">
        <v>-2.4416430642059117E-2</v>
      </c>
      <c r="H82" s="213">
        <v>-4.7887977249885028E-2</v>
      </c>
      <c r="J82" s="222"/>
      <c r="K82" s="222"/>
      <c r="L82" s="222"/>
      <c r="M82" s="222"/>
      <c r="N82" s="222"/>
      <c r="O82" s="222"/>
    </row>
    <row r="83" spans="1:15">
      <c r="A83" s="223" t="s">
        <v>115</v>
      </c>
      <c r="B83" s="224">
        <v>0.56011000592000015</v>
      </c>
      <c r="C83" s="224">
        <v>0.19939095107078403</v>
      </c>
      <c r="D83" s="211">
        <v>-1.9342063656889397E-2</v>
      </c>
      <c r="E83" s="212">
        <v>-6.5227039328993319E-3</v>
      </c>
      <c r="F83" s="212">
        <v>-7.5087443496526518E-3</v>
      </c>
      <c r="G83" s="212">
        <v>-9.5430288444636746E-3</v>
      </c>
      <c r="H83" s="213">
        <v>-3.0599179512618147E-2</v>
      </c>
      <c r="J83" s="222"/>
      <c r="K83" s="222"/>
      <c r="L83" s="222"/>
      <c r="M83" s="222"/>
      <c r="N83" s="222"/>
      <c r="O83" s="222"/>
    </row>
    <row r="84" spans="1:15">
      <c r="A84" s="223" t="s">
        <v>116</v>
      </c>
      <c r="B84" s="224">
        <v>4.3108100055199987</v>
      </c>
      <c r="C84" s="224">
        <v>0.53913407572640637</v>
      </c>
      <c r="D84" s="211">
        <v>-1.364621360705931E-2</v>
      </c>
      <c r="E84" s="212">
        <v>-1.1520690126172184E-2</v>
      </c>
      <c r="F84" s="212">
        <v>-2.4660321708745769E-2</v>
      </c>
      <c r="G84" s="212">
        <v>-2.8446122757142756E-2</v>
      </c>
      <c r="H84" s="213">
        <v>-7.4375658972649417E-2</v>
      </c>
      <c r="J84" s="222"/>
      <c r="K84" s="222"/>
      <c r="L84" s="222"/>
      <c r="M84" s="222"/>
      <c r="N84" s="222"/>
      <c r="O84" s="222"/>
    </row>
    <row r="85" spans="1:15">
      <c r="A85" s="223" t="s">
        <v>117</v>
      </c>
      <c r="B85" s="224">
        <v>0</v>
      </c>
      <c r="C85" s="224">
        <v>0</v>
      </c>
      <c r="D85" s="211" t="e">
        <v>#DIV/0!</v>
      </c>
      <c r="E85" s="212" t="e">
        <v>#DIV/0!</v>
      </c>
      <c r="F85" s="212" t="e">
        <v>#DIV/0!</v>
      </c>
      <c r="G85" s="212" t="e">
        <v>#DIV/0!</v>
      </c>
      <c r="H85" s="213" t="e">
        <v>#DIV/0!</v>
      </c>
      <c r="J85" s="222"/>
      <c r="K85" s="222"/>
      <c r="L85" s="222"/>
      <c r="M85" s="222"/>
      <c r="N85" s="222"/>
      <c r="O85" s="222"/>
    </row>
    <row r="86" spans="1:15">
      <c r="A86" s="220" t="s">
        <v>118</v>
      </c>
      <c r="B86" s="209">
        <v>3.6520466542679997</v>
      </c>
      <c r="C86" s="209">
        <v>1.3828415196373696</v>
      </c>
      <c r="D86" s="211">
        <v>-2.1313635408318321E-2</v>
      </c>
      <c r="E86" s="212">
        <v>8.7222550422911826E-3</v>
      </c>
      <c r="F86" s="212">
        <v>-3.8825196310914301E-3</v>
      </c>
      <c r="G86" s="212">
        <v>-7.3439622184802156E-3</v>
      </c>
      <c r="H86" s="213">
        <v>-3.1256250559140719E-2</v>
      </c>
      <c r="J86" s="222"/>
      <c r="K86" s="222"/>
      <c r="L86" s="222"/>
      <c r="M86" s="222"/>
      <c r="N86" s="222"/>
      <c r="O86" s="222"/>
    </row>
    <row r="87" spans="1:15">
      <c r="A87" s="223" t="s">
        <v>119</v>
      </c>
      <c r="B87" s="224">
        <v>1.4896100470499998</v>
      </c>
      <c r="C87" s="224">
        <v>0.7810391513924998</v>
      </c>
      <c r="D87" s="211">
        <v>-1.5229321466198376E-2</v>
      </c>
      <c r="E87" s="212">
        <v>1.9923173048701726E-2</v>
      </c>
      <c r="F87" s="212">
        <v>-3.7733306483830331E-3</v>
      </c>
      <c r="G87" s="212">
        <v>-4.7855829108133241E-3</v>
      </c>
      <c r="H87" s="213">
        <v>-2.3284435801467329E-2</v>
      </c>
      <c r="J87" s="222"/>
      <c r="K87" s="222"/>
      <c r="L87" s="222"/>
      <c r="M87" s="222"/>
      <c r="N87" s="222"/>
      <c r="O87" s="222"/>
    </row>
    <row r="88" spans="1:15">
      <c r="A88" s="223" t="s">
        <v>120</v>
      </c>
      <c r="B88" s="224">
        <v>1.1727366072179999</v>
      </c>
      <c r="C88" s="224">
        <v>0.33816436952759998</v>
      </c>
      <c r="D88" s="211">
        <v>-1.1581443545223058E-2</v>
      </c>
      <c r="E88" s="212">
        <v>-8.1404966884655039E-3</v>
      </c>
      <c r="F88" s="212">
        <v>-1.0764289211216749E-2</v>
      </c>
      <c r="G88" s="212">
        <v>-1.3443690845398315E-2</v>
      </c>
      <c r="H88" s="213">
        <v>-4.4297449820036583E-2</v>
      </c>
      <c r="J88" s="222"/>
      <c r="K88" s="222"/>
      <c r="L88" s="222"/>
      <c r="M88" s="222"/>
      <c r="N88" s="222"/>
      <c r="O88" s="222"/>
    </row>
    <row r="89" spans="1:15">
      <c r="A89" s="220" t="s">
        <v>121</v>
      </c>
      <c r="B89" s="209">
        <v>3.676710006</v>
      </c>
      <c r="C89" s="209">
        <v>1.3705057918160062</v>
      </c>
      <c r="D89" s="211">
        <v>7.1447590995870058E-3</v>
      </c>
      <c r="E89" s="212">
        <v>-2.3453896803018459E-3</v>
      </c>
      <c r="F89" s="212">
        <v>-1.253652537427774E-2</v>
      </c>
      <c r="G89" s="212">
        <v>-2.2100206370139208E-2</v>
      </c>
      <c r="H89" s="213">
        <v>-4.434034928410191E-2</v>
      </c>
      <c r="J89" s="222"/>
      <c r="K89" s="222"/>
      <c r="L89" s="222"/>
      <c r="M89" s="222"/>
      <c r="N89" s="222"/>
      <c r="O89" s="222"/>
    </row>
    <row r="90" spans="1:15">
      <c r="A90" s="223" t="s">
        <v>122</v>
      </c>
      <c r="B90" s="224">
        <v>0.79941000600000001</v>
      </c>
      <c r="C90" s="224">
        <v>0.32072843222750008</v>
      </c>
      <c r="D90" s="211">
        <v>-7.2993426955259011E-4</v>
      </c>
      <c r="E90" s="212">
        <v>-8.6482980368652873E-3</v>
      </c>
      <c r="F90" s="212">
        <v>-1.066191293344998E-2</v>
      </c>
      <c r="G90" s="212">
        <v>-1.2695579882995522E-2</v>
      </c>
      <c r="H90" s="213">
        <v>-3.6392117229602783E-2</v>
      </c>
      <c r="J90" s="222"/>
      <c r="K90" s="222"/>
      <c r="L90" s="222"/>
      <c r="M90" s="222"/>
      <c r="N90" s="222"/>
      <c r="O90" s="222"/>
    </row>
    <row r="91" spans="1:15">
      <c r="A91" s="220" t="s">
        <v>123</v>
      </c>
      <c r="B91" s="209">
        <v>2.481199999999999</v>
      </c>
      <c r="C91" s="209">
        <v>0.1810329669258543</v>
      </c>
      <c r="D91" s="211">
        <v>-1.8046870165126516E-2</v>
      </c>
      <c r="E91" s="212">
        <v>1.3911603631424629E-3</v>
      </c>
      <c r="F91" s="212">
        <v>-1.0233782875543107E-2</v>
      </c>
      <c r="G91" s="212">
        <v>-2.0071125438323012E-2</v>
      </c>
      <c r="H91" s="213">
        <v>-0.10411143744723672</v>
      </c>
      <c r="J91" s="222"/>
      <c r="K91" s="222"/>
      <c r="L91" s="222"/>
      <c r="M91" s="222"/>
      <c r="N91" s="222"/>
      <c r="O91" s="222"/>
    </row>
    <row r="92" spans="1:15">
      <c r="A92" s="220" t="s">
        <v>124</v>
      </c>
      <c r="B92" s="209">
        <v>4.1560599718479994</v>
      </c>
      <c r="C92" s="209">
        <v>1.2528941119665928</v>
      </c>
      <c r="D92" s="211">
        <v>-1.1904361094133065E-2</v>
      </c>
      <c r="E92" s="212">
        <v>-9.750437620532959E-3</v>
      </c>
      <c r="F92" s="212">
        <v>-1.5922424886672948E-2</v>
      </c>
      <c r="G92" s="212">
        <v>-2.3322376412657886E-2</v>
      </c>
      <c r="H92" s="213">
        <v>-3.7875922442457077E-2</v>
      </c>
      <c r="J92" s="222"/>
      <c r="K92" s="222"/>
      <c r="L92" s="222"/>
      <c r="M92" s="222"/>
      <c r="N92" s="222"/>
      <c r="O92" s="222"/>
    </row>
    <row r="93" spans="1:15">
      <c r="A93" s="223" t="s">
        <v>125</v>
      </c>
      <c r="B93" s="224">
        <v>2.7366599718479998</v>
      </c>
      <c r="C93" s="224">
        <v>1.0332007326072596</v>
      </c>
      <c r="D93" s="211">
        <v>-7.9650007687418478E-3</v>
      </c>
      <c r="E93" s="212">
        <v>-1.0876330321090033E-2</v>
      </c>
      <c r="F93" s="212">
        <v>-1.4700076010013885E-2</v>
      </c>
      <c r="G93" s="212">
        <v>-2.1720723816867182E-2</v>
      </c>
      <c r="H93" s="213">
        <v>-3.0310991049048219E-2</v>
      </c>
      <c r="J93" s="222"/>
      <c r="K93" s="222"/>
      <c r="L93" s="222"/>
      <c r="M93" s="222"/>
      <c r="N93" s="222"/>
      <c r="O93" s="222"/>
    </row>
    <row r="94" spans="1:15">
      <c r="A94" s="181"/>
      <c r="B94" s="182"/>
      <c r="C94" s="182"/>
      <c r="D94" s="211"/>
      <c r="E94" s="212"/>
      <c r="F94" s="212"/>
      <c r="G94" s="212"/>
      <c r="H94" s="213"/>
    </row>
    <row r="95" spans="1:15">
      <c r="A95" s="181"/>
      <c r="B95" s="182"/>
      <c r="C95" s="182"/>
      <c r="D95" s="211"/>
      <c r="E95" s="212"/>
      <c r="F95" s="212"/>
      <c r="G95" s="212"/>
      <c r="H95" s="213"/>
    </row>
    <row r="96" spans="1:15" ht="15.75" thickBot="1">
      <c r="A96" s="190" t="s">
        <v>10</v>
      </c>
      <c r="B96" s="226">
        <v>27.522801347643899</v>
      </c>
      <c r="C96" s="226">
        <v>6.9222303413499384</v>
      </c>
      <c r="D96" s="217">
        <v>-1.5142659964137439E-2</v>
      </c>
      <c r="E96" s="218">
        <v>-5.0007053094305309E-3</v>
      </c>
      <c r="F96" s="218">
        <v>-1.4677176623779986E-2</v>
      </c>
      <c r="G96" s="218">
        <v>-2.17244555742514E-2</v>
      </c>
      <c r="H96" s="219">
        <v>-4.6035863756779483E-2</v>
      </c>
    </row>
    <row r="97" spans="1:8" ht="15.75" thickBot="1">
      <c r="A97" s="195"/>
    </row>
    <row r="98" spans="1:8" ht="15.75" thickBot="1">
      <c r="A98" s="227" t="s">
        <v>126</v>
      </c>
      <c r="B98" s="228">
        <v>16.929601347643899</v>
      </c>
      <c r="C98" s="228">
        <v>4.0989981578223933</v>
      </c>
      <c r="D98" s="229">
        <v>-1.7651074497766484E-2</v>
      </c>
      <c r="E98" s="230">
        <v>-1.0361632943188592E-2</v>
      </c>
      <c r="F98" s="230">
        <v>-1.6863913586100732E-2</v>
      </c>
      <c r="G98" s="230">
        <v>-2.1767463933394238E-2</v>
      </c>
      <c r="H98" s="231">
        <v>-4.4195320257210291E-2</v>
      </c>
    </row>
    <row r="99" spans="1:8">
      <c r="A99" s="232"/>
      <c r="B99" s="233"/>
      <c r="C99" s="233"/>
      <c r="D99" s="212"/>
      <c r="E99" s="212"/>
      <c r="F99" s="212"/>
      <c r="G99" s="212"/>
      <c r="H99" s="212"/>
    </row>
    <row r="101" spans="1:8" ht="16.5" thickBot="1">
      <c r="A101" s="91" t="s">
        <v>130</v>
      </c>
      <c r="B101" s="81"/>
      <c r="C101" s="80"/>
      <c r="D101" s="80"/>
      <c r="E101" s="80"/>
      <c r="F101" s="80"/>
      <c r="G101" s="80"/>
      <c r="H101" s="80"/>
    </row>
    <row r="102" spans="1:8" ht="15.75" thickBot="1">
      <c r="A102" s="177"/>
      <c r="B102" s="178">
        <v>2000</v>
      </c>
      <c r="C102" s="178">
        <v>2050</v>
      </c>
      <c r="D102" s="197" t="s">
        <v>98</v>
      </c>
      <c r="E102" s="198" t="s">
        <v>99</v>
      </c>
      <c r="F102" s="198" t="s">
        <v>100</v>
      </c>
      <c r="G102" s="198" t="s">
        <v>101</v>
      </c>
      <c r="H102" s="199" t="s">
        <v>102</v>
      </c>
    </row>
    <row r="103" spans="1:8" ht="15.75" thickBot="1">
      <c r="A103" s="190" t="s">
        <v>131</v>
      </c>
      <c r="B103" s="237">
        <v>0.14861493671090042</v>
      </c>
      <c r="C103" s="237">
        <v>5.0727758757542533E-2</v>
      </c>
      <c r="D103" s="217">
        <v>-1.9300991535037504E-2</v>
      </c>
      <c r="E103" s="218">
        <v>-1.7233359478206589E-2</v>
      </c>
      <c r="F103" s="218">
        <v>-2.0715069205962333E-2</v>
      </c>
      <c r="G103" s="218">
        <v>-2.5518511561099966E-2</v>
      </c>
      <c r="H103" s="219">
        <v>-2.2821077671392298E-2</v>
      </c>
    </row>
    <row r="104" spans="1:8">
      <c r="A104" s="238"/>
    </row>
    <row r="106" spans="1:8" ht="21">
      <c r="A106" s="78" t="s">
        <v>132</v>
      </c>
      <c r="B106" s="73"/>
      <c r="C106" s="239"/>
      <c r="D106" s="239"/>
      <c r="E106" s="239"/>
      <c r="F106" s="239"/>
      <c r="G106" s="239"/>
      <c r="H106" s="239"/>
    </row>
    <row r="108" spans="1:8" ht="16.5" thickBot="1">
      <c r="A108" s="91" t="s">
        <v>133</v>
      </c>
      <c r="B108" s="81"/>
      <c r="C108" s="80"/>
      <c r="D108" s="80"/>
      <c r="E108" s="80"/>
      <c r="F108" s="80"/>
      <c r="G108" s="80"/>
      <c r="H108" s="80"/>
    </row>
    <row r="109" spans="1:8" ht="15.75" thickBot="1">
      <c r="A109" s="177" t="s">
        <v>51</v>
      </c>
      <c r="B109" s="178">
        <v>2000</v>
      </c>
      <c r="C109" s="178">
        <v>2050</v>
      </c>
      <c r="D109" s="197" t="s">
        <v>98</v>
      </c>
      <c r="E109" s="198" t="s">
        <v>99</v>
      </c>
      <c r="F109" s="198" t="s">
        <v>100</v>
      </c>
      <c r="G109" s="198" t="s">
        <v>101</v>
      </c>
      <c r="H109" s="199" t="s">
        <v>102</v>
      </c>
    </row>
    <row r="110" spans="1:8">
      <c r="A110" s="181" t="s">
        <v>103</v>
      </c>
      <c r="B110" s="182">
        <v>9.0758812906337827</v>
      </c>
      <c r="C110" s="182">
        <v>0.16876038587276018</v>
      </c>
      <c r="D110" s="203">
        <v>-2.0025322165468706E-2</v>
      </c>
      <c r="E110" s="204">
        <v>-3.2227817829655558E-2</v>
      </c>
      <c r="F110" s="204">
        <v>-7.0138912602095926E-2</v>
      </c>
      <c r="G110" s="204">
        <v>-0.15013826160384491</v>
      </c>
      <c r="H110" s="205">
        <v>-0.11044445054685692</v>
      </c>
    </row>
    <row r="111" spans="1:8">
      <c r="A111" s="181" t="s">
        <v>54</v>
      </c>
      <c r="B111" s="182">
        <v>15.00569239050041</v>
      </c>
      <c r="C111" s="182">
        <v>3.2906931433531605</v>
      </c>
      <c r="D111" s="211">
        <v>-2.1281407827751231E-3</v>
      </c>
      <c r="E111" s="212">
        <v>-1.2914478704932786E-2</v>
      </c>
      <c r="F111" s="212">
        <v>-2.6139052164786847E-2</v>
      </c>
      <c r="G111" s="212">
        <v>-2.6310250168805283E-2</v>
      </c>
      <c r="H111" s="213">
        <v>-5.6096920086786795E-2</v>
      </c>
    </row>
    <row r="112" spans="1:8">
      <c r="A112" s="181" t="s">
        <v>42</v>
      </c>
      <c r="B112" s="182">
        <v>5.9999999999999984E-2</v>
      </c>
      <c r="C112" s="182">
        <v>0</v>
      </c>
      <c r="D112" s="211">
        <v>-1</v>
      </c>
      <c r="E112" s="212" t="e">
        <v>#DIV/0!</v>
      </c>
      <c r="F112" s="212" t="e">
        <v>#DIV/0!</v>
      </c>
      <c r="G112" s="212" t="e">
        <v>#DIV/0!</v>
      </c>
      <c r="H112" s="213" t="e">
        <v>#DIV/0!</v>
      </c>
    </row>
    <row r="113" spans="1:8">
      <c r="A113" s="181" t="s">
        <v>104</v>
      </c>
      <c r="B113" s="182">
        <v>10.566459797679247</v>
      </c>
      <c r="C113" s="182">
        <v>11.33310109741109</v>
      </c>
      <c r="D113" s="211">
        <v>1.8318675562970954E-2</v>
      </c>
      <c r="E113" s="212">
        <v>-9.1301644621099021E-3</v>
      </c>
      <c r="F113" s="212">
        <v>-7.2345335063984662E-3</v>
      </c>
      <c r="G113" s="212">
        <v>-1.0756075286291966E-2</v>
      </c>
      <c r="H113" s="213">
        <v>-3.2952772158820753E-3</v>
      </c>
    </row>
    <row r="114" spans="1:8">
      <c r="A114" s="181" t="s">
        <v>105</v>
      </c>
      <c r="B114" s="182">
        <v>1.7520381736811979</v>
      </c>
      <c r="C114" s="182">
        <v>2.1939463906381054</v>
      </c>
      <c r="D114" s="211">
        <v>-1.8434293198953178E-2</v>
      </c>
      <c r="E114" s="212">
        <v>1.069332772347642E-2</v>
      </c>
      <c r="F114" s="212">
        <v>5.8278074544066305E-2</v>
      </c>
      <c r="G114" s="212">
        <v>3.9135763206619822E-2</v>
      </c>
      <c r="H114" s="213">
        <v>-1.2156761197724686E-3</v>
      </c>
    </row>
    <row r="115" spans="1:8">
      <c r="A115" s="181" t="s">
        <v>134</v>
      </c>
      <c r="B115" s="182">
        <v>6.296013916158028</v>
      </c>
      <c r="C115" s="182">
        <v>2.9485640726408189</v>
      </c>
      <c r="D115" s="211">
        <v>-2.6273586664713022E-2</v>
      </c>
      <c r="E115" s="212">
        <v>1.4107082876768207E-2</v>
      </c>
      <c r="F115" s="212">
        <v>8.8631964133378816E-3</v>
      </c>
      <c r="G115" s="212">
        <v>2.0469393296532301E-2</v>
      </c>
      <c r="H115" s="213">
        <v>-2.8326157420179299E-2</v>
      </c>
    </row>
    <row r="116" spans="1:8">
      <c r="A116" s="181" t="s">
        <v>135</v>
      </c>
      <c r="B116" s="182">
        <v>2.0606803808999999E-2</v>
      </c>
      <c r="C116" s="182">
        <v>0.36846530198985222</v>
      </c>
      <c r="D116" s="211"/>
      <c r="E116" s="212"/>
      <c r="F116" s="212"/>
      <c r="G116" s="212"/>
      <c r="H116" s="213"/>
    </row>
    <row r="117" spans="1:8">
      <c r="A117" s="181" t="s">
        <v>136</v>
      </c>
      <c r="B117" s="182">
        <v>0</v>
      </c>
      <c r="C117" s="182">
        <v>3.3607236291928517</v>
      </c>
      <c r="D117" s="211"/>
      <c r="E117" s="212"/>
      <c r="F117" s="212"/>
      <c r="G117" s="212"/>
      <c r="H117" s="213"/>
    </row>
    <row r="118" spans="1:8">
      <c r="A118" s="181"/>
      <c r="B118" s="182"/>
      <c r="C118" s="240"/>
      <c r="D118" s="211"/>
      <c r="E118" s="212"/>
      <c r="F118" s="212"/>
      <c r="G118" s="212"/>
      <c r="H118" s="213"/>
    </row>
    <row r="119" spans="1:8" ht="15.75" thickBot="1">
      <c r="A119" s="241" t="s">
        <v>10</v>
      </c>
      <c r="B119" s="242">
        <v>42.776692372461667</v>
      </c>
      <c r="C119" s="242">
        <v>23.664254021098639</v>
      </c>
      <c r="D119" s="217">
        <v>-2.7444237679368211E-3</v>
      </c>
      <c r="E119" s="218">
        <v>-9.437605874686672E-3</v>
      </c>
      <c r="F119" s="218">
        <v>-1.4728075072347302E-2</v>
      </c>
      <c r="G119" s="218">
        <v>-1.6710065541940655E-2</v>
      </c>
      <c r="H119" s="219">
        <v>-1.7099532918173233E-2</v>
      </c>
    </row>
    <row r="120" spans="1:8">
      <c r="A120" s="195"/>
      <c r="B120" s="171"/>
    </row>
    <row r="121" spans="1:8">
      <c r="B121" s="171"/>
    </row>
    <row r="122" spans="1:8" ht="16.5" thickBot="1">
      <c r="A122" s="91" t="s">
        <v>137</v>
      </c>
      <c r="B122" s="80"/>
      <c r="C122" s="80"/>
      <c r="D122" s="80"/>
      <c r="E122" s="80"/>
      <c r="F122" s="80"/>
      <c r="G122" s="80"/>
      <c r="H122" s="80"/>
    </row>
    <row r="123" spans="1:8" ht="15.75" thickBot="1">
      <c r="A123" s="177" t="s">
        <v>51</v>
      </c>
      <c r="B123" s="178">
        <v>2000</v>
      </c>
      <c r="C123" s="178">
        <v>2050</v>
      </c>
      <c r="D123" s="197" t="s">
        <v>98</v>
      </c>
      <c r="E123" s="198" t="s">
        <v>99</v>
      </c>
      <c r="F123" s="198" t="s">
        <v>100</v>
      </c>
      <c r="G123" s="198" t="s">
        <v>101</v>
      </c>
      <c r="H123" s="199" t="s">
        <v>102</v>
      </c>
    </row>
    <row r="124" spans="1:8">
      <c r="A124" s="181" t="s">
        <v>138</v>
      </c>
      <c r="B124" s="182">
        <v>30.921999999999997</v>
      </c>
      <c r="C124" s="182">
        <v>13.334897826045292</v>
      </c>
      <c r="D124" s="203">
        <v>-7.4234907039650855E-3</v>
      </c>
      <c r="E124" s="204">
        <v>-8.746665373995377E-3</v>
      </c>
      <c r="F124" s="204">
        <v>-1.4847545609201207E-2</v>
      </c>
      <c r="G124" s="204">
        <v>-1.7334985513456469E-2</v>
      </c>
      <c r="H124" s="205">
        <v>-2.5818873523801744E-2</v>
      </c>
    </row>
    <row r="125" spans="1:8">
      <c r="A125" s="181" t="s">
        <v>139</v>
      </c>
      <c r="B125" s="182">
        <v>4.4291695783465306</v>
      </c>
      <c r="C125" s="182">
        <v>3.0877315221168047</v>
      </c>
      <c r="D125" s="211">
        <v>6.7392976798696935E-4</v>
      </c>
      <c r="E125" s="212">
        <v>-1.5747655193639298E-2</v>
      </c>
      <c r="F125" s="212">
        <v>-2.4532493162332081E-2</v>
      </c>
      <c r="G125" s="212">
        <v>-2.4200157746800732E-2</v>
      </c>
      <c r="H125" s="213">
        <v>-2.239240351833538E-3</v>
      </c>
    </row>
    <row r="126" spans="1:8">
      <c r="A126" s="181" t="s">
        <v>140</v>
      </c>
      <c r="B126" s="182">
        <v>2.4602635678511495</v>
      </c>
      <c r="C126" s="182">
        <v>2.4418703020455128</v>
      </c>
      <c r="D126" s="211">
        <v>5.899994469378278E-3</v>
      </c>
      <c r="E126" s="212">
        <v>-1.349732281475946E-4</v>
      </c>
      <c r="F126" s="212">
        <v>-1.5679524467334671E-3</v>
      </c>
      <c r="G126" s="212">
        <v>-2.4605953999589092E-3</v>
      </c>
      <c r="H126" s="213">
        <v>-3.7382514184234328E-3</v>
      </c>
    </row>
    <row r="127" spans="1:8">
      <c r="A127" s="181" t="s">
        <v>141</v>
      </c>
      <c r="B127" s="182">
        <v>0.96691652368930292</v>
      </c>
      <c r="C127" s="182">
        <v>0.24563663908069516</v>
      </c>
      <c r="D127" s="211">
        <v>-2.1167259936537342E-2</v>
      </c>
      <c r="E127" s="212">
        <v>-3.4973068433000298E-2</v>
      </c>
      <c r="F127" s="212">
        <v>-4.6854090106972612E-2</v>
      </c>
      <c r="G127" s="212">
        <v>-6.6919895354197623E-2</v>
      </c>
      <c r="H127" s="213">
        <v>-1.4153259431963772E-2</v>
      </c>
    </row>
    <row r="128" spans="1:8">
      <c r="A128" s="181" t="s">
        <v>142</v>
      </c>
      <c r="B128" s="182">
        <v>3.9867830846792645</v>
      </c>
      <c r="C128" s="243">
        <v>4.2973325560961708</v>
      </c>
      <c r="D128" s="211">
        <v>2.1497285887240869E-2</v>
      </c>
      <c r="E128" s="212">
        <v>-9.9528337628007613E-3</v>
      </c>
      <c r="F128" s="212">
        <v>-1.1626120162068321E-2</v>
      </c>
      <c r="G128" s="212">
        <v>-1.3199165099354926E-2</v>
      </c>
      <c r="H128" s="213">
        <v>-3.4496596328031925E-3</v>
      </c>
    </row>
    <row r="129" spans="1:8">
      <c r="A129" s="181" t="s">
        <v>143</v>
      </c>
      <c r="B129" s="182">
        <v>1.15596178954212E-2</v>
      </c>
      <c r="C129" s="182">
        <v>0.2567851757141662</v>
      </c>
      <c r="D129" s="211"/>
      <c r="E129" s="212"/>
      <c r="F129" s="212"/>
      <c r="G129" s="212"/>
      <c r="H129" s="213"/>
    </row>
    <row r="130" spans="1:8">
      <c r="A130" s="181"/>
      <c r="B130" s="182"/>
      <c r="C130" s="182"/>
      <c r="D130" s="211"/>
      <c r="E130" s="212"/>
      <c r="F130" s="212"/>
      <c r="G130" s="212"/>
      <c r="H130" s="213"/>
    </row>
    <row r="131" spans="1:8" ht="15.75" thickBot="1">
      <c r="A131" s="241" t="s">
        <v>10</v>
      </c>
      <c r="B131" s="242">
        <v>42.776692372461667</v>
      </c>
      <c r="C131" s="242">
        <v>23.664254021098639</v>
      </c>
      <c r="D131" s="217">
        <v>-2.7444237679368211E-3</v>
      </c>
      <c r="E131" s="218">
        <v>-9.437605874686672E-3</v>
      </c>
      <c r="F131" s="218">
        <v>-1.4728075072347302E-2</v>
      </c>
      <c r="G131" s="218">
        <v>-1.6710065541940655E-2</v>
      </c>
      <c r="H131" s="219">
        <v>-1.7099532918173233E-2</v>
      </c>
    </row>
    <row r="132" spans="1:8">
      <c r="A132" s="195"/>
      <c r="B132" s="171"/>
    </row>
    <row r="133" spans="1:8">
      <c r="B133" s="171"/>
    </row>
    <row r="134" spans="1:8" ht="16.5" thickBot="1">
      <c r="A134" s="91" t="s">
        <v>144</v>
      </c>
      <c r="B134" s="80"/>
      <c r="C134" s="80"/>
      <c r="D134" s="80"/>
      <c r="E134" s="80"/>
      <c r="F134" s="80"/>
      <c r="G134" s="80"/>
      <c r="H134" s="80"/>
    </row>
    <row r="135" spans="1:8" ht="15.75" thickBot="1">
      <c r="A135" s="177" t="s">
        <v>51</v>
      </c>
      <c r="B135" s="178">
        <v>2000</v>
      </c>
      <c r="C135" s="178">
        <v>2050</v>
      </c>
      <c r="D135" s="197" t="s">
        <v>98</v>
      </c>
      <c r="E135" s="198" t="s">
        <v>99</v>
      </c>
      <c r="F135" s="198" t="s">
        <v>100</v>
      </c>
      <c r="G135" s="198" t="s">
        <v>101</v>
      </c>
      <c r="H135" s="199" t="s">
        <v>102</v>
      </c>
    </row>
    <row r="136" spans="1:8">
      <c r="A136" s="181" t="s">
        <v>103</v>
      </c>
      <c r="B136" s="182">
        <v>9.0758812906337827</v>
      </c>
      <c r="C136" s="182">
        <v>0.16876038587276018</v>
      </c>
      <c r="D136" s="203">
        <v>-2.0025322165468706E-2</v>
      </c>
      <c r="E136" s="204">
        <v>-3.2227817829655558E-2</v>
      </c>
      <c r="F136" s="204">
        <v>-7.0138912602095926E-2</v>
      </c>
      <c r="G136" s="204">
        <v>-0.15013826160384491</v>
      </c>
      <c r="H136" s="205">
        <v>-0.11044445054685692</v>
      </c>
    </row>
    <row r="137" spans="1:8">
      <c r="A137" s="181" t="s">
        <v>54</v>
      </c>
      <c r="B137" s="182">
        <v>15.00569239050041</v>
      </c>
      <c r="C137" s="182">
        <v>3.2906931433531605</v>
      </c>
      <c r="D137" s="211">
        <v>-2.1281407827751231E-3</v>
      </c>
      <c r="E137" s="212">
        <v>-1.2914478704932786E-2</v>
      </c>
      <c r="F137" s="212">
        <v>-2.6139052164786847E-2</v>
      </c>
      <c r="G137" s="212">
        <v>-2.6310250168805283E-2</v>
      </c>
      <c r="H137" s="213">
        <v>-5.6096920086786795E-2</v>
      </c>
    </row>
    <row r="138" spans="1:8">
      <c r="A138" s="181" t="s">
        <v>42</v>
      </c>
      <c r="B138" s="182">
        <v>5.9999999999999984E-2</v>
      </c>
      <c r="C138" s="182">
        <v>0</v>
      </c>
      <c r="D138" s="211">
        <v>-1</v>
      </c>
      <c r="E138" s="212" t="e">
        <v>#DIV/0!</v>
      </c>
      <c r="F138" s="212" t="e">
        <v>#DIV/0!</v>
      </c>
      <c r="G138" s="212" t="e">
        <v>#DIV/0!</v>
      </c>
      <c r="H138" s="213" t="e">
        <v>#DIV/0!</v>
      </c>
    </row>
    <row r="139" spans="1:8">
      <c r="A139" s="181" t="s">
        <v>104</v>
      </c>
      <c r="B139" s="182">
        <v>5.6012005714152586</v>
      </c>
      <c r="C139" s="182">
        <v>6.5333467265200591</v>
      </c>
      <c r="D139" s="211">
        <v>2.0889974020766644E-2</v>
      </c>
      <c r="E139" s="212">
        <v>-6.7035005843146811E-3</v>
      </c>
      <c r="F139" s="212">
        <v>-2.2857963979989737E-3</v>
      </c>
      <c r="G139" s="212">
        <v>-6.797871084570084E-3</v>
      </c>
      <c r="H139" s="213">
        <v>-3.8428656227995628E-3</v>
      </c>
    </row>
    <row r="140" spans="1:8">
      <c r="A140" s="181" t="s">
        <v>105</v>
      </c>
      <c r="B140" s="182">
        <v>1.7520381736811979</v>
      </c>
      <c r="C140" s="182">
        <v>2.1939463906381054</v>
      </c>
      <c r="D140" s="211">
        <v>-1.8434293198953178E-2</v>
      </c>
      <c r="E140" s="212">
        <v>1.069332772347642E-2</v>
      </c>
      <c r="F140" s="212">
        <v>5.8278074544066305E-2</v>
      </c>
      <c r="G140" s="212">
        <v>3.9135763206619822E-2</v>
      </c>
      <c r="H140" s="213">
        <v>-1.2156761197724686E-3</v>
      </c>
    </row>
    <row r="141" spans="1:8">
      <c r="A141" s="181" t="s">
        <v>134</v>
      </c>
      <c r="B141" s="182">
        <v>6.296013916158028</v>
      </c>
      <c r="C141" s="182">
        <v>2.9485640726408189</v>
      </c>
      <c r="D141" s="211">
        <v>-2.6273586664713022E-2</v>
      </c>
      <c r="E141" s="212">
        <v>1.4107082876768207E-2</v>
      </c>
      <c r="F141" s="212">
        <v>8.8631964133378816E-3</v>
      </c>
      <c r="G141" s="212">
        <v>2.0469393296532301E-2</v>
      </c>
      <c r="H141" s="213">
        <v>-2.8326157420179299E-2</v>
      </c>
    </row>
    <row r="142" spans="1:8">
      <c r="A142" s="181" t="s">
        <v>135</v>
      </c>
      <c r="B142" s="182">
        <v>2.0606803808999999E-2</v>
      </c>
      <c r="C142" s="182">
        <v>0.36846530198985222</v>
      </c>
      <c r="D142" s="211"/>
      <c r="E142" s="212"/>
      <c r="F142" s="212"/>
      <c r="G142" s="212"/>
      <c r="H142" s="213"/>
    </row>
    <row r="143" spans="1:8">
      <c r="A143" s="181" t="s">
        <v>136</v>
      </c>
      <c r="B143" s="182">
        <v>0</v>
      </c>
      <c r="C143" s="182">
        <v>3.3607236291928517</v>
      </c>
      <c r="D143" s="211"/>
      <c r="E143" s="212"/>
      <c r="F143" s="212"/>
      <c r="G143" s="212"/>
      <c r="H143" s="213"/>
    </row>
    <row r="144" spans="1:8">
      <c r="A144" s="181"/>
      <c r="B144" s="182"/>
      <c r="C144" s="244"/>
      <c r="D144" s="211"/>
      <c r="E144" s="212"/>
      <c r="F144" s="212"/>
      <c r="G144" s="212"/>
      <c r="H144" s="213"/>
    </row>
    <row r="145" spans="1:14" ht="15.75" thickBot="1">
      <c r="A145" s="241" t="s">
        <v>10</v>
      </c>
      <c r="B145" s="242">
        <v>37.811433146197679</v>
      </c>
      <c r="C145" s="242">
        <v>18.864499650207609</v>
      </c>
      <c r="D145" s="217">
        <v>-5.4920684513537488E-3</v>
      </c>
      <c r="E145" s="218">
        <v>-8.9575079206613006E-3</v>
      </c>
      <c r="F145" s="218">
        <v>-1.492600821646517E-2</v>
      </c>
      <c r="G145" s="218">
        <v>-1.6812763244704709E-2</v>
      </c>
      <c r="H145" s="219">
        <v>-2.0181626445999301E-2</v>
      </c>
    </row>
    <row r="146" spans="1:14">
      <c r="B146" s="245"/>
      <c r="C146" s="245"/>
    </row>
    <row r="147" spans="1:14">
      <c r="B147" s="171"/>
    </row>
    <row r="148" spans="1:14" ht="16.5" thickBot="1">
      <c r="A148" s="91" t="s">
        <v>145</v>
      </c>
      <c r="B148" s="80"/>
      <c r="C148" s="80"/>
      <c r="D148" s="80"/>
      <c r="E148" s="80"/>
      <c r="F148" s="80"/>
      <c r="G148" s="80"/>
      <c r="H148" s="80"/>
    </row>
    <row r="149" spans="1:14" ht="15.75" thickBot="1">
      <c r="A149" s="177" t="s">
        <v>51</v>
      </c>
      <c r="B149" s="178">
        <v>2000</v>
      </c>
      <c r="C149" s="178">
        <v>2050</v>
      </c>
      <c r="D149" s="197" t="s">
        <v>98</v>
      </c>
      <c r="E149" s="198" t="s">
        <v>99</v>
      </c>
      <c r="F149" s="198" t="s">
        <v>100</v>
      </c>
      <c r="G149" s="198" t="s">
        <v>101</v>
      </c>
      <c r="H149" s="199" t="s">
        <v>102</v>
      </c>
    </row>
    <row r="150" spans="1:14">
      <c r="A150" s="181" t="s">
        <v>103</v>
      </c>
      <c r="B150" s="209">
        <v>7.419999999999999</v>
      </c>
      <c r="C150" s="209">
        <v>2.6442678991241385E-2</v>
      </c>
      <c r="D150" s="203">
        <v>-1.6427255683063358E-2</v>
      </c>
      <c r="E150" s="204">
        <v>-3.1228926371364762E-2</v>
      </c>
      <c r="F150" s="204">
        <v>-6.4381783838255324E-2</v>
      </c>
      <c r="G150" s="204">
        <v>-0.1606893947818594</v>
      </c>
      <c r="H150" s="205">
        <v>-0.18213885227406568</v>
      </c>
      <c r="J150" s="186"/>
      <c r="K150" s="186"/>
      <c r="L150" s="186"/>
      <c r="M150" s="186"/>
      <c r="N150" s="186"/>
    </row>
    <row r="151" spans="1:14">
      <c r="A151" s="181" t="s">
        <v>54</v>
      </c>
      <c r="B151" s="209">
        <v>12.597999999999999</v>
      </c>
      <c r="C151" s="209">
        <v>2.6025353532341691</v>
      </c>
      <c r="D151" s="211">
        <v>-3.4896702378731659E-3</v>
      </c>
      <c r="E151" s="212">
        <v>-1.0807408382239592E-2</v>
      </c>
      <c r="F151" s="212">
        <v>-2.2961238068195833E-2</v>
      </c>
      <c r="G151" s="212">
        <v>-2.5698014261145707E-2</v>
      </c>
      <c r="H151" s="213">
        <v>-5.9363474109113468E-2</v>
      </c>
      <c r="J151" s="186"/>
      <c r="K151" s="186"/>
      <c r="L151" s="186"/>
      <c r="M151" s="186"/>
      <c r="N151" s="186"/>
    </row>
    <row r="152" spans="1:14">
      <c r="A152" s="181" t="s">
        <v>42</v>
      </c>
      <c r="B152" s="209">
        <v>5.9999999999999984E-2</v>
      </c>
      <c r="C152" s="209">
        <v>0</v>
      </c>
      <c r="D152" s="211">
        <v>-1</v>
      </c>
      <c r="E152" s="212" t="e">
        <v>#DIV/0!</v>
      </c>
      <c r="F152" s="212" t="e">
        <v>#DIV/0!</v>
      </c>
      <c r="G152" s="212" t="e">
        <v>#DIV/0!</v>
      </c>
      <c r="H152" s="213" t="e">
        <v>#DIV/0!</v>
      </c>
      <c r="J152" s="186"/>
      <c r="K152" s="186"/>
      <c r="L152" s="186"/>
      <c r="M152" s="186"/>
      <c r="N152" s="186"/>
    </row>
    <row r="153" spans="1:14">
      <c r="A153" s="181" t="s">
        <v>104</v>
      </c>
      <c r="B153" s="209">
        <v>3.2039999999999997</v>
      </c>
      <c r="C153" s="209">
        <v>3.7768270518388043</v>
      </c>
      <c r="D153" s="211">
        <v>2.0597497716569713E-2</v>
      </c>
      <c r="E153" s="212">
        <v>-1.169912325353617E-2</v>
      </c>
      <c r="F153" s="212">
        <v>-7.0534850499125445E-3</v>
      </c>
      <c r="G153" s="212">
        <v>4.1632079944096123E-3</v>
      </c>
      <c r="H153" s="213">
        <v>-3.3882119483982232E-3</v>
      </c>
      <c r="J153" s="186"/>
      <c r="K153" s="186"/>
      <c r="L153" s="186"/>
      <c r="M153" s="186"/>
      <c r="N153" s="186"/>
    </row>
    <row r="154" spans="1:14">
      <c r="A154" s="181" t="s">
        <v>105</v>
      </c>
      <c r="B154" s="209">
        <v>1.4529999999999996</v>
      </c>
      <c r="C154" s="209">
        <v>1.8616546833395884</v>
      </c>
      <c r="D154" s="211">
        <v>-1.5224144092485292E-2</v>
      </c>
      <c r="E154" s="212">
        <v>1.0977516911398588E-2</v>
      </c>
      <c r="F154" s="212">
        <v>5.9014248243384193E-2</v>
      </c>
      <c r="G154" s="212">
        <v>3.9623869915116794E-2</v>
      </c>
      <c r="H154" s="213">
        <v>-2.8769731902446027E-3</v>
      </c>
      <c r="J154" s="186"/>
      <c r="K154" s="186"/>
      <c r="L154" s="186"/>
      <c r="M154" s="186"/>
      <c r="N154" s="186"/>
    </row>
    <row r="155" spans="1:14">
      <c r="A155" s="181" t="s">
        <v>134</v>
      </c>
      <c r="B155" s="209">
        <v>6.1869999999999994</v>
      </c>
      <c r="C155" s="209">
        <v>2.7894652745050434</v>
      </c>
      <c r="D155" s="211">
        <v>-2.5643991614806461E-2</v>
      </c>
      <c r="E155" s="212">
        <v>1.3807971430595201E-2</v>
      </c>
      <c r="F155" s="212">
        <v>9.0625693320669498E-3</v>
      </c>
      <c r="G155" s="212">
        <v>1.9262881255199593E-2</v>
      </c>
      <c r="H155" s="213">
        <v>-3.0330378926955448E-2</v>
      </c>
      <c r="J155" s="186"/>
      <c r="K155" s="186"/>
      <c r="L155" s="186"/>
      <c r="M155" s="186"/>
      <c r="N155" s="186"/>
    </row>
    <row r="156" spans="1:14">
      <c r="A156" s="181" t="s">
        <v>136</v>
      </c>
      <c r="B156" s="209">
        <v>0</v>
      </c>
      <c r="C156" s="209">
        <v>2.2779727841364443</v>
      </c>
      <c r="D156" s="211"/>
      <c r="E156" s="212"/>
      <c r="F156" s="212"/>
      <c r="G156" s="212"/>
      <c r="H156" s="213"/>
      <c r="J156" s="186"/>
      <c r="K156" s="186"/>
      <c r="L156" s="186"/>
      <c r="M156" s="186"/>
      <c r="N156" s="186"/>
    </row>
    <row r="157" spans="1:14">
      <c r="A157" s="181"/>
      <c r="B157" s="182"/>
      <c r="C157" s="244"/>
      <c r="D157" s="211"/>
      <c r="E157" s="212"/>
      <c r="F157" s="212"/>
      <c r="G157" s="212"/>
      <c r="H157" s="213"/>
      <c r="J157" s="186"/>
      <c r="K157" s="186"/>
      <c r="L157" s="186"/>
      <c r="M157" s="186"/>
      <c r="N157" s="186"/>
    </row>
    <row r="158" spans="1:14" ht="15.75" thickBot="1">
      <c r="A158" s="241" t="s">
        <v>10</v>
      </c>
      <c r="B158" s="242">
        <v>30.921999999999997</v>
      </c>
      <c r="C158" s="242">
        <v>13.334897826045292</v>
      </c>
      <c r="D158" s="217">
        <v>-7.4234907039650855E-3</v>
      </c>
      <c r="E158" s="218">
        <v>-8.746665373995377E-3</v>
      </c>
      <c r="F158" s="218">
        <v>-1.4847545609201207E-2</v>
      </c>
      <c r="G158" s="218">
        <v>-1.7334985513456469E-2</v>
      </c>
      <c r="H158" s="219">
        <v>-2.5818873523801744E-2</v>
      </c>
      <c r="J158" s="186"/>
      <c r="K158" s="186"/>
      <c r="L158" s="186"/>
      <c r="M158" s="186"/>
      <c r="N158" s="186"/>
    </row>
    <row r="159" spans="1:14">
      <c r="A159" s="195"/>
      <c r="B159" s="171"/>
    </row>
    <row r="160" spans="1:14">
      <c r="A160" s="195"/>
      <c r="B160" s="171"/>
    </row>
    <row r="161" spans="1:13" ht="16.5" thickBot="1">
      <c r="A161" s="91" t="s">
        <v>146</v>
      </c>
      <c r="B161" s="80"/>
      <c r="C161" s="80"/>
      <c r="D161" s="80"/>
      <c r="E161" s="80"/>
      <c r="F161" s="80"/>
      <c r="G161" s="80"/>
      <c r="H161" s="80"/>
    </row>
    <row r="162" spans="1:13" ht="15.75" thickBot="1">
      <c r="A162" s="246" t="s">
        <v>51</v>
      </c>
      <c r="B162" s="178">
        <v>2000</v>
      </c>
      <c r="C162" s="178">
        <v>2050</v>
      </c>
      <c r="D162" s="197" t="s">
        <v>98</v>
      </c>
      <c r="E162" s="198" t="s">
        <v>99</v>
      </c>
      <c r="F162" s="198" t="s">
        <v>100</v>
      </c>
      <c r="G162" s="198" t="s">
        <v>101</v>
      </c>
      <c r="H162" s="199" t="s">
        <v>102</v>
      </c>
    </row>
    <row r="163" spans="1:13">
      <c r="A163" s="181" t="s">
        <v>103</v>
      </c>
      <c r="B163" s="209">
        <v>0.97712473473756067</v>
      </c>
      <c r="C163" s="209">
        <v>0</v>
      </c>
      <c r="D163" s="203">
        <v>-7.6726937555410157E-2</v>
      </c>
      <c r="E163" s="204">
        <v>-9.149976885014921E-2</v>
      </c>
      <c r="F163" s="204">
        <v>-1</v>
      </c>
      <c r="G163" s="204" t="e">
        <v>#DIV/0!</v>
      </c>
      <c r="H163" s="205" t="e">
        <v>#DIV/0!</v>
      </c>
      <c r="J163" s="186"/>
      <c r="K163" s="186"/>
      <c r="L163" s="186"/>
      <c r="M163" s="186"/>
    </row>
    <row r="164" spans="1:13">
      <c r="A164" s="181" t="s">
        <v>54</v>
      </c>
      <c r="B164" s="209">
        <v>1.4521853785454846</v>
      </c>
      <c r="C164" s="209">
        <v>0.3061471032264938</v>
      </c>
      <c r="D164" s="211">
        <v>7.8195177509521319E-3</v>
      </c>
      <c r="E164" s="212">
        <v>-2.2220963498156499E-2</v>
      </c>
      <c r="F164" s="212">
        <v>-3.7220124014459954E-2</v>
      </c>
      <c r="G164" s="212">
        <v>-3.0859171722235068E-2</v>
      </c>
      <c r="H164" s="213">
        <v>-5.8934879326727141E-2</v>
      </c>
      <c r="J164" s="186"/>
      <c r="K164" s="186"/>
      <c r="L164" s="186"/>
      <c r="M164" s="186"/>
    </row>
    <row r="165" spans="1:13">
      <c r="A165" s="181" t="s">
        <v>42</v>
      </c>
      <c r="B165" s="209">
        <v>0</v>
      </c>
      <c r="C165" s="209">
        <v>0</v>
      </c>
      <c r="D165" s="211" t="e">
        <v>#DIV/0!</v>
      </c>
      <c r="E165" s="212" t="e">
        <v>#DIV/0!</v>
      </c>
      <c r="F165" s="212" t="e">
        <v>#DIV/0!</v>
      </c>
      <c r="G165" s="212" t="e">
        <v>#DIV/0!</v>
      </c>
      <c r="H165" s="213" t="e">
        <v>#DIV/0!</v>
      </c>
      <c r="J165" s="186"/>
      <c r="K165" s="186"/>
      <c r="L165" s="186"/>
      <c r="M165" s="186"/>
    </row>
    <row r="166" spans="1:13">
      <c r="A166" s="181" t="s">
        <v>104</v>
      </c>
      <c r="B166" s="209">
        <v>1.571200571415259</v>
      </c>
      <c r="C166" s="209">
        <v>0.83897776640975896</v>
      </c>
      <c r="D166" s="211">
        <v>2.1613189758759255E-2</v>
      </c>
      <c r="E166" s="212">
        <v>-1.5432635694312302E-2</v>
      </c>
      <c r="F166" s="212">
        <v>-2.8502993520950093E-2</v>
      </c>
      <c r="G166" s="212">
        <v>-6.7904241465863602E-2</v>
      </c>
      <c r="H166" s="213">
        <v>-1.853636227569555E-2</v>
      </c>
      <c r="J166" s="186"/>
      <c r="K166" s="186"/>
      <c r="L166" s="186"/>
      <c r="M166" s="186"/>
    </row>
    <row r="167" spans="1:13">
      <c r="A167" s="181" t="s">
        <v>105</v>
      </c>
      <c r="B167" s="209">
        <v>0.29903817368119823</v>
      </c>
      <c r="C167" s="209">
        <v>0.33229170729851704</v>
      </c>
      <c r="D167" s="211">
        <v>-3.6559724951000128E-2</v>
      </c>
      <c r="E167" s="212">
        <v>8.7669777437231478E-3</v>
      </c>
      <c r="F167" s="212">
        <v>5.3199593822560898E-2</v>
      </c>
      <c r="G167" s="212">
        <v>3.5686369670621776E-2</v>
      </c>
      <c r="H167" s="213">
        <v>9.342581567002517E-3</v>
      </c>
      <c r="J167" s="186"/>
      <c r="K167" s="186"/>
      <c r="L167" s="186"/>
      <c r="M167" s="186"/>
    </row>
    <row r="168" spans="1:13">
      <c r="A168" s="181" t="s">
        <v>134</v>
      </c>
      <c r="B168" s="209">
        <v>0.10901391615802879</v>
      </c>
      <c r="C168" s="209">
        <v>0.15909879813577535</v>
      </c>
      <c r="D168" s="211"/>
      <c r="E168" s="212"/>
      <c r="F168" s="212"/>
      <c r="G168" s="212"/>
      <c r="H168" s="213"/>
      <c r="J168" s="186"/>
      <c r="K168" s="186"/>
      <c r="L168" s="186"/>
      <c r="M168" s="186"/>
    </row>
    <row r="169" spans="1:13">
      <c r="A169" s="181" t="s">
        <v>135</v>
      </c>
      <c r="B169" s="209">
        <v>2.0606803808999999E-2</v>
      </c>
      <c r="C169" s="209">
        <v>0.36846530198985222</v>
      </c>
      <c r="D169" s="211">
        <v>0.10386437812593452</v>
      </c>
      <c r="E169" s="212">
        <v>7.8896283493349095E-2</v>
      </c>
      <c r="F169" s="212">
        <v>5.4595526256296045E-2</v>
      </c>
      <c r="G169" s="212">
        <v>3.9620586738793317E-2</v>
      </c>
      <c r="H169" s="213">
        <v>2.8483635181664413E-2</v>
      </c>
      <c r="J169" s="186"/>
      <c r="K169" s="186"/>
      <c r="L169" s="186"/>
      <c r="M169" s="186"/>
    </row>
    <row r="170" spans="1:13">
      <c r="A170" s="181" t="s">
        <v>136</v>
      </c>
      <c r="B170" s="209">
        <v>0</v>
      </c>
      <c r="C170" s="209">
        <v>1.0827508450564076</v>
      </c>
      <c r="D170" s="211"/>
      <c r="E170" s="212"/>
      <c r="F170" s="212"/>
      <c r="G170" s="212"/>
      <c r="H170" s="213"/>
      <c r="J170" s="186"/>
      <c r="K170" s="186"/>
      <c r="L170" s="186"/>
      <c r="M170" s="186"/>
    </row>
    <row r="171" spans="1:13">
      <c r="A171" s="181"/>
      <c r="B171" s="182"/>
      <c r="C171" s="182"/>
      <c r="D171" s="211"/>
      <c r="E171" s="212"/>
      <c r="F171" s="212"/>
      <c r="G171" s="212"/>
      <c r="H171" s="213"/>
      <c r="J171" s="186"/>
      <c r="K171" s="186"/>
      <c r="L171" s="186"/>
      <c r="M171" s="186"/>
    </row>
    <row r="172" spans="1:13" ht="15.75" thickBot="1">
      <c r="A172" s="241" t="s">
        <v>10</v>
      </c>
      <c r="B172" s="242">
        <v>4.4291695783465306</v>
      </c>
      <c r="C172" s="247">
        <v>3.0877315221168047</v>
      </c>
      <c r="D172" s="217">
        <v>6.7392976798696935E-4</v>
      </c>
      <c r="E172" s="218">
        <v>-1.5747655193639298E-2</v>
      </c>
      <c r="F172" s="218">
        <v>-2.4532493162332081E-2</v>
      </c>
      <c r="G172" s="218">
        <v>-2.4200157746800732E-2</v>
      </c>
      <c r="H172" s="219">
        <v>-2.239240351833538E-3</v>
      </c>
      <c r="J172" s="186"/>
      <c r="K172" s="186"/>
      <c r="L172" s="186"/>
      <c r="M172" s="186"/>
    </row>
    <row r="173" spans="1:13">
      <c r="A173" s="195"/>
      <c r="B173" s="171"/>
    </row>
    <row r="174" spans="1:13">
      <c r="B174" s="171"/>
    </row>
    <row r="175" spans="1:13" ht="16.5" thickBot="1">
      <c r="A175" s="91" t="s">
        <v>147</v>
      </c>
      <c r="B175" s="80"/>
      <c r="C175" s="80"/>
      <c r="D175" s="80"/>
      <c r="E175" s="80"/>
      <c r="F175" s="80"/>
      <c r="G175" s="80"/>
      <c r="H175" s="80"/>
    </row>
    <row r="176" spans="1:13" ht="15.75" thickBot="1">
      <c r="A176" s="177" t="s">
        <v>51</v>
      </c>
      <c r="B176" s="178">
        <v>2000</v>
      </c>
      <c r="C176" s="178">
        <v>2050</v>
      </c>
      <c r="D176" s="197" t="s">
        <v>98</v>
      </c>
      <c r="E176" s="198" t="s">
        <v>99</v>
      </c>
      <c r="F176" s="198" t="s">
        <v>100</v>
      </c>
      <c r="G176" s="198" t="s">
        <v>101</v>
      </c>
      <c r="H176" s="199" t="s">
        <v>102</v>
      </c>
    </row>
    <row r="177" spans="1:17">
      <c r="A177" s="181" t="s">
        <v>103</v>
      </c>
      <c r="B177" s="209">
        <v>0.67875655589622275</v>
      </c>
      <c r="C177" s="209">
        <v>0.14231770688151879</v>
      </c>
      <c r="D177" s="203">
        <v>-6.2452325127548836E-3</v>
      </c>
      <c r="E177" s="204">
        <v>-1.7044673184611447E-2</v>
      </c>
      <c r="F177" s="204">
        <v>-6.1187438802784877E-2</v>
      </c>
      <c r="G177" s="204">
        <v>-7.608327939658166E-2</v>
      </c>
      <c r="H177" s="205">
        <v>-3.2988917577112642E-2</v>
      </c>
      <c r="J177" s="248"/>
      <c r="K177" s="248"/>
      <c r="L177" s="248"/>
      <c r="M177" s="248"/>
      <c r="N177" s="248"/>
      <c r="O177" s="248"/>
      <c r="P177" s="248"/>
      <c r="Q177" s="248"/>
    </row>
    <row r="178" spans="1:17">
      <c r="A178" s="181" t="s">
        <v>54</v>
      </c>
      <c r="B178" s="209">
        <v>0.95550701195492693</v>
      </c>
      <c r="C178" s="209">
        <v>0.38201068689249773</v>
      </c>
      <c r="D178" s="211">
        <v>-5.8463777549722096E-4</v>
      </c>
      <c r="E178" s="212">
        <v>-2.4137047881651941E-2</v>
      </c>
      <c r="F178" s="212">
        <v>-5.1812400269630299E-2</v>
      </c>
      <c r="G178" s="212">
        <v>-2.7466984642139591E-2</v>
      </c>
      <c r="H178" s="213">
        <v>-1.8849335751053742E-2</v>
      </c>
      <c r="J178" s="248"/>
      <c r="K178" s="248"/>
      <c r="L178" s="248"/>
      <c r="M178" s="248"/>
      <c r="N178" s="248"/>
      <c r="O178" s="248"/>
      <c r="P178" s="248"/>
      <c r="Q178" s="248"/>
    </row>
    <row r="179" spans="1:17">
      <c r="A179" s="181" t="s">
        <v>104</v>
      </c>
      <c r="B179" s="209">
        <v>0.82600000000000007</v>
      </c>
      <c r="C179" s="209">
        <v>1.9175419082714962</v>
      </c>
      <c r="D179" s="211">
        <v>2.0639238204596122E-2</v>
      </c>
      <c r="E179" s="212">
        <v>2.6695803050380995E-2</v>
      </c>
      <c r="F179" s="212">
        <v>4.6715482882137893E-2</v>
      </c>
      <c r="G179" s="212">
        <v>2.2127694242718876E-2</v>
      </c>
      <c r="H179" s="213">
        <v>3.3215669382815616E-3</v>
      </c>
      <c r="J179" s="248"/>
      <c r="K179" s="248"/>
      <c r="L179" s="248"/>
      <c r="M179" s="248"/>
      <c r="N179" s="222"/>
      <c r="O179" s="248"/>
      <c r="P179" s="248"/>
      <c r="Q179" s="248"/>
    </row>
    <row r="180" spans="1:17">
      <c r="A180" s="181"/>
      <c r="B180" s="182"/>
      <c r="C180" s="243"/>
      <c r="D180" s="211"/>
      <c r="E180" s="212"/>
      <c r="F180" s="212"/>
      <c r="G180" s="212"/>
      <c r="H180" s="213"/>
    </row>
    <row r="181" spans="1:17" ht="15.75" thickBot="1">
      <c r="A181" s="241" t="s">
        <v>10</v>
      </c>
      <c r="B181" s="242">
        <v>2.4602635678511495</v>
      </c>
      <c r="C181" s="247">
        <v>2.4418703020455128</v>
      </c>
      <c r="D181" s="217">
        <v>5.899994469378278E-3</v>
      </c>
      <c r="E181" s="218">
        <v>-1.349732281475946E-4</v>
      </c>
      <c r="F181" s="218">
        <v>-1.5679524467334671E-3</v>
      </c>
      <c r="G181" s="218">
        <v>-2.4605953999589092E-3</v>
      </c>
      <c r="H181" s="219">
        <v>-3.7382514184234328E-3</v>
      </c>
    </row>
    <row r="182" spans="1:17">
      <c r="B182" s="171"/>
    </row>
    <row r="183" spans="1:17">
      <c r="B183" s="171"/>
    </row>
    <row r="184" spans="1:17" ht="16.5" thickBot="1">
      <c r="A184" s="91" t="s">
        <v>148</v>
      </c>
      <c r="B184" s="80"/>
      <c r="C184" s="80"/>
      <c r="D184" s="80"/>
      <c r="E184" s="80"/>
      <c r="F184" s="80"/>
      <c r="G184" s="80"/>
      <c r="H184" s="80"/>
    </row>
    <row r="185" spans="1:17" ht="15.75" thickBot="1">
      <c r="A185" s="177"/>
      <c r="B185" s="178">
        <v>2000</v>
      </c>
      <c r="C185" s="178">
        <v>2050</v>
      </c>
      <c r="D185" s="197" t="s">
        <v>98</v>
      </c>
      <c r="E185" s="198" t="s">
        <v>99</v>
      </c>
      <c r="F185" s="198" t="s">
        <v>100</v>
      </c>
      <c r="G185" s="198" t="s">
        <v>101</v>
      </c>
      <c r="H185" s="199" t="s">
        <v>102</v>
      </c>
    </row>
    <row r="186" spans="1:17">
      <c r="A186" s="181" t="s">
        <v>149</v>
      </c>
      <c r="B186" s="249">
        <v>24.33355382834463</v>
      </c>
      <c r="C186" s="249">
        <v>34.886850350703753</v>
      </c>
      <c r="D186" s="211">
        <v>1.0211294832557005E-2</v>
      </c>
      <c r="E186" s="212">
        <v>7.970163359137139E-3</v>
      </c>
      <c r="F186" s="212">
        <v>7.1968213529980396E-3</v>
      </c>
      <c r="G186" s="212">
        <v>7.1826391154925506E-3</v>
      </c>
      <c r="H186" s="213">
        <v>4.8380742114828568E-3</v>
      </c>
    </row>
    <row r="187" spans="1:17">
      <c r="A187" s="181" t="s">
        <v>150</v>
      </c>
      <c r="B187" s="250">
        <v>0.72677787849505027</v>
      </c>
      <c r="C187" s="250">
        <v>0.2872667690901376</v>
      </c>
      <c r="D187" s="211">
        <v>-9.0821706173750405E-3</v>
      </c>
      <c r="E187" s="212">
        <v>-1.4708755643135452E-2</v>
      </c>
      <c r="F187" s="212">
        <v>-2.0448549698030338E-2</v>
      </c>
      <c r="G187" s="212">
        <v>-2.3378159160086009E-2</v>
      </c>
      <c r="H187" s="213">
        <v>-2.4479555597915037E-2</v>
      </c>
    </row>
    <row r="188" spans="1:17">
      <c r="A188" s="181" t="s">
        <v>151</v>
      </c>
      <c r="B188" s="251">
        <v>2087.8712740325814</v>
      </c>
      <c r="C188" s="251">
        <v>1951.6980386195353</v>
      </c>
      <c r="D188" s="211">
        <v>1.2345793868838273E-2</v>
      </c>
      <c r="E188" s="212">
        <v>-1.2812555216551225E-2</v>
      </c>
      <c r="F188" s="212">
        <v>-9.9516231025180701E-3</v>
      </c>
      <c r="G188" s="212">
        <v>-1.2884741805356259E-2</v>
      </c>
      <c r="H188" s="213">
        <v>-3.6020917613875936E-3</v>
      </c>
    </row>
    <row r="189" spans="1:17" ht="15.75" thickBot="1">
      <c r="A189" s="190" t="s">
        <v>152</v>
      </c>
      <c r="B189" s="252">
        <v>4.7055972739865524E-2</v>
      </c>
      <c r="C189" s="252">
        <v>1.2263101535418508E-2</v>
      </c>
      <c r="D189" s="217">
        <v>-1.6091354362357646E-2</v>
      </c>
      <c r="E189" s="218">
        <v>-2.5037013656187712E-2</v>
      </c>
      <c r="F189" s="218">
        <v>-2.7372236004291395E-2</v>
      </c>
      <c r="G189" s="218">
        <v>-3.0286060692249261E-2</v>
      </c>
      <c r="H189" s="219">
        <v>-3.3529530892992265E-2</v>
      </c>
    </row>
    <row r="190" spans="1:17">
      <c r="A190" s="238"/>
    </row>
    <row r="192" spans="1:17" ht="21">
      <c r="A192" s="78" t="s">
        <v>153</v>
      </c>
      <c r="B192" s="73"/>
      <c r="C192" s="239"/>
      <c r="D192" s="239"/>
      <c r="E192" s="239"/>
      <c r="F192" s="239"/>
      <c r="G192" s="239"/>
      <c r="H192" s="239"/>
    </row>
    <row r="194" spans="1:9" ht="16.5" thickBot="1">
      <c r="A194" s="91" t="s">
        <v>154</v>
      </c>
      <c r="B194" s="80"/>
      <c r="C194" s="80"/>
      <c r="D194" s="80"/>
      <c r="E194" s="80"/>
      <c r="F194" s="80"/>
      <c r="G194" s="80"/>
      <c r="H194" s="80"/>
    </row>
    <row r="195" spans="1:9" ht="15.75" thickBot="1">
      <c r="A195" s="235" t="s">
        <v>51</v>
      </c>
      <c r="B195" s="178">
        <v>2000</v>
      </c>
      <c r="C195" s="178">
        <v>2050</v>
      </c>
      <c r="D195" s="197" t="s">
        <v>98</v>
      </c>
      <c r="E195" s="198" t="s">
        <v>99</v>
      </c>
      <c r="F195" s="198" t="s">
        <v>100</v>
      </c>
      <c r="G195" s="198" t="s">
        <v>101</v>
      </c>
      <c r="H195" s="199" t="s">
        <v>102</v>
      </c>
    </row>
    <row r="196" spans="1:9">
      <c r="A196" s="181" t="s">
        <v>103</v>
      </c>
      <c r="B196" s="209">
        <v>3.7561</v>
      </c>
      <c r="C196" s="209">
        <v>3.3328085224007112E-2</v>
      </c>
      <c r="D196" s="203">
        <v>-3.2335560855585976E-2</v>
      </c>
      <c r="E196" s="204">
        <v>-8.1471283025754904E-2</v>
      </c>
      <c r="F196" s="204">
        <v>-9.3968850614089883E-2</v>
      </c>
      <c r="G196" s="204">
        <v>-0.12808638973734165</v>
      </c>
      <c r="H196" s="205">
        <v>-0.12313498369315445</v>
      </c>
      <c r="I196" s="248"/>
    </row>
    <row r="197" spans="1:9">
      <c r="A197" s="181" t="s">
        <v>54</v>
      </c>
      <c r="B197" s="209">
        <v>5.5961999999999996</v>
      </c>
      <c r="C197" s="209">
        <v>0.45020851625292024</v>
      </c>
      <c r="D197" s="211">
        <v>3.6368045657122483E-3</v>
      </c>
      <c r="E197" s="212">
        <v>-3.2320204463460733E-2</v>
      </c>
      <c r="F197" s="212">
        <v>-4.7782442557674054E-2</v>
      </c>
      <c r="G197" s="212">
        <v>-6.5843587022246575E-2</v>
      </c>
      <c r="H197" s="213">
        <v>-8.7208210057492241E-2</v>
      </c>
      <c r="I197" s="248"/>
    </row>
    <row r="198" spans="1:9">
      <c r="A198" s="181" t="s">
        <v>42</v>
      </c>
      <c r="B198" s="209">
        <v>0.15870000000000001</v>
      </c>
      <c r="C198" s="209">
        <v>0</v>
      </c>
      <c r="D198" s="211">
        <v>-6.1317623639847718E-2</v>
      </c>
      <c r="E198" s="212">
        <v>-1</v>
      </c>
      <c r="F198" s="212" t="e">
        <v>#DIV/0!</v>
      </c>
      <c r="G198" s="212" t="e">
        <v>#DIV/0!</v>
      </c>
      <c r="H198" s="213" t="e">
        <v>#DIV/0!</v>
      </c>
      <c r="I198" s="248"/>
    </row>
    <row r="199" spans="1:9">
      <c r="A199" s="181" t="s">
        <v>104</v>
      </c>
      <c r="B199" s="209">
        <v>9.3300278041400002</v>
      </c>
      <c r="C199" s="209">
        <v>9.3348831087369852</v>
      </c>
      <c r="D199" s="211">
        <v>1.6563012389721354E-2</v>
      </c>
      <c r="E199" s="212">
        <v>5.1442548788833697E-3</v>
      </c>
      <c r="F199" s="212">
        <v>-1.0149653412321769E-2</v>
      </c>
      <c r="G199" s="212">
        <v>-1.109861576364779E-2</v>
      </c>
      <c r="H199" s="213">
        <v>-8.2028872666444208E-3</v>
      </c>
      <c r="I199" s="248"/>
    </row>
    <row r="200" spans="1:9">
      <c r="A200" s="181" t="s">
        <v>105</v>
      </c>
      <c r="B200" s="209">
        <v>0.85539999999999994</v>
      </c>
      <c r="C200" s="209">
        <v>1.4277110119754055</v>
      </c>
      <c r="D200" s="211">
        <v>-3.0891919597692663E-2</v>
      </c>
      <c r="E200" s="212">
        <v>2.3312622964225982E-2</v>
      </c>
      <c r="F200" s="212">
        <v>8.7140839369357348E-3</v>
      </c>
      <c r="G200" s="212">
        <v>7.1949135337332493E-3</v>
      </c>
      <c r="H200" s="213">
        <v>4.0212114087618156E-2</v>
      </c>
      <c r="I200" s="248"/>
    </row>
    <row r="201" spans="1:9">
      <c r="A201" s="181" t="s">
        <v>134</v>
      </c>
      <c r="B201" s="182">
        <v>0.32080000000000003</v>
      </c>
      <c r="C201" s="182">
        <v>0.40500654890806143</v>
      </c>
      <c r="D201" s="211">
        <v>4.1228309505667582E-3</v>
      </c>
      <c r="E201" s="212">
        <v>6.6777455177402079E-2</v>
      </c>
      <c r="F201" s="212">
        <v>4.2174507148687645E-2</v>
      </c>
      <c r="G201" s="212">
        <v>9.5613600365422879E-3</v>
      </c>
      <c r="H201" s="213">
        <v>-2.0093802750761336E-2</v>
      </c>
      <c r="I201" s="248"/>
    </row>
    <row r="202" spans="1:9">
      <c r="A202" s="181" t="s">
        <v>135</v>
      </c>
      <c r="B202" s="182">
        <v>0</v>
      </c>
      <c r="C202" s="182">
        <v>0.38611314657298224</v>
      </c>
      <c r="D202" s="211"/>
      <c r="E202" s="212"/>
      <c r="F202" s="212"/>
      <c r="G202" s="212"/>
      <c r="H202" s="213"/>
      <c r="I202" s="248"/>
    </row>
    <row r="203" spans="1:9">
      <c r="A203" s="181" t="s">
        <v>136</v>
      </c>
      <c r="B203" s="182">
        <v>0</v>
      </c>
      <c r="C203" s="182">
        <v>1.8224684836634182</v>
      </c>
      <c r="D203" s="211"/>
      <c r="E203" s="212"/>
      <c r="F203" s="212"/>
      <c r="G203" s="212"/>
      <c r="H203" s="213"/>
      <c r="I203" s="248"/>
    </row>
    <row r="204" spans="1:9">
      <c r="A204" s="181"/>
      <c r="B204" s="182"/>
      <c r="C204" s="182"/>
      <c r="D204" s="211"/>
      <c r="E204" s="212"/>
      <c r="F204" s="212"/>
      <c r="G204" s="212"/>
      <c r="H204" s="213"/>
    </row>
    <row r="205" spans="1:9" ht="15.75" thickBot="1">
      <c r="A205" s="190" t="s">
        <v>10</v>
      </c>
      <c r="B205" s="226">
        <v>20.017227804139996</v>
      </c>
      <c r="C205" s="226">
        <v>13.85971890133378</v>
      </c>
      <c r="D205" s="217">
        <v>6.1939804284143474E-3</v>
      </c>
      <c r="E205" s="218">
        <v>-7.459120426147603E-3</v>
      </c>
      <c r="F205" s="218">
        <v>-1.5922008030237689E-2</v>
      </c>
      <c r="G205" s="218">
        <v>-1.9082816168849881E-2</v>
      </c>
      <c r="H205" s="219">
        <v>-1.2234912067208059E-2</v>
      </c>
    </row>
    <row r="206" spans="1:9">
      <c r="A206" s="195"/>
      <c r="B206" s="171"/>
    </row>
    <row r="207" spans="1:9">
      <c r="A207" s="195"/>
      <c r="B207" s="171"/>
    </row>
    <row r="208" spans="1:9" ht="16.5" thickBot="1">
      <c r="A208" s="91" t="s">
        <v>155</v>
      </c>
      <c r="B208" s="80"/>
      <c r="C208" s="80"/>
      <c r="D208" s="80"/>
      <c r="E208" s="80"/>
      <c r="F208" s="80"/>
      <c r="G208" s="80"/>
      <c r="H208" s="80"/>
    </row>
    <row r="209" spans="1:10" ht="15.75" thickBot="1">
      <c r="A209" s="235" t="s">
        <v>51</v>
      </c>
      <c r="B209" s="178">
        <v>2000</v>
      </c>
      <c r="C209" s="178">
        <v>2050</v>
      </c>
      <c r="D209" s="197" t="s">
        <v>98</v>
      </c>
      <c r="E209" s="198" t="s">
        <v>99</v>
      </c>
      <c r="F209" s="198" t="s">
        <v>100</v>
      </c>
      <c r="G209" s="198" t="s">
        <v>101</v>
      </c>
      <c r="H209" s="199" t="s">
        <v>102</v>
      </c>
    </row>
    <row r="210" spans="1:10">
      <c r="A210" s="181" t="s">
        <v>138</v>
      </c>
      <c r="B210" s="209">
        <v>9.3037991407357321</v>
      </c>
      <c r="C210" s="209">
        <v>4.5884891463066495</v>
      </c>
      <c r="D210" s="203">
        <v>3.4474917456241982E-3</v>
      </c>
      <c r="E210" s="204">
        <v>-2.0982413481280271E-2</v>
      </c>
      <c r="F210" s="204">
        <v>-2.5062164954301025E-2</v>
      </c>
      <c r="G210" s="204">
        <v>-3.0057170045617587E-2</v>
      </c>
      <c r="H210" s="205">
        <v>-1.8475619668650411E-2</v>
      </c>
      <c r="J210" s="186"/>
    </row>
    <row r="211" spans="1:10">
      <c r="A211" s="181" t="s">
        <v>156</v>
      </c>
      <c r="B211" s="182">
        <v>3.8242762748856345</v>
      </c>
      <c r="C211" s="182">
        <v>2.5825866572536436</v>
      </c>
      <c r="D211" s="211">
        <v>-1.1735115266409246E-2</v>
      </c>
      <c r="E211" s="212">
        <v>1.3093803528589243E-2</v>
      </c>
      <c r="F211" s="212">
        <v>-7.0948215431976269E-4</v>
      </c>
      <c r="G211" s="212">
        <v>-6.2276286723228491E-3</v>
      </c>
      <c r="H211" s="213">
        <v>-1.2213302864828357E-2</v>
      </c>
      <c r="J211" s="186"/>
    </row>
    <row r="212" spans="1:10">
      <c r="A212" s="181" t="s">
        <v>143</v>
      </c>
      <c r="B212" s="209">
        <v>0.26720797829915388</v>
      </c>
      <c r="C212" s="253">
        <v>0.54711698805678899</v>
      </c>
      <c r="D212" s="211">
        <v>4.3801381524881888E-2</v>
      </c>
      <c r="E212" s="212">
        <v>7.8328013950903497E-3</v>
      </c>
      <c r="F212" s="212">
        <v>-4.7473015071414215E-3</v>
      </c>
      <c r="G212" s="212">
        <v>2.7576329212564143E-3</v>
      </c>
      <c r="H212" s="213">
        <v>2.2329600556985074E-3</v>
      </c>
      <c r="J212" s="186"/>
    </row>
    <row r="213" spans="1:10">
      <c r="A213" s="181" t="s">
        <v>142</v>
      </c>
      <c r="B213" s="209">
        <v>6.621944410219478</v>
      </c>
      <c r="C213" s="209">
        <v>6.1415261097166978</v>
      </c>
      <c r="D213" s="211">
        <v>1.6394039767257285E-2</v>
      </c>
      <c r="E213" s="212">
        <v>-1.3490152641688624E-3</v>
      </c>
      <c r="F213" s="212">
        <v>-1.3625622233366275E-2</v>
      </c>
      <c r="G213" s="212">
        <v>-1.5719398022254749E-2</v>
      </c>
      <c r="H213" s="213">
        <v>-8.1994482386018586E-3</v>
      </c>
      <c r="J213" s="186"/>
    </row>
    <row r="214" spans="1:10">
      <c r="A214" s="181"/>
      <c r="B214" s="182"/>
      <c r="C214" s="182"/>
      <c r="D214" s="211"/>
      <c r="E214" s="212"/>
      <c r="F214" s="212"/>
      <c r="G214" s="212"/>
      <c r="H214" s="213"/>
      <c r="J214" s="186"/>
    </row>
    <row r="215" spans="1:10" ht="15.75" thickBot="1">
      <c r="A215" s="190" t="s">
        <v>10</v>
      </c>
      <c r="B215" s="226">
        <v>20.017227804139999</v>
      </c>
      <c r="C215" s="226">
        <v>13.85971890133378</v>
      </c>
      <c r="D215" s="217">
        <v>6.1939804284143474E-3</v>
      </c>
      <c r="E215" s="218">
        <v>-7.459120426147714E-3</v>
      </c>
      <c r="F215" s="218">
        <v>-1.5922008030237689E-2</v>
      </c>
      <c r="G215" s="218">
        <v>-1.9082816168849881E-2</v>
      </c>
      <c r="H215" s="219">
        <v>-1.2234912067208059E-2</v>
      </c>
      <c r="J215" s="186"/>
    </row>
    <row r="216" spans="1:10">
      <c r="A216" s="195"/>
      <c r="B216" s="171"/>
      <c r="C216" s="254"/>
      <c r="J216" s="186"/>
    </row>
    <row r="217" spans="1:10">
      <c r="A217" s="195"/>
      <c r="B217" s="171"/>
      <c r="C217" s="254"/>
      <c r="J217" s="186"/>
    </row>
    <row r="218" spans="1:10" ht="16.5" thickBot="1">
      <c r="A218" s="91" t="s">
        <v>157</v>
      </c>
      <c r="B218" s="80"/>
      <c r="C218" s="256"/>
      <c r="D218" s="80"/>
      <c r="E218" s="80"/>
      <c r="F218" s="80"/>
      <c r="G218" s="80"/>
      <c r="H218" s="80"/>
      <c r="J218" s="186"/>
    </row>
    <row r="219" spans="1:10" ht="15.75" thickBot="1">
      <c r="A219" s="235" t="s">
        <v>51</v>
      </c>
      <c r="B219" s="178">
        <v>2000</v>
      </c>
      <c r="C219" s="178">
        <v>2050</v>
      </c>
      <c r="D219" s="197" t="s">
        <v>98</v>
      </c>
      <c r="E219" s="198" t="s">
        <v>99</v>
      </c>
      <c r="F219" s="198" t="s">
        <v>100</v>
      </c>
      <c r="G219" s="198" t="s">
        <v>101</v>
      </c>
      <c r="H219" s="199" t="s">
        <v>102</v>
      </c>
      <c r="J219" s="186"/>
    </row>
    <row r="220" spans="1:10">
      <c r="A220" s="181" t="s">
        <v>103</v>
      </c>
      <c r="B220" s="182">
        <v>3.7561</v>
      </c>
      <c r="C220" s="182">
        <v>3.3328085224007112E-2</v>
      </c>
      <c r="D220" s="203">
        <v>-3.2335560855585976E-2</v>
      </c>
      <c r="E220" s="204">
        <v>-8.1471283025754904E-2</v>
      </c>
      <c r="F220" s="204">
        <v>-9.3968850614089883E-2</v>
      </c>
      <c r="G220" s="204">
        <v>-0.12808638973734165</v>
      </c>
      <c r="H220" s="205">
        <v>-0.12313498369315445</v>
      </c>
      <c r="J220" s="186"/>
    </row>
    <row r="221" spans="1:10">
      <c r="A221" s="181" t="s">
        <v>54</v>
      </c>
      <c r="B221" s="182">
        <v>5.5961999999999996</v>
      </c>
      <c r="C221" s="182">
        <v>0.45020851625292024</v>
      </c>
      <c r="D221" s="211">
        <v>3.6368045657122483E-3</v>
      </c>
      <c r="E221" s="212">
        <v>-3.2320204463460733E-2</v>
      </c>
      <c r="F221" s="212">
        <v>-4.7782442557674054E-2</v>
      </c>
      <c r="G221" s="212">
        <v>-6.5843587022246575E-2</v>
      </c>
      <c r="H221" s="213">
        <v>-8.7208210057492241E-2</v>
      </c>
      <c r="J221" s="186"/>
    </row>
    <row r="222" spans="1:10">
      <c r="A222" s="181" t="s">
        <v>42</v>
      </c>
      <c r="B222" s="182">
        <v>0.15870000000000001</v>
      </c>
      <c r="C222" s="182">
        <v>0</v>
      </c>
      <c r="D222" s="211">
        <v>-6.1317623639847718E-2</v>
      </c>
      <c r="E222" s="212">
        <v>-1</v>
      </c>
      <c r="F222" s="212" t="e">
        <v>#DIV/0!</v>
      </c>
      <c r="G222" s="212" t="e">
        <v>#DIV/0!</v>
      </c>
      <c r="H222" s="213" t="e">
        <v>#DIV/0!</v>
      </c>
      <c r="J222" s="186"/>
    </row>
    <row r="223" spans="1:10">
      <c r="A223" s="181" t="s">
        <v>104</v>
      </c>
      <c r="B223" s="182">
        <v>2.4408754156213677</v>
      </c>
      <c r="C223" s="182">
        <v>2.6462400109634983</v>
      </c>
      <c r="D223" s="211">
        <v>1.3338673160219194E-2</v>
      </c>
      <c r="E223" s="212">
        <v>2.2281445010654322E-2</v>
      </c>
      <c r="F223" s="212">
        <v>-2.4239475209221206E-3</v>
      </c>
      <c r="G223" s="212">
        <v>-2.5619214854888384E-3</v>
      </c>
      <c r="H223" s="213">
        <v>-1.0108469259847097E-2</v>
      </c>
      <c r="J223" s="186"/>
    </row>
    <row r="224" spans="1:10">
      <c r="A224" s="181" t="s">
        <v>105</v>
      </c>
      <c r="B224" s="182">
        <v>0.85539999999999994</v>
      </c>
      <c r="C224" s="182">
        <v>1.4277110119754055</v>
      </c>
      <c r="D224" s="211">
        <v>-3.0891919597692663E-2</v>
      </c>
      <c r="E224" s="212">
        <v>2.3312622964225982E-2</v>
      </c>
      <c r="F224" s="212">
        <v>8.7140839369357348E-3</v>
      </c>
      <c r="G224" s="212">
        <v>7.1949135337332493E-3</v>
      </c>
      <c r="H224" s="213">
        <v>4.0212114087618156E-2</v>
      </c>
      <c r="J224" s="186"/>
    </row>
    <row r="225" spans="1:10">
      <c r="A225" s="181" t="s">
        <v>134</v>
      </c>
      <c r="B225" s="182">
        <v>0.32080000000000003</v>
      </c>
      <c r="C225" s="182">
        <v>0.40500654890806143</v>
      </c>
      <c r="D225" s="211">
        <v>4.1228309505667582E-3</v>
      </c>
      <c r="E225" s="212">
        <v>6.6777455177402079E-2</v>
      </c>
      <c r="F225" s="212">
        <v>4.2174507148687645E-2</v>
      </c>
      <c r="G225" s="212">
        <v>9.5613600365422879E-3</v>
      </c>
      <c r="H225" s="213">
        <v>-2.0093802750761336E-2</v>
      </c>
      <c r="J225" s="186"/>
    </row>
    <row r="226" spans="1:10">
      <c r="A226" s="181" t="s">
        <v>135</v>
      </c>
      <c r="B226" s="182">
        <v>0</v>
      </c>
      <c r="C226" s="182">
        <v>0.38611314657298224</v>
      </c>
      <c r="D226" s="211"/>
      <c r="E226" s="212"/>
      <c r="F226" s="212"/>
      <c r="G226" s="212"/>
      <c r="H226" s="213"/>
      <c r="J226" s="186"/>
    </row>
    <row r="227" spans="1:10">
      <c r="A227" s="181" t="s">
        <v>136</v>
      </c>
      <c r="B227" s="182">
        <v>0</v>
      </c>
      <c r="C227" s="182">
        <v>1.8224684836634182</v>
      </c>
      <c r="D227" s="211"/>
      <c r="E227" s="212"/>
      <c r="F227" s="212"/>
      <c r="G227" s="212"/>
      <c r="H227" s="213"/>
      <c r="J227" s="186"/>
    </row>
    <row r="228" spans="1:10">
      <c r="A228" s="181"/>
      <c r="B228" s="182"/>
      <c r="C228" s="182"/>
      <c r="D228" s="211"/>
      <c r="E228" s="212"/>
      <c r="F228" s="212"/>
      <c r="G228" s="212"/>
      <c r="H228" s="213"/>
      <c r="J228" s="186"/>
    </row>
    <row r="229" spans="1:10" ht="15.75" thickBot="1">
      <c r="A229" s="190" t="s">
        <v>10</v>
      </c>
      <c r="B229" s="226">
        <v>13.128075415621366</v>
      </c>
      <c r="C229" s="226">
        <v>7.1710758035602931</v>
      </c>
      <c r="D229" s="217">
        <v>-6.5136556964595638E-4</v>
      </c>
      <c r="E229" s="218">
        <v>-1.2140889079191863E-2</v>
      </c>
      <c r="F229" s="218">
        <v>-1.8008366046744384E-2</v>
      </c>
      <c r="G229" s="218">
        <v>-2.2539087618029474E-2</v>
      </c>
      <c r="H229" s="219">
        <v>-1.631546027045383E-2</v>
      </c>
      <c r="J229" s="186"/>
    </row>
    <row r="230" spans="1:10">
      <c r="A230" s="195"/>
      <c r="B230" s="171"/>
      <c r="J230" s="186"/>
    </row>
    <row r="231" spans="1:10">
      <c r="A231" s="195"/>
      <c r="B231" s="171"/>
      <c r="J231" s="186"/>
    </row>
    <row r="232" spans="1:10" ht="16.5" thickBot="1">
      <c r="A232" s="91" t="s">
        <v>158</v>
      </c>
      <c r="B232" s="80"/>
      <c r="C232" s="80"/>
      <c r="D232" s="80"/>
      <c r="E232" s="80"/>
      <c r="F232" s="80"/>
      <c r="G232" s="80"/>
      <c r="H232" s="80"/>
      <c r="J232" s="186"/>
    </row>
    <row r="233" spans="1:10" ht="15.75" thickBot="1">
      <c r="A233" s="235" t="s">
        <v>51</v>
      </c>
      <c r="B233" s="178">
        <v>2000</v>
      </c>
      <c r="C233" s="178">
        <v>2050</v>
      </c>
      <c r="D233" s="197" t="s">
        <v>98</v>
      </c>
      <c r="E233" s="198" t="s">
        <v>99</v>
      </c>
      <c r="F233" s="198" t="s">
        <v>100</v>
      </c>
      <c r="G233" s="198" t="s">
        <v>101</v>
      </c>
      <c r="H233" s="199" t="s">
        <v>102</v>
      </c>
      <c r="J233" s="257"/>
    </row>
    <row r="234" spans="1:10">
      <c r="A234" s="181" t="s">
        <v>103</v>
      </c>
      <c r="B234" s="209">
        <v>2.6271374019358529</v>
      </c>
      <c r="C234" s="209">
        <v>1.2978195519191616E-3</v>
      </c>
      <c r="D234" s="203">
        <v>-1.9968336343000548E-2</v>
      </c>
      <c r="E234" s="204">
        <v>-7.8121121001402227E-2</v>
      </c>
      <c r="F234" s="204">
        <v>-8.8414575245205684E-2</v>
      </c>
      <c r="G234" s="204">
        <v>-0.13936843176079083</v>
      </c>
      <c r="H234" s="205">
        <v>-0.24762497942105766</v>
      </c>
      <c r="I234" s="258"/>
      <c r="J234" s="257"/>
    </row>
    <row r="235" spans="1:10">
      <c r="A235" s="181" t="s">
        <v>54</v>
      </c>
      <c r="B235" s="209">
        <v>3.9701595313874058</v>
      </c>
      <c r="C235" s="209">
        <v>0.2818801532956044</v>
      </c>
      <c r="D235" s="211">
        <v>1.3333021631106279E-2</v>
      </c>
      <c r="E235" s="212">
        <v>-2.941775822344106E-2</v>
      </c>
      <c r="F235" s="212">
        <v>-4.6503943962651673E-2</v>
      </c>
      <c r="G235" s="212">
        <v>-7.0188567381903266E-2</v>
      </c>
      <c r="H235" s="213">
        <v>-9.9337357347846988E-2</v>
      </c>
      <c r="I235" s="258"/>
      <c r="J235" s="257"/>
    </row>
    <row r="236" spans="1:10">
      <c r="A236" s="181" t="s">
        <v>42</v>
      </c>
      <c r="B236" s="209">
        <v>0.11470512934855193</v>
      </c>
      <c r="C236" s="209">
        <v>0</v>
      </c>
      <c r="D236" s="211">
        <v>-1</v>
      </c>
      <c r="E236" s="212" t="e">
        <v>#DIV/0!</v>
      </c>
      <c r="F236" s="212" t="e">
        <v>#DIV/0!</v>
      </c>
      <c r="G236" s="212" t="e">
        <v>#DIV/0!</v>
      </c>
      <c r="H236" s="213" t="e">
        <v>#DIV/0!</v>
      </c>
      <c r="I236" s="258"/>
      <c r="J236" s="257"/>
    </row>
    <row r="237" spans="1:10">
      <c r="A237" s="181" t="s">
        <v>104</v>
      </c>
      <c r="B237" s="209">
        <v>1.7416372605000001</v>
      </c>
      <c r="C237" s="209">
        <v>1.1630055070505922</v>
      </c>
      <c r="D237" s="211">
        <v>-8.6740227800810032E-3</v>
      </c>
      <c r="E237" s="212">
        <v>-4.0799066763319569E-4</v>
      </c>
      <c r="F237" s="212">
        <v>-5.5587976312836407E-3</v>
      </c>
      <c r="G237" s="212">
        <v>1.4806112322043319E-3</v>
      </c>
      <c r="H237" s="213">
        <v>-1.2453099610837959E-2</v>
      </c>
      <c r="I237" s="258"/>
      <c r="J237" s="257"/>
    </row>
    <row r="238" spans="1:10">
      <c r="A238" s="181" t="s">
        <v>105</v>
      </c>
      <c r="B238" s="209">
        <v>0.61828129795404607</v>
      </c>
      <c r="C238" s="209">
        <v>1.3293672002893107</v>
      </c>
      <c r="D238" s="211">
        <v>-2.1907494487042212E-2</v>
      </c>
      <c r="E238" s="212">
        <v>1.4703197900608922E-2</v>
      </c>
      <c r="F238" s="212">
        <v>3.6573798572989702E-3</v>
      </c>
      <c r="G238" s="212">
        <v>1.9274980373501727E-2</v>
      </c>
      <c r="H238" s="213">
        <v>4.6607940178492013E-2</v>
      </c>
      <c r="I238" s="258"/>
      <c r="J238" s="257"/>
    </row>
    <row r="239" spans="1:10">
      <c r="A239" s="181" t="s">
        <v>134</v>
      </c>
      <c r="B239" s="209">
        <v>0.23187851960987504</v>
      </c>
      <c r="C239" s="209">
        <v>0.40500654890806143</v>
      </c>
      <c r="D239" s="211">
        <v>2.6089155966032784E-2</v>
      </c>
      <c r="E239" s="212">
        <v>6.6777455177402079E-2</v>
      </c>
      <c r="F239" s="212">
        <v>4.2174507148687645E-2</v>
      </c>
      <c r="G239" s="212">
        <v>9.5613600365422879E-3</v>
      </c>
      <c r="H239" s="213">
        <v>-2.0093802750761336E-2</v>
      </c>
      <c r="I239" s="258"/>
      <c r="J239" s="257"/>
    </row>
    <row r="240" spans="1:10">
      <c r="A240" s="181" t="s">
        <v>135</v>
      </c>
      <c r="B240" s="209">
        <v>0</v>
      </c>
      <c r="C240" s="209">
        <v>0.11641782052141147</v>
      </c>
      <c r="D240" s="211"/>
      <c r="E240" s="212"/>
      <c r="F240" s="212"/>
      <c r="G240" s="212"/>
      <c r="H240" s="213"/>
      <c r="I240" s="259"/>
      <c r="J240" s="257"/>
    </row>
    <row r="241" spans="1:10">
      <c r="A241" s="181" t="s">
        <v>136</v>
      </c>
      <c r="B241" s="209">
        <v>0</v>
      </c>
      <c r="C241" s="209">
        <v>1.2915140966897503</v>
      </c>
      <c r="D241" s="211"/>
      <c r="E241" s="212"/>
      <c r="F241" s="212"/>
      <c r="G241" s="212"/>
      <c r="H241" s="213"/>
      <c r="I241" s="259"/>
      <c r="J241" s="257"/>
    </row>
    <row r="242" spans="1:10">
      <c r="A242" s="181"/>
      <c r="B242" s="182"/>
      <c r="C242" s="182"/>
      <c r="D242" s="211"/>
      <c r="E242" s="212"/>
      <c r="F242" s="212"/>
      <c r="G242" s="212"/>
      <c r="H242" s="213"/>
      <c r="J242" s="186"/>
    </row>
    <row r="243" spans="1:10" ht="15.75" thickBot="1">
      <c r="A243" s="190" t="s">
        <v>10</v>
      </c>
      <c r="B243" s="226">
        <v>9.3037991407357321</v>
      </c>
      <c r="C243" s="226">
        <v>4.5884891463066495</v>
      </c>
      <c r="D243" s="217">
        <v>3.4474917456241982E-3</v>
      </c>
      <c r="E243" s="218">
        <v>-2.0982413481280271E-2</v>
      </c>
      <c r="F243" s="218">
        <v>-2.5062164954301025E-2</v>
      </c>
      <c r="G243" s="218">
        <v>-3.0057170045617587E-2</v>
      </c>
      <c r="H243" s="219">
        <v>-1.8475619668650411E-2</v>
      </c>
      <c r="J243" s="186"/>
    </row>
    <row r="244" spans="1:10">
      <c r="A244" s="195"/>
      <c r="B244" s="171"/>
      <c r="C244" s="245"/>
      <c r="J244" s="186"/>
    </row>
    <row r="245" spans="1:10">
      <c r="A245" s="195"/>
      <c r="B245" s="171"/>
      <c r="J245" s="186"/>
    </row>
    <row r="246" spans="1:10" ht="16.5" thickBot="1">
      <c r="A246" s="91" t="s">
        <v>159</v>
      </c>
      <c r="B246" s="80"/>
      <c r="C246" s="80"/>
      <c r="D246" s="80"/>
      <c r="E246" s="80"/>
      <c r="F246" s="80"/>
      <c r="G246" s="80"/>
      <c r="H246" s="80"/>
      <c r="J246" s="186"/>
    </row>
    <row r="247" spans="1:10" ht="15.75" thickBot="1">
      <c r="A247" s="235" t="s">
        <v>51</v>
      </c>
      <c r="B247" s="178">
        <v>2000</v>
      </c>
      <c r="C247" s="178">
        <v>2050</v>
      </c>
      <c r="D247" s="197" t="s">
        <v>98</v>
      </c>
      <c r="E247" s="198" t="s">
        <v>99</v>
      </c>
      <c r="F247" s="198" t="s">
        <v>100</v>
      </c>
      <c r="G247" s="198" t="s">
        <v>101</v>
      </c>
      <c r="H247" s="199" t="s">
        <v>102</v>
      </c>
      <c r="J247" s="186"/>
    </row>
    <row r="248" spans="1:10">
      <c r="A248" s="181" t="s">
        <v>103</v>
      </c>
      <c r="B248" s="209">
        <v>1.1289625980641464</v>
      </c>
      <c r="C248" s="209">
        <v>3.203026567208795E-2</v>
      </c>
      <c r="D248" s="203">
        <v>-7.4610028539812023E-2</v>
      </c>
      <c r="E248" s="204">
        <v>-0.1008390809533678</v>
      </c>
      <c r="F248" s="204">
        <v>-0.13209345749852719</v>
      </c>
      <c r="G248" s="204">
        <v>-5.4141644411357603E-2</v>
      </c>
      <c r="H248" s="205">
        <v>-4.3100482826194386E-2</v>
      </c>
      <c r="J248" s="186"/>
    </row>
    <row r="249" spans="1:10">
      <c r="A249" s="181" t="s">
        <v>54</v>
      </c>
      <c r="B249" s="209">
        <v>1.6260404686125933</v>
      </c>
      <c r="C249" s="209">
        <v>0.16832836295731585</v>
      </c>
      <c r="D249" s="211">
        <v>-2.7717402091364196E-2</v>
      </c>
      <c r="E249" s="212">
        <v>-4.5955995368462066E-2</v>
      </c>
      <c r="F249" s="212">
        <v>-5.4211125776998381E-2</v>
      </c>
      <c r="G249" s="212">
        <v>-4.4647478608088487E-2</v>
      </c>
      <c r="H249" s="213">
        <v>-5.3707610105795056E-2</v>
      </c>
      <c r="J249" s="186"/>
    </row>
    <row r="250" spans="1:10">
      <c r="A250" s="181" t="s">
        <v>42</v>
      </c>
      <c r="B250" s="209">
        <v>4.3994870651448061E-2</v>
      </c>
      <c r="C250" s="209">
        <v>0</v>
      </c>
      <c r="D250" s="211">
        <v>2.2500799424380657E-2</v>
      </c>
      <c r="E250" s="212">
        <v>-1</v>
      </c>
      <c r="F250" s="212" t="e">
        <v>#DIV/0!</v>
      </c>
      <c r="G250" s="212" t="e">
        <v>#DIV/0!</v>
      </c>
      <c r="H250" s="213" t="e">
        <v>#DIV/0!</v>
      </c>
      <c r="J250" s="186"/>
    </row>
    <row r="251" spans="1:10">
      <c r="A251" s="181" t="s">
        <v>104</v>
      </c>
      <c r="B251" s="182">
        <v>0.69923815512136756</v>
      </c>
      <c r="C251" s="209">
        <v>1.483234503912906</v>
      </c>
      <c r="D251" s="211">
        <v>4.9789590454425658E-2</v>
      </c>
      <c r="E251" s="212">
        <v>4.4207707641105154E-2</v>
      </c>
      <c r="F251" s="212">
        <v>2.0284333531717103E-4</v>
      </c>
      <c r="G251" s="212">
        <v>-5.9409892249479013E-3</v>
      </c>
      <c r="H251" s="213">
        <v>-8.1848175086691732E-3</v>
      </c>
      <c r="J251" s="186"/>
    </row>
    <row r="252" spans="1:10">
      <c r="A252" s="181" t="s">
        <v>105</v>
      </c>
      <c r="B252" s="209">
        <v>0.23711870204595384</v>
      </c>
      <c r="C252" s="209">
        <v>9.8343811686094851E-2</v>
      </c>
      <c r="D252" s="211">
        <v>-6.2010550714744039E-2</v>
      </c>
      <c r="E252" s="212">
        <v>6.168785676802746E-2</v>
      </c>
      <c r="F252" s="212">
        <v>2.7506942147243807E-2</v>
      </c>
      <c r="G252" s="212">
        <v>-3.9873201842772321E-2</v>
      </c>
      <c r="H252" s="213">
        <v>-7.5399251345754648E-3</v>
      </c>
      <c r="J252" s="186"/>
    </row>
    <row r="253" spans="1:10">
      <c r="A253" s="181" t="s">
        <v>134</v>
      </c>
      <c r="B253" s="209">
        <v>8.8921480390124985E-2</v>
      </c>
      <c r="C253" s="209">
        <v>0</v>
      </c>
      <c r="D253" s="211">
        <v>-1</v>
      </c>
      <c r="E253" s="212" t="e">
        <v>#DIV/0!</v>
      </c>
      <c r="F253" s="212" t="e">
        <v>#DIV/0!</v>
      </c>
      <c r="G253" s="212" t="e">
        <v>#DIV/0!</v>
      </c>
      <c r="H253" s="213" t="e">
        <v>#DIV/0!</v>
      </c>
      <c r="J253" s="186"/>
    </row>
    <row r="254" spans="1:10">
      <c r="A254" s="181" t="s">
        <v>135</v>
      </c>
      <c r="B254" s="209">
        <v>0</v>
      </c>
      <c r="C254" s="209">
        <v>0.26969532605157076</v>
      </c>
      <c r="D254" s="211"/>
      <c r="E254" s="212"/>
      <c r="F254" s="212"/>
      <c r="G254" s="212"/>
      <c r="H254" s="213"/>
      <c r="J254" s="186"/>
    </row>
    <row r="255" spans="1:10">
      <c r="A255" s="181" t="s">
        <v>136</v>
      </c>
      <c r="B255" s="209">
        <v>0</v>
      </c>
      <c r="C255" s="209">
        <v>0.53095438697366792</v>
      </c>
      <c r="D255" s="211"/>
      <c r="E255" s="212"/>
      <c r="F255" s="212"/>
      <c r="G255" s="212"/>
      <c r="H255" s="213"/>
      <c r="J255" s="186"/>
    </row>
    <row r="256" spans="1:10">
      <c r="A256" s="181"/>
      <c r="B256" s="182"/>
      <c r="C256" s="182"/>
      <c r="D256" s="211" t="e">
        <v>#DIV/0!</v>
      </c>
      <c r="E256" s="212" t="e">
        <v>#DIV/0!</v>
      </c>
      <c r="F256" s="212" t="e">
        <v>#DIV/0!</v>
      </c>
      <c r="G256" s="212" t="e">
        <v>#DIV/0!</v>
      </c>
      <c r="H256" s="213" t="e">
        <v>#DIV/0!</v>
      </c>
      <c r="J256" s="186"/>
    </row>
    <row r="257" spans="1:10" ht="15.75" thickBot="1">
      <c r="A257" s="190" t="s">
        <v>10</v>
      </c>
      <c r="B257" s="226">
        <v>3.8242762748856345</v>
      </c>
      <c r="C257" s="226">
        <v>2.5825866572536436</v>
      </c>
      <c r="D257" s="217">
        <v>-1.1735115266409246E-2</v>
      </c>
      <c r="E257" s="218">
        <v>1.3093803528589243E-2</v>
      </c>
      <c r="F257" s="218">
        <v>-7.0948215431976269E-4</v>
      </c>
      <c r="G257" s="218">
        <v>-6.2276286723228491E-3</v>
      </c>
      <c r="H257" s="219">
        <v>-1.2213302864828357E-2</v>
      </c>
      <c r="J257" s="186"/>
    </row>
    <row r="258" spans="1:10">
      <c r="A258" s="195"/>
      <c r="B258" s="171"/>
    </row>
    <row r="259" spans="1:10">
      <c r="A259" s="195"/>
      <c r="B259" s="171"/>
    </row>
    <row r="260" spans="1:10" ht="16.5" thickBot="1">
      <c r="A260" s="91" t="s">
        <v>160</v>
      </c>
      <c r="B260" s="80"/>
      <c r="C260" s="80"/>
      <c r="D260" s="80"/>
      <c r="E260" s="80"/>
      <c r="F260" s="80"/>
      <c r="G260" s="80"/>
      <c r="H260" s="80"/>
    </row>
    <row r="261" spans="1:10" ht="15.75" thickBot="1">
      <c r="A261" s="177"/>
      <c r="B261" s="178">
        <v>2000</v>
      </c>
      <c r="C261" s="178">
        <v>2050</v>
      </c>
      <c r="D261" s="197" t="s">
        <v>98</v>
      </c>
      <c r="E261" s="198" t="s">
        <v>99</v>
      </c>
      <c r="F261" s="198" t="s">
        <v>100</v>
      </c>
      <c r="G261" s="198" t="s">
        <v>101</v>
      </c>
      <c r="H261" s="199" t="s">
        <v>102</v>
      </c>
    </row>
    <row r="262" spans="1:10">
      <c r="A262" s="181" t="s">
        <v>161</v>
      </c>
      <c r="B262" s="250">
        <v>1.4720925580653493E-2</v>
      </c>
      <c r="C262" s="250">
        <v>4.751226240245562E-3</v>
      </c>
      <c r="D262" s="211">
        <v>-7.2581463688579095E-3</v>
      </c>
      <c r="E262" s="212">
        <v>-2.3531626519421089E-2</v>
      </c>
      <c r="F262" s="212">
        <v>-2.8355585747873335E-2</v>
      </c>
      <c r="G262" s="212">
        <v>-3.2698980077977446E-2</v>
      </c>
      <c r="H262" s="213">
        <v>-2.918945662625505E-2</v>
      </c>
    </row>
    <row r="263" spans="1:10">
      <c r="A263" s="181" t="s">
        <v>162</v>
      </c>
      <c r="B263" s="260">
        <v>17.813600000000001</v>
      </c>
      <c r="C263" s="209">
        <v>22.74711701186752</v>
      </c>
      <c r="D263" s="211">
        <v>8.3572001738927426E-3</v>
      </c>
      <c r="E263" s="212">
        <v>4.7598327296394238E-3</v>
      </c>
      <c r="F263" s="212">
        <v>3.4763592025344181E-3</v>
      </c>
      <c r="G263" s="212">
        <v>3.4764494492369735E-3</v>
      </c>
      <c r="H263" s="213">
        <v>3.064318527203902E-3</v>
      </c>
    </row>
    <row r="264" spans="1:10">
      <c r="A264" s="181" t="s">
        <v>163</v>
      </c>
      <c r="B264" s="261">
        <v>1.123704798813266</v>
      </c>
      <c r="C264" s="261">
        <v>0.60929562608320664</v>
      </c>
      <c r="D264" s="211">
        <v>-2.145291118172632E-3</v>
      </c>
      <c r="E264" s="212">
        <v>-1.2161068503894756E-2</v>
      </c>
      <c r="F264" s="212">
        <v>-1.9331165158876451E-2</v>
      </c>
      <c r="G264" s="212">
        <v>-2.2481111171536283E-2</v>
      </c>
      <c r="H264" s="213">
        <v>-1.5252492100283011E-2</v>
      </c>
    </row>
    <row r="265" spans="1:10" ht="15.75" thickBot="1">
      <c r="A265" s="190" t="s">
        <v>164</v>
      </c>
      <c r="B265" s="262">
        <v>6091.3135672827621</v>
      </c>
      <c r="C265" s="262">
        <v>4772.6791266766377</v>
      </c>
      <c r="D265" s="217">
        <v>8.1378029674539221E-3</v>
      </c>
      <c r="E265" s="218">
        <v>3.8260103232778953E-4</v>
      </c>
      <c r="F265" s="218">
        <v>-1.357880780139642E-2</v>
      </c>
      <c r="G265" s="218">
        <v>-1.4524571275075115E-2</v>
      </c>
      <c r="H265" s="219">
        <v>-1.12327849627748E-2</v>
      </c>
    </row>
    <row r="266" spans="1:10">
      <c r="A266" s="238"/>
    </row>
    <row r="267" spans="1:10">
      <c r="C267" s="212"/>
      <c r="D267" s="212"/>
      <c r="E267" s="212"/>
    </row>
    <row r="268" spans="1:10" ht="21">
      <c r="A268" s="78" t="s">
        <v>165</v>
      </c>
      <c r="B268" s="73"/>
      <c r="C268" s="239"/>
      <c r="D268" s="239"/>
      <c r="E268" s="239"/>
      <c r="F268" s="239"/>
      <c r="G268" s="239"/>
      <c r="H268" s="239"/>
    </row>
    <row r="269" spans="1:10" ht="21">
      <c r="A269" s="172"/>
      <c r="C269" s="170"/>
    </row>
    <row r="270" spans="1:10" ht="16.5" thickBot="1">
      <c r="A270" s="91" t="s">
        <v>166</v>
      </c>
      <c r="B270" s="81"/>
      <c r="C270" s="80"/>
      <c r="D270" s="80"/>
      <c r="E270" s="80"/>
      <c r="F270" s="80"/>
      <c r="G270" s="80"/>
      <c r="H270" s="80"/>
    </row>
    <row r="271" spans="1:10" ht="15.75" thickBot="1">
      <c r="A271" s="177"/>
      <c r="B271" s="178">
        <v>2000</v>
      </c>
      <c r="C271" s="178">
        <v>2050</v>
      </c>
      <c r="D271" s="197" t="s">
        <v>98</v>
      </c>
      <c r="E271" s="198" t="s">
        <v>99</v>
      </c>
      <c r="F271" s="198" t="s">
        <v>100</v>
      </c>
      <c r="G271" s="198" t="s">
        <v>101</v>
      </c>
      <c r="H271" s="199" t="s">
        <v>102</v>
      </c>
    </row>
    <row r="272" spans="1:10">
      <c r="A272" s="263" t="s">
        <v>167</v>
      </c>
      <c r="B272" s="264"/>
      <c r="C272" s="264"/>
      <c r="D272" s="265"/>
      <c r="E272" s="266"/>
      <c r="F272" s="266"/>
      <c r="G272" s="266"/>
      <c r="H272" s="267"/>
    </row>
    <row r="273" spans="1:11">
      <c r="A273" s="181" t="s">
        <v>168</v>
      </c>
      <c r="B273" s="268">
        <v>687.75139082118562</v>
      </c>
      <c r="C273" s="268">
        <v>815.82122751667885</v>
      </c>
      <c r="D273" s="211">
        <v>3.9283024521541421E-3</v>
      </c>
      <c r="E273" s="212">
        <v>2.03562936676982E-3</v>
      </c>
      <c r="F273" s="212">
        <v>-1.2599311509894351E-3</v>
      </c>
      <c r="G273" s="212">
        <v>2.8948520036853331E-3</v>
      </c>
      <c r="H273" s="213">
        <v>4.6930379180274429E-3</v>
      </c>
    </row>
    <row r="274" spans="1:11">
      <c r="A274" s="181" t="s">
        <v>169</v>
      </c>
      <c r="B274" s="268">
        <v>55.897287896679252</v>
      </c>
      <c r="C274" s="268">
        <v>121.79036470159761</v>
      </c>
      <c r="D274" s="211">
        <v>1.6242320283317069E-2</v>
      </c>
      <c r="E274" s="212">
        <v>2.8924942901046524E-2</v>
      </c>
      <c r="F274" s="212">
        <v>1.0056359931976733E-2</v>
      </c>
      <c r="G274" s="212">
        <v>1.3792572609656606E-2</v>
      </c>
      <c r="H274" s="213">
        <v>1.3896328033659699E-2</v>
      </c>
    </row>
    <row r="275" spans="1:11">
      <c r="A275" s="181" t="s">
        <v>170</v>
      </c>
      <c r="B275" s="268">
        <v>80.924999999999997</v>
      </c>
      <c r="C275" s="268">
        <v>187.42889571060383</v>
      </c>
      <c r="D275" s="211">
        <v>1.7200000000000104E-2</v>
      </c>
      <c r="E275" s="212">
        <v>1.760000000000006E-2</v>
      </c>
      <c r="F275" s="212">
        <v>1.639999999999997E-2</v>
      </c>
      <c r="G275" s="212">
        <v>1.3800000000000034E-2</v>
      </c>
      <c r="H275" s="213">
        <v>1.7500000000000071E-2</v>
      </c>
    </row>
    <row r="276" spans="1:11">
      <c r="A276" s="181" t="s">
        <v>171</v>
      </c>
      <c r="B276" s="268">
        <v>15.128</v>
      </c>
      <c r="C276" s="268">
        <v>16.0387056</v>
      </c>
      <c r="D276" s="211">
        <v>-3.8416054578340741E-3</v>
      </c>
      <c r="E276" s="212">
        <v>-3.8218767042812463E-3</v>
      </c>
      <c r="F276" s="212">
        <v>1.6953150482852175E-2</v>
      </c>
      <c r="G276" s="212">
        <v>9.5650619982303731E-3</v>
      </c>
      <c r="H276" s="213">
        <v>1.842836643781709E-4</v>
      </c>
    </row>
    <row r="277" spans="1:11">
      <c r="A277" s="181"/>
      <c r="B277" s="268"/>
      <c r="C277" s="268"/>
      <c r="D277" s="211"/>
      <c r="E277" s="212"/>
      <c r="F277" s="212"/>
      <c r="G277" s="212"/>
      <c r="H277" s="213"/>
    </row>
    <row r="278" spans="1:11">
      <c r="A278" s="181"/>
      <c r="B278" s="268"/>
      <c r="C278" s="268"/>
      <c r="D278" s="211"/>
      <c r="E278" s="212"/>
      <c r="F278" s="212"/>
      <c r="G278" s="212"/>
      <c r="H278" s="213"/>
    </row>
    <row r="279" spans="1:11">
      <c r="A279" s="263" t="s">
        <v>172</v>
      </c>
      <c r="B279" s="269"/>
      <c r="C279" s="270"/>
      <c r="D279" s="211"/>
      <c r="E279" s="212"/>
      <c r="F279" s="212"/>
      <c r="G279" s="212"/>
      <c r="H279" s="213"/>
    </row>
    <row r="280" spans="1:11">
      <c r="A280" s="181" t="s">
        <v>173</v>
      </c>
      <c r="B280" s="268">
        <v>276.81829985708532</v>
      </c>
      <c r="C280" s="268">
        <v>395.61353246394816</v>
      </c>
      <c r="D280" s="211">
        <v>1.1061824031974865E-3</v>
      </c>
      <c r="E280" s="212">
        <v>1.7271182297544874E-2</v>
      </c>
      <c r="F280" s="212">
        <v>5.9367806257755174E-3</v>
      </c>
      <c r="G280" s="212">
        <v>7.3925545281789962E-3</v>
      </c>
      <c r="H280" s="213">
        <v>9.4670970691075329E-3</v>
      </c>
    </row>
    <row r="281" spans="1:11">
      <c r="A281" s="181" t="s">
        <v>170</v>
      </c>
      <c r="B281" s="268">
        <v>57.725999999999999</v>
      </c>
      <c r="C281" s="268">
        <v>43.551850725682037</v>
      </c>
      <c r="D281" s="211">
        <v>-3.4200000000000008E-2</v>
      </c>
      <c r="E281" s="212">
        <v>1.9400000000000084E-2</v>
      </c>
      <c r="F281" s="212">
        <v>4.1999999999999815E-3</v>
      </c>
      <c r="G281" s="212">
        <v>5.5000000000000604E-3</v>
      </c>
      <c r="H281" s="213">
        <v>4.7999999999999154E-3</v>
      </c>
    </row>
    <row r="282" spans="1:11">
      <c r="A282" s="181" t="s">
        <v>174</v>
      </c>
      <c r="B282" s="268">
        <v>7.2610000000000001</v>
      </c>
      <c r="C282" s="209">
        <v>8.7652451574738421</v>
      </c>
      <c r="D282" s="211">
        <v>1.8000000000000238E-3</v>
      </c>
      <c r="E282" s="212">
        <v>1.1800000000000033E-2</v>
      </c>
      <c r="F282" s="212">
        <v>-3.4999999999999476E-3</v>
      </c>
      <c r="G282" s="212">
        <v>8.0999999999999961E-3</v>
      </c>
      <c r="H282" s="213">
        <v>4.0000000000000036E-3</v>
      </c>
      <c r="K282" s="271"/>
    </row>
    <row r="283" spans="1:11">
      <c r="A283" s="181"/>
      <c r="B283" s="268"/>
      <c r="C283" s="268"/>
      <c r="D283" s="211"/>
      <c r="E283" s="212"/>
      <c r="F283" s="212"/>
      <c r="G283" s="212"/>
      <c r="H283" s="213"/>
    </row>
    <row r="284" spans="1:11">
      <c r="A284" s="181" t="s">
        <v>175</v>
      </c>
      <c r="B284" s="268">
        <v>397.56713730341966</v>
      </c>
      <c r="C284" s="268">
        <v>431.24073766607404</v>
      </c>
      <c r="D284" s="211">
        <v>7.2979366165732973E-3</v>
      </c>
      <c r="E284" s="212">
        <v>2.3526637143203022E-3</v>
      </c>
      <c r="F284" s="212">
        <v>-2.519915114473914E-3</v>
      </c>
      <c r="G284" s="212">
        <v>-4.5568837004187346E-3</v>
      </c>
      <c r="H284" s="213">
        <v>-2.0329919254025164E-4</v>
      </c>
    </row>
    <row r="285" spans="1:11" ht="15.75" thickBot="1">
      <c r="A285" s="241"/>
      <c r="B285" s="272"/>
      <c r="C285" s="272"/>
      <c r="D285" s="217"/>
      <c r="E285" s="218"/>
      <c r="F285" s="218"/>
      <c r="G285" s="218"/>
      <c r="H285" s="219"/>
    </row>
    <row r="286" spans="1:11">
      <c r="A286" s="195"/>
      <c r="B286" s="273"/>
      <c r="C286" s="273"/>
    </row>
    <row r="287" spans="1:11">
      <c r="A287" s="195"/>
      <c r="B287" s="273"/>
      <c r="C287" s="274"/>
    </row>
    <row r="288" spans="1:11" ht="16.5" thickBot="1">
      <c r="A288" s="91" t="s">
        <v>176</v>
      </c>
      <c r="B288" s="80"/>
      <c r="C288" s="80"/>
      <c r="D288" s="80"/>
      <c r="E288" s="80"/>
      <c r="F288" s="80"/>
      <c r="G288" s="80"/>
      <c r="H288" s="80"/>
    </row>
    <row r="289" spans="1:9" ht="15.75" thickBot="1">
      <c r="A289" s="177" t="s">
        <v>51</v>
      </c>
      <c r="B289" s="178">
        <v>2000</v>
      </c>
      <c r="C289" s="178">
        <v>2050</v>
      </c>
      <c r="D289" s="197" t="s">
        <v>98</v>
      </c>
      <c r="E289" s="198" t="s">
        <v>99</v>
      </c>
      <c r="F289" s="198" t="s">
        <v>100</v>
      </c>
      <c r="G289" s="198" t="s">
        <v>101</v>
      </c>
      <c r="H289" s="199" t="s">
        <v>102</v>
      </c>
    </row>
    <row r="290" spans="1:9">
      <c r="A290" s="181" t="s">
        <v>177</v>
      </c>
      <c r="B290" s="209">
        <v>13.997119781533799</v>
      </c>
      <c r="C290" s="209">
        <v>0.70284517859871498</v>
      </c>
      <c r="D290" s="203">
        <v>-4.8560460379067139E-2</v>
      </c>
      <c r="E290" s="204">
        <v>2.7482116744335539E-2</v>
      </c>
      <c r="F290" s="204">
        <v>8.7951632835900906E-3</v>
      </c>
      <c r="G290" s="204">
        <v>-1.4930336626109986E-2</v>
      </c>
      <c r="H290" s="205">
        <v>-0.1108109603663463</v>
      </c>
      <c r="I290" s="206"/>
    </row>
    <row r="291" spans="1:9">
      <c r="A291" s="181" t="s">
        <v>178</v>
      </c>
      <c r="B291" s="209">
        <v>26.535790998485542</v>
      </c>
      <c r="C291" s="209">
        <v>2.7528416383164336</v>
      </c>
      <c r="D291" s="211">
        <v>1.4687516164497039E-2</v>
      </c>
      <c r="E291" s="212">
        <v>-1.3894208811641939E-2</v>
      </c>
      <c r="F291" s="212">
        <v>-3.5852489404619825E-2</v>
      </c>
      <c r="G291" s="212">
        <v>-3.9640846091020476E-2</v>
      </c>
      <c r="H291" s="213">
        <v>-9.6510617718959413E-2</v>
      </c>
      <c r="I291" s="206"/>
    </row>
    <row r="292" spans="1:9">
      <c r="A292" s="181" t="s">
        <v>179</v>
      </c>
      <c r="B292" s="209">
        <v>1.783802992</v>
      </c>
      <c r="C292" s="209">
        <v>1.5127612269015085</v>
      </c>
      <c r="D292" s="211">
        <v>-1.2369884935951925E-2</v>
      </c>
      <c r="E292" s="212">
        <v>-6.5069060666167466E-5</v>
      </c>
      <c r="F292" s="212">
        <v>6.7359140300744524E-3</v>
      </c>
      <c r="G292" s="212">
        <v>4.9711541088124367E-3</v>
      </c>
      <c r="H292" s="213">
        <v>-1.8054203114803435E-3</v>
      </c>
      <c r="I292" s="206"/>
    </row>
    <row r="293" spans="1:9">
      <c r="A293" s="181" t="s">
        <v>180</v>
      </c>
      <c r="B293" s="209">
        <v>0.20852249504211356</v>
      </c>
      <c r="C293" s="209">
        <v>1.1109676647870722E-3</v>
      </c>
      <c r="D293" s="211">
        <v>-3.6118422355186475E-2</v>
      </c>
      <c r="E293" s="212">
        <v>9.1425539228615627E-3</v>
      </c>
      <c r="F293" s="212">
        <v>8.8510241075989704E-3</v>
      </c>
      <c r="G293" s="212">
        <v>-1.4161381109390099</v>
      </c>
      <c r="H293" s="213" t="e">
        <v>#NUM!</v>
      </c>
      <c r="I293" s="206"/>
    </row>
    <row r="294" spans="1:9">
      <c r="A294" s="181" t="s">
        <v>181</v>
      </c>
      <c r="B294" s="209">
        <v>0</v>
      </c>
      <c r="C294" s="209">
        <v>3.6028639370370201</v>
      </c>
      <c r="D294" s="211"/>
      <c r="E294" s="212">
        <v>0.16081011856725658</v>
      </c>
      <c r="F294" s="212">
        <v>0.20970910495476347</v>
      </c>
      <c r="G294" s="212">
        <v>0.15178854719978596</v>
      </c>
      <c r="H294" s="213">
        <v>7.0033076020741269E-2</v>
      </c>
      <c r="I294" s="206"/>
    </row>
    <row r="295" spans="1:9">
      <c r="A295" s="181" t="s">
        <v>104</v>
      </c>
      <c r="B295" s="209">
        <v>0.80670000000000019</v>
      </c>
      <c r="C295" s="209">
        <v>8.1245524383179717</v>
      </c>
      <c r="D295" s="211">
        <v>6.7135895005314694E-3</v>
      </c>
      <c r="E295" s="212">
        <v>6.3487840029791798E-2</v>
      </c>
      <c r="F295" s="212">
        <v>0.11229146425059078</v>
      </c>
      <c r="G295" s="212">
        <v>8.4933837645329913E-2</v>
      </c>
      <c r="H295" s="213">
        <v>4.92677488585469E-2</v>
      </c>
      <c r="I295" s="206"/>
    </row>
    <row r="296" spans="1:9">
      <c r="A296" s="181" t="s">
        <v>109</v>
      </c>
      <c r="B296" s="209">
        <v>0</v>
      </c>
      <c r="C296" s="209">
        <v>8.5984522785898534E-2</v>
      </c>
      <c r="D296" s="211"/>
      <c r="E296" s="212"/>
      <c r="F296" s="212"/>
      <c r="G296" s="212"/>
      <c r="H296" s="213"/>
      <c r="I296" s="206"/>
    </row>
    <row r="297" spans="1:9">
      <c r="A297" s="181"/>
      <c r="B297" s="182"/>
      <c r="C297" s="182"/>
      <c r="D297" s="211"/>
      <c r="E297" s="212"/>
      <c r="F297" s="212"/>
      <c r="G297" s="212"/>
      <c r="H297" s="213"/>
    </row>
    <row r="298" spans="1:9" ht="15.75" thickBot="1">
      <c r="A298" s="190" t="s">
        <v>10</v>
      </c>
      <c r="B298" s="226">
        <v>43.331936267061451</v>
      </c>
      <c r="C298" s="226">
        <v>16.782959909622335</v>
      </c>
      <c r="D298" s="217">
        <v>-1.7114473081362158E-3</v>
      </c>
      <c r="E298" s="218">
        <v>-4.0512974285620285E-3</v>
      </c>
      <c r="F298" s="218">
        <v>-1.8076355074965966E-2</v>
      </c>
      <c r="G298" s="218">
        <v>-2.1303243667912919E-2</v>
      </c>
      <c r="H298" s="219">
        <v>-3.4571210691747067E-2</v>
      </c>
      <c r="I298" s="186"/>
    </row>
    <row r="299" spans="1:9">
      <c r="A299" s="195"/>
      <c r="B299" s="171"/>
      <c r="I299" s="222"/>
    </row>
    <row r="300" spans="1:9">
      <c r="A300" s="195"/>
      <c r="B300" s="171"/>
    </row>
    <row r="301" spans="1:9" ht="16.5" thickBot="1">
      <c r="A301" s="91" t="s">
        <v>182</v>
      </c>
      <c r="B301" s="80"/>
      <c r="C301" s="275"/>
      <c r="D301" s="80"/>
      <c r="E301" s="80"/>
      <c r="F301" s="80"/>
      <c r="G301" s="80"/>
      <c r="H301" s="80"/>
    </row>
    <row r="302" spans="1:9" ht="15.75" thickBot="1">
      <c r="A302" s="177" t="s">
        <v>51</v>
      </c>
      <c r="B302" s="178">
        <v>2000</v>
      </c>
      <c r="C302" s="178">
        <v>2050</v>
      </c>
      <c r="D302" s="197" t="s">
        <v>98</v>
      </c>
      <c r="E302" s="198" t="s">
        <v>99</v>
      </c>
      <c r="F302" s="198" t="s">
        <v>100</v>
      </c>
      <c r="G302" s="198" t="s">
        <v>101</v>
      </c>
      <c r="H302" s="199" t="s">
        <v>102</v>
      </c>
    </row>
    <row r="303" spans="1:9">
      <c r="A303" s="181" t="s">
        <v>183</v>
      </c>
      <c r="B303" s="182">
        <v>39.905836568061453</v>
      </c>
      <c r="C303" s="182">
        <v>13.822431129824748</v>
      </c>
      <c r="D303" s="203">
        <v>-1.0591228097824867E-3</v>
      </c>
      <c r="E303" s="204">
        <v>-4.6044738636766835E-3</v>
      </c>
      <c r="F303" s="204">
        <v>-1.9831245959978649E-2</v>
      </c>
      <c r="G303" s="204">
        <v>-2.358165916746735E-2</v>
      </c>
      <c r="H303" s="205">
        <v>-3.929633997209192E-2</v>
      </c>
    </row>
    <row r="304" spans="1:9">
      <c r="A304" s="181" t="s">
        <v>184</v>
      </c>
      <c r="B304" s="209">
        <v>1.1697000000000002</v>
      </c>
      <c r="C304" s="209">
        <v>1.231147369555037</v>
      </c>
      <c r="D304" s="211">
        <v>-9.3887516254735903E-3</v>
      </c>
      <c r="E304" s="212">
        <v>1.1899222699643497E-2</v>
      </c>
      <c r="F304" s="212">
        <v>8.8578864839432558E-3</v>
      </c>
      <c r="G304" s="212">
        <v>6.5864091148477577E-3</v>
      </c>
      <c r="H304" s="213">
        <v>2.8356324809348799E-3</v>
      </c>
    </row>
    <row r="305" spans="1:10">
      <c r="A305" s="181" t="s">
        <v>185</v>
      </c>
      <c r="B305" s="209">
        <v>0.47259670699999995</v>
      </c>
      <c r="C305" s="209">
        <v>0.21662018334104061</v>
      </c>
      <c r="D305" s="211">
        <v>-1.6759290797919713E-3</v>
      </c>
      <c r="E305" s="212">
        <v>-6.1586392630241793E-3</v>
      </c>
      <c r="F305" s="212">
        <v>-2.2935777745134667E-2</v>
      </c>
      <c r="G305" s="212">
        <v>-1.3660717152266577E-2</v>
      </c>
      <c r="H305" s="213">
        <v>-2.660272192627311E-2</v>
      </c>
    </row>
    <row r="306" spans="1:10">
      <c r="A306" s="181" t="s">
        <v>186</v>
      </c>
      <c r="B306" s="209">
        <v>1.783802992</v>
      </c>
      <c r="C306" s="209">
        <v>1.5127612269015085</v>
      </c>
      <c r="D306" s="211">
        <v>-1.2369884935951925E-2</v>
      </c>
      <c r="E306" s="212">
        <v>-6.5069060666167466E-5</v>
      </c>
      <c r="F306" s="212">
        <v>6.7359140300744524E-3</v>
      </c>
      <c r="G306" s="212">
        <v>4.9711541088124367E-3</v>
      </c>
      <c r="H306" s="213">
        <v>-1.8054203114803435E-3</v>
      </c>
    </row>
    <row r="307" spans="1:10">
      <c r="A307" s="181"/>
      <c r="B307" s="182"/>
      <c r="C307" s="182"/>
      <c r="D307" s="211"/>
      <c r="E307" s="212"/>
      <c r="F307" s="212"/>
      <c r="G307" s="212"/>
      <c r="H307" s="213"/>
    </row>
    <row r="308" spans="1:10" ht="15.75" thickBot="1">
      <c r="A308" s="241" t="s">
        <v>10</v>
      </c>
      <c r="B308" s="226">
        <v>43.331936267061451</v>
      </c>
      <c r="C308" s="226">
        <v>16.782959909622335</v>
      </c>
      <c r="D308" s="217">
        <v>-1.7114473081362158E-3</v>
      </c>
      <c r="E308" s="218">
        <v>-4.0512974285620285E-3</v>
      </c>
      <c r="F308" s="218">
        <v>-1.8076355074965966E-2</v>
      </c>
      <c r="G308" s="218">
        <v>-2.1303243667912808E-2</v>
      </c>
      <c r="H308" s="219">
        <v>-3.4571210691747067E-2</v>
      </c>
    </row>
    <row r="309" spans="1:10">
      <c r="A309" s="195"/>
      <c r="B309" s="276"/>
    </row>
    <row r="310" spans="1:10">
      <c r="A310" s="195"/>
      <c r="B310" s="276"/>
    </row>
    <row r="311" spans="1:10" ht="16.5" thickBot="1">
      <c r="A311" s="91" t="s">
        <v>187</v>
      </c>
      <c r="B311" s="277"/>
      <c r="C311" s="80"/>
      <c r="D311" s="80"/>
      <c r="E311" s="80"/>
      <c r="F311" s="80"/>
      <c r="G311" s="80"/>
      <c r="H311" s="80"/>
    </row>
    <row r="312" spans="1:10" ht="15.75" thickBot="1">
      <c r="A312" s="177" t="s">
        <v>51</v>
      </c>
      <c r="B312" s="178">
        <v>2000</v>
      </c>
      <c r="C312" s="178">
        <v>2050</v>
      </c>
      <c r="D312" s="197" t="s">
        <v>98</v>
      </c>
      <c r="E312" s="198" t="s">
        <v>99</v>
      </c>
      <c r="F312" s="198" t="s">
        <v>100</v>
      </c>
      <c r="G312" s="198" t="s">
        <v>101</v>
      </c>
      <c r="H312" s="199" t="s">
        <v>102</v>
      </c>
    </row>
    <row r="313" spans="1:10">
      <c r="A313" s="263" t="s">
        <v>188</v>
      </c>
      <c r="B313" s="182">
        <v>24.027286900070735</v>
      </c>
      <c r="C313" s="182">
        <v>5.4108673334362987</v>
      </c>
      <c r="D313" s="203">
        <v>-1.6696791447358139E-3</v>
      </c>
      <c r="E313" s="204">
        <v>-6.6004028423241046E-3</v>
      </c>
      <c r="F313" s="204">
        <v>-2.3776978330879994E-2</v>
      </c>
      <c r="G313" s="204">
        <v>-3.1639086548690742E-2</v>
      </c>
      <c r="H313" s="205">
        <v>-5.5950335102449733E-2</v>
      </c>
      <c r="J313" s="248"/>
    </row>
    <row r="314" spans="1:10">
      <c r="A314" s="181" t="s">
        <v>177</v>
      </c>
      <c r="B314" s="209">
        <v>13.39859269494649</v>
      </c>
      <c r="C314" s="209">
        <v>0.69666280639901523</v>
      </c>
      <c r="D314" s="211">
        <v>-5.0921821341770257E-2</v>
      </c>
      <c r="E314" s="212">
        <v>3.1446491688119638E-2</v>
      </c>
      <c r="F314" s="212">
        <v>1.1199096554230348E-2</v>
      </c>
      <c r="G314" s="212">
        <v>-1.3655720677873573E-2</v>
      </c>
      <c r="H314" s="213">
        <v>-0.10927487174323569</v>
      </c>
    </row>
    <row r="315" spans="1:10">
      <c r="A315" s="181" t="s">
        <v>178</v>
      </c>
      <c r="B315" s="209">
        <v>10.470294291485542</v>
      </c>
      <c r="C315" s="209">
        <v>0.54710495232365219</v>
      </c>
      <c r="D315" s="211">
        <v>3.3517742695645003E-2</v>
      </c>
      <c r="E315" s="212">
        <v>-2.2685635126629244E-2</v>
      </c>
      <c r="F315" s="212">
        <v>-5.148675456623053E-2</v>
      </c>
      <c r="G315" s="212">
        <v>-5.6744689180459829E-2</v>
      </c>
      <c r="H315" s="213">
        <v>-0.12955687383007697</v>
      </c>
    </row>
    <row r="316" spans="1:10">
      <c r="A316" s="181" t="s">
        <v>180</v>
      </c>
      <c r="B316" s="209">
        <v>0.15839991363870282</v>
      </c>
      <c r="C316" s="209">
        <v>-1.3025685022319245E-4</v>
      </c>
      <c r="D316" s="211">
        <v>-1.3210630531568235E-2</v>
      </c>
      <c r="E316" s="212">
        <v>2.7190924149946838E-3</v>
      </c>
      <c r="F316" s="212">
        <v>5.0457236189127563E-3</v>
      </c>
      <c r="G316" s="212">
        <v>-0.67343024104122451</v>
      </c>
      <c r="H316" s="213" t="e">
        <v>#NUM!</v>
      </c>
    </row>
    <row r="317" spans="1:10">
      <c r="A317" s="181" t="s">
        <v>181</v>
      </c>
      <c r="B317" s="209">
        <v>0</v>
      </c>
      <c r="C317" s="209">
        <v>0</v>
      </c>
      <c r="D317" s="211"/>
      <c r="E317" s="212"/>
      <c r="F317" s="212"/>
      <c r="G317" s="212"/>
      <c r="H317" s="213"/>
    </row>
    <row r="318" spans="1:10">
      <c r="A318" s="181" t="s">
        <v>109</v>
      </c>
      <c r="B318" s="209">
        <v>0</v>
      </c>
      <c r="C318" s="209">
        <v>0</v>
      </c>
      <c r="D318" s="211"/>
      <c r="E318" s="212"/>
      <c r="F318" s="212"/>
      <c r="G318" s="212"/>
      <c r="H318" s="213"/>
    </row>
    <row r="319" spans="1:10">
      <c r="A319" s="181" t="s">
        <v>104</v>
      </c>
      <c r="B319" s="209">
        <v>0</v>
      </c>
      <c r="C319" s="209">
        <v>4.1672298315638541</v>
      </c>
      <c r="D319" s="211"/>
      <c r="E319" s="212"/>
      <c r="F319" s="212"/>
      <c r="G319" s="212"/>
      <c r="H319" s="213"/>
    </row>
    <row r="320" spans="1:10">
      <c r="A320" s="181"/>
      <c r="B320" s="182"/>
      <c r="C320" s="244"/>
      <c r="D320" s="211"/>
      <c r="E320" s="212"/>
      <c r="F320" s="212"/>
      <c r="G320" s="212"/>
      <c r="H320" s="213"/>
    </row>
    <row r="321" spans="1:8">
      <c r="A321" s="263" t="s">
        <v>189</v>
      </c>
      <c r="B321" s="182">
        <v>14.86224967499072</v>
      </c>
      <c r="C321" s="182">
        <v>7.4779451697917185</v>
      </c>
      <c r="D321" s="211">
        <v>-2.2478373250710559E-3</v>
      </c>
      <c r="E321" s="212">
        <v>-2.0483570847040777E-3</v>
      </c>
      <c r="F321" s="212">
        <v>-1.4729965365314568E-2</v>
      </c>
      <c r="G321" s="212">
        <v>-1.273812775691141E-2</v>
      </c>
      <c r="H321" s="213">
        <v>-2.4912490022039324E-2</v>
      </c>
    </row>
    <row r="322" spans="1:8">
      <c r="A322" s="181" t="s">
        <v>177</v>
      </c>
      <c r="B322" s="209">
        <v>0.25552709358730952</v>
      </c>
      <c r="C322" s="209">
        <v>6.1823721996996997E-3</v>
      </c>
      <c r="D322" s="211"/>
      <c r="E322" s="212"/>
      <c r="F322" s="212"/>
      <c r="G322" s="212"/>
      <c r="H322" s="213"/>
    </row>
    <row r="323" spans="1:8">
      <c r="A323" s="181" t="s">
        <v>178</v>
      </c>
      <c r="B323" s="209">
        <v>14.5566</v>
      </c>
      <c r="C323" s="209">
        <v>1.9155549180991991</v>
      </c>
      <c r="D323" s="211">
        <v>-8.9652551095531496E-4</v>
      </c>
      <c r="E323" s="212">
        <v>-4.2493456744144842E-3</v>
      </c>
      <c r="F323" s="212">
        <v>-2.1861739114521272E-2</v>
      </c>
      <c r="G323" s="212">
        <v>-2.6813251452596498E-2</v>
      </c>
      <c r="H323" s="213">
        <v>-8.3637892367373845E-2</v>
      </c>
    </row>
    <row r="324" spans="1:8">
      <c r="A324" s="181" t="s">
        <v>180</v>
      </c>
      <c r="B324" s="209">
        <v>5.0122581403410749E-2</v>
      </c>
      <c r="C324" s="209">
        <v>1.2412245150102647E-3</v>
      </c>
      <c r="D324" s="211"/>
      <c r="E324" s="212"/>
      <c r="F324" s="212"/>
      <c r="G324" s="212"/>
      <c r="H324" s="213"/>
    </row>
    <row r="325" spans="1:8">
      <c r="A325" s="181" t="s">
        <v>181</v>
      </c>
      <c r="B325" s="209">
        <v>0</v>
      </c>
      <c r="C325" s="209">
        <v>3.1713207480369392</v>
      </c>
      <c r="D325" s="211"/>
      <c r="E325" s="212"/>
      <c r="F325" s="212"/>
      <c r="G325" s="212"/>
      <c r="H325" s="213"/>
    </row>
    <row r="326" spans="1:8">
      <c r="A326" s="181" t="s">
        <v>109</v>
      </c>
      <c r="B326" s="209">
        <v>0</v>
      </c>
      <c r="C326" s="209">
        <v>4.2992261392949267E-2</v>
      </c>
      <c r="D326" s="211"/>
      <c r="E326" s="212"/>
      <c r="F326" s="212"/>
      <c r="G326" s="212"/>
      <c r="H326" s="213"/>
    </row>
    <row r="327" spans="1:8">
      <c r="A327" s="181" t="s">
        <v>104</v>
      </c>
      <c r="B327" s="209">
        <v>0</v>
      </c>
      <c r="C327" s="209">
        <v>2.340653645547921</v>
      </c>
      <c r="D327" s="211"/>
      <c r="E327" s="212"/>
      <c r="F327" s="212"/>
      <c r="G327" s="212"/>
      <c r="H327" s="213"/>
    </row>
    <row r="328" spans="1:8">
      <c r="A328" s="181"/>
      <c r="B328" s="182"/>
      <c r="C328" s="244"/>
      <c r="D328" s="211"/>
      <c r="E328" s="212"/>
      <c r="F328" s="212"/>
      <c r="G328" s="212"/>
      <c r="H328" s="213"/>
    </row>
    <row r="329" spans="1:8">
      <c r="A329" s="263" t="s">
        <v>190</v>
      </c>
      <c r="B329" s="182">
        <v>0.67330000000000001</v>
      </c>
      <c r="C329" s="182">
        <v>0.64480174357798292</v>
      </c>
      <c r="D329" s="211">
        <v>2.0273786312048125E-2</v>
      </c>
      <c r="E329" s="212">
        <v>1.1447699192846272E-2</v>
      </c>
      <c r="F329" s="212">
        <v>-6.573778312624845E-3</v>
      </c>
      <c r="G329" s="212">
        <v>-1.3546467813731922E-2</v>
      </c>
      <c r="H329" s="213">
        <v>-1.4890714964200025E-2</v>
      </c>
    </row>
    <row r="330" spans="1:8">
      <c r="A330" s="181" t="s">
        <v>177</v>
      </c>
      <c r="B330" s="209">
        <v>0</v>
      </c>
      <c r="C330" s="209">
        <v>0</v>
      </c>
      <c r="D330" s="211"/>
      <c r="E330" s="212"/>
      <c r="F330" s="212"/>
      <c r="G330" s="212"/>
      <c r="H330" s="213"/>
    </row>
    <row r="331" spans="1:8">
      <c r="A331" s="181" t="s">
        <v>178</v>
      </c>
      <c r="B331" s="253">
        <v>0.67330000000000001</v>
      </c>
      <c r="C331" s="209">
        <v>0.2179750401132351</v>
      </c>
      <c r="D331" s="211">
        <v>1.8895344811516779E-2</v>
      </c>
      <c r="E331" s="212">
        <v>7.2028750151427179E-3</v>
      </c>
      <c r="F331" s="212">
        <v>-1.2375747645057444E-2</v>
      </c>
      <c r="G331" s="212">
        <v>-2.0690154917806236E-2</v>
      </c>
      <c r="H331" s="213">
        <v>-6.1886213821090941E-2</v>
      </c>
    </row>
    <row r="332" spans="1:8">
      <c r="A332" s="181" t="s">
        <v>180</v>
      </c>
      <c r="B332" s="209">
        <v>0</v>
      </c>
      <c r="C332" s="209">
        <v>0</v>
      </c>
      <c r="D332" s="211"/>
      <c r="E332" s="212"/>
      <c r="F332" s="212"/>
      <c r="G332" s="212"/>
      <c r="H332" s="213"/>
    </row>
    <row r="333" spans="1:8">
      <c r="A333" s="181" t="s">
        <v>181</v>
      </c>
      <c r="B333" s="209">
        <v>0</v>
      </c>
      <c r="C333" s="209">
        <v>0.28712973343938736</v>
      </c>
      <c r="D333" s="211"/>
      <c r="E333" s="212">
        <v>0.1480817000629886</v>
      </c>
      <c r="F333" s="212">
        <v>7.959882378385208E-2</v>
      </c>
      <c r="G333" s="212">
        <v>4.2453978710176532E-2</v>
      </c>
      <c r="H333" s="213">
        <v>7.6464960445029595E-2</v>
      </c>
    </row>
    <row r="334" spans="1:8">
      <c r="A334" s="181" t="s">
        <v>109</v>
      </c>
      <c r="B334" s="209">
        <v>0</v>
      </c>
      <c r="C334" s="209">
        <v>0</v>
      </c>
      <c r="D334" s="211"/>
      <c r="E334" s="212"/>
      <c r="F334" s="212"/>
      <c r="G334" s="212"/>
      <c r="H334" s="213"/>
    </row>
    <row r="335" spans="1:8">
      <c r="A335" s="181" t="s">
        <v>104</v>
      </c>
      <c r="B335" s="209">
        <v>0</v>
      </c>
      <c r="C335" s="209">
        <v>0.13969697002536055</v>
      </c>
      <c r="D335" s="211"/>
      <c r="E335" s="212"/>
      <c r="F335" s="212"/>
      <c r="G335" s="212"/>
      <c r="H335" s="213"/>
    </row>
    <row r="336" spans="1:8">
      <c r="A336" s="181"/>
      <c r="B336" s="182"/>
      <c r="C336" s="244"/>
      <c r="D336" s="211"/>
      <c r="E336" s="212"/>
      <c r="F336" s="212"/>
      <c r="G336" s="212"/>
      <c r="H336" s="213"/>
    </row>
    <row r="337" spans="1:8">
      <c r="A337" s="263" t="s">
        <v>191</v>
      </c>
      <c r="B337" s="253">
        <v>0.342999993</v>
      </c>
      <c r="C337" s="253">
        <v>0.28881688301874892</v>
      </c>
      <c r="D337" s="211">
        <v>3.3865411086703379E-2</v>
      </c>
      <c r="E337" s="212">
        <v>-1.4380909674792552E-2</v>
      </c>
      <c r="F337" s="212">
        <v>-1.5495619379813697E-2</v>
      </c>
      <c r="G337" s="212">
        <v>-1.6797767177459955E-2</v>
      </c>
      <c r="H337" s="213">
        <v>-2.1578437916988991E-2</v>
      </c>
    </row>
    <row r="338" spans="1:8">
      <c r="A338" s="181" t="s">
        <v>192</v>
      </c>
      <c r="B338" s="253">
        <v>0.342999993</v>
      </c>
      <c r="C338" s="253">
        <v>0</v>
      </c>
      <c r="D338" s="211"/>
      <c r="E338" s="212"/>
      <c r="F338" s="212"/>
      <c r="G338" s="212"/>
      <c r="H338" s="213"/>
    </row>
    <row r="339" spans="1:8">
      <c r="A339" s="181" t="s">
        <v>104</v>
      </c>
      <c r="B339" s="253">
        <v>0</v>
      </c>
      <c r="C339" s="253">
        <v>0.28881688301874892</v>
      </c>
      <c r="D339" s="211"/>
      <c r="E339" s="212"/>
      <c r="F339" s="212"/>
      <c r="G339" s="212"/>
      <c r="H339" s="213"/>
    </row>
    <row r="340" spans="1:8">
      <c r="A340" s="181"/>
      <c r="B340" s="182"/>
      <c r="C340" s="244"/>
      <c r="D340" s="211"/>
      <c r="E340" s="212"/>
      <c r="F340" s="212"/>
      <c r="G340" s="212"/>
      <c r="H340" s="213"/>
    </row>
    <row r="341" spans="1:8" ht="15.75" thickBot="1">
      <c r="A341" s="241" t="s">
        <v>193</v>
      </c>
      <c r="B341" s="226">
        <v>39.905836568061453</v>
      </c>
      <c r="C341" s="226">
        <v>13.822431129824748</v>
      </c>
      <c r="D341" s="217">
        <v>-1.0591228097824867E-3</v>
      </c>
      <c r="E341" s="218">
        <v>-4.6044738636766835E-3</v>
      </c>
      <c r="F341" s="218">
        <v>-1.9831245959978649E-2</v>
      </c>
      <c r="G341" s="218">
        <v>-2.358165916746735E-2</v>
      </c>
      <c r="H341" s="219">
        <v>-3.929633997209192E-2</v>
      </c>
    </row>
    <row r="342" spans="1:8">
      <c r="A342" s="195"/>
      <c r="B342" s="276"/>
    </row>
    <row r="343" spans="1:8">
      <c r="A343" s="278"/>
      <c r="B343" s="276"/>
    </row>
    <row r="344" spans="1:8" ht="16.5" thickBot="1">
      <c r="A344" s="91" t="s">
        <v>194</v>
      </c>
      <c r="B344" s="277"/>
      <c r="C344" s="80"/>
      <c r="D344" s="80"/>
      <c r="E344" s="80"/>
      <c r="F344" s="80"/>
      <c r="G344" s="80"/>
      <c r="H344" s="80"/>
    </row>
    <row r="345" spans="1:8" ht="15.75" thickBot="1">
      <c r="A345" s="177"/>
      <c r="B345" s="178">
        <v>2000</v>
      </c>
      <c r="C345" s="178">
        <v>2050</v>
      </c>
      <c r="D345" s="197" t="s">
        <v>98</v>
      </c>
      <c r="E345" s="198" t="s">
        <v>99</v>
      </c>
      <c r="F345" s="198" t="s">
        <v>100</v>
      </c>
      <c r="G345" s="198" t="s">
        <v>101</v>
      </c>
      <c r="H345" s="199" t="s">
        <v>102</v>
      </c>
    </row>
    <row r="346" spans="1:8">
      <c r="A346" s="279" t="s">
        <v>195</v>
      </c>
      <c r="B346" s="280">
        <v>29.760983773998959</v>
      </c>
      <c r="C346" s="281">
        <v>41.278678652849216</v>
      </c>
      <c r="D346" s="203">
        <v>9.2768512208549758E-3</v>
      </c>
      <c r="E346" s="204">
        <v>2.9551187070533391E-3</v>
      </c>
      <c r="F346" s="204">
        <v>5.2092614552610161E-3</v>
      </c>
      <c r="G346" s="204">
        <v>4.6329313905344449E-3</v>
      </c>
      <c r="H346" s="205">
        <v>6.2591518631291976E-3</v>
      </c>
    </row>
    <row r="347" spans="1:8" ht="15.75" thickBot="1">
      <c r="A347" s="190" t="s">
        <v>196</v>
      </c>
      <c r="B347" s="282">
        <v>2.4457815549611052E-2</v>
      </c>
      <c r="C347" s="283">
        <v>4.6216559616605512E-3</v>
      </c>
      <c r="D347" s="217">
        <v>-1.2768442303100258E-2</v>
      </c>
      <c r="E347" s="218">
        <v>-1.9735527037358369E-2</v>
      </c>
      <c r="F347" s="218">
        <v>-3.0677546546349133E-2</v>
      </c>
      <c r="G347" s="218">
        <v>-3.4815820067358616E-2</v>
      </c>
      <c r="H347" s="219">
        <v>-5.0709154984180382E-2</v>
      </c>
    </row>
    <row r="348" spans="1:8">
      <c r="A348" s="238"/>
      <c r="B348" s="276"/>
    </row>
    <row r="349" spans="1:8" ht="15.75">
      <c r="A349" s="284"/>
    </row>
    <row r="350" spans="1:8" ht="21">
      <c r="A350" s="78" t="s">
        <v>197</v>
      </c>
      <c r="B350" s="73"/>
      <c r="C350" s="239"/>
      <c r="D350" s="239"/>
      <c r="E350" s="239"/>
      <c r="F350" s="239"/>
      <c r="G350" s="239"/>
      <c r="H350" s="239"/>
    </row>
    <row r="352" spans="1:8" ht="16.5" thickBot="1">
      <c r="A352" s="91" t="s">
        <v>198</v>
      </c>
      <c r="B352" s="80"/>
      <c r="C352" s="80"/>
      <c r="D352" s="80"/>
      <c r="E352" s="80"/>
      <c r="F352" s="80"/>
      <c r="G352" s="80"/>
      <c r="H352" s="80"/>
    </row>
    <row r="353" spans="1:8" ht="15.75" thickBot="1">
      <c r="A353" s="235" t="s">
        <v>51</v>
      </c>
      <c r="B353" s="178">
        <v>2000</v>
      </c>
      <c r="C353" s="178">
        <v>2050</v>
      </c>
      <c r="D353" s="197" t="s">
        <v>98</v>
      </c>
      <c r="E353" s="198" t="s">
        <v>99</v>
      </c>
      <c r="F353" s="198" t="s">
        <v>100</v>
      </c>
      <c r="G353" s="198" t="s">
        <v>101</v>
      </c>
      <c r="H353" s="199" t="s">
        <v>102</v>
      </c>
    </row>
    <row r="354" spans="1:8">
      <c r="A354" s="181" t="s">
        <v>103</v>
      </c>
      <c r="B354" s="209">
        <v>3.48</v>
      </c>
      <c r="C354" s="209">
        <v>0.21812059733714201</v>
      </c>
      <c r="D354" s="203">
        <v>-2.1192749945424527E-3</v>
      </c>
      <c r="E354" s="204">
        <v>-2.1515527030530501E-2</v>
      </c>
      <c r="F354" s="204">
        <v>-2.6034696614973707E-2</v>
      </c>
      <c r="G354" s="204">
        <v>-2.8935379084694013E-2</v>
      </c>
      <c r="H354" s="205">
        <v>-0.1108797382107628</v>
      </c>
    </row>
    <row r="355" spans="1:8">
      <c r="A355" s="181" t="s">
        <v>54</v>
      </c>
      <c r="B355" s="209">
        <v>0.29509000000000002</v>
      </c>
      <c r="C355" s="209">
        <v>0.69442453716561003</v>
      </c>
      <c r="D355" s="211">
        <v>-2.5471521119387774E-2</v>
      </c>
      <c r="E355" s="212">
        <v>0.1151404629217756</v>
      </c>
      <c r="F355" s="212">
        <v>3.4791119493878142E-2</v>
      </c>
      <c r="G355" s="212">
        <v>3.1007772048435189E-2</v>
      </c>
      <c r="H355" s="213">
        <v>1.8888300141020276E-2</v>
      </c>
    </row>
    <row r="356" spans="1:8">
      <c r="A356" s="181" t="s">
        <v>42</v>
      </c>
      <c r="B356" s="209">
        <v>0</v>
      </c>
      <c r="C356" s="209">
        <v>0</v>
      </c>
      <c r="D356" s="211"/>
      <c r="E356" s="212"/>
      <c r="F356" s="212"/>
      <c r="G356" s="212"/>
      <c r="H356" s="213"/>
    </row>
    <row r="357" spans="1:8">
      <c r="A357" s="181" t="s">
        <v>104</v>
      </c>
      <c r="B357" s="209">
        <v>0.51178999999999997</v>
      </c>
      <c r="C357" s="209">
        <v>0.708817452060579</v>
      </c>
      <c r="D357" s="211">
        <v>2.5486351829053122E-2</v>
      </c>
      <c r="E357" s="212">
        <v>8.1672110616808347E-3</v>
      </c>
      <c r="F357" s="212">
        <v>-1.2068663444770866E-2</v>
      </c>
      <c r="G357" s="212">
        <v>1.1735100919725738E-2</v>
      </c>
      <c r="H357" s="213">
        <v>-4.4956091372805318E-3</v>
      </c>
    </row>
    <row r="358" spans="1:8">
      <c r="A358" s="181" t="s">
        <v>105</v>
      </c>
      <c r="B358" s="209">
        <v>0</v>
      </c>
      <c r="C358" s="209">
        <v>0</v>
      </c>
      <c r="D358" s="211"/>
      <c r="E358" s="212"/>
      <c r="F358" s="212"/>
      <c r="G358" s="212"/>
      <c r="H358" s="213"/>
    </row>
    <row r="359" spans="1:8">
      <c r="A359" s="181" t="s">
        <v>134</v>
      </c>
      <c r="B359" s="209">
        <v>7.0879999999999999E-2</v>
      </c>
      <c r="C359" s="209">
        <v>0.21917958954438899</v>
      </c>
      <c r="D359" s="211">
        <v>5.554891447930288E-2</v>
      </c>
      <c r="E359" s="212">
        <v>1.6150995791948342E-2</v>
      </c>
      <c r="F359" s="212">
        <v>1.9184102850383855E-2</v>
      </c>
      <c r="G359" s="212">
        <v>4.679584744416565E-2</v>
      </c>
      <c r="H359" s="213">
        <v>-4.2809235424272618E-3</v>
      </c>
    </row>
    <row r="360" spans="1:8">
      <c r="A360" s="181" t="s">
        <v>136</v>
      </c>
      <c r="B360" s="209">
        <v>0</v>
      </c>
      <c r="C360" s="209">
        <v>0.44138721696761302</v>
      </c>
      <c r="D360" s="211"/>
      <c r="E360" s="212"/>
      <c r="F360" s="212"/>
      <c r="G360" s="212"/>
      <c r="H360" s="213"/>
    </row>
    <row r="361" spans="1:8">
      <c r="A361" s="181"/>
      <c r="B361" s="182"/>
      <c r="C361" s="182"/>
      <c r="D361" s="211"/>
      <c r="E361" s="212"/>
      <c r="F361" s="212"/>
      <c r="G361" s="212"/>
      <c r="H361" s="213"/>
    </row>
    <row r="362" spans="1:8" ht="15.75" thickBot="1">
      <c r="A362" s="190" t="s">
        <v>10</v>
      </c>
      <c r="B362" s="226">
        <v>4.3577599999999999</v>
      </c>
      <c r="C362" s="226">
        <v>2.281929393075333</v>
      </c>
      <c r="D362" s="217">
        <v>1.8400208256650341E-3</v>
      </c>
      <c r="E362" s="218">
        <v>-7.2536715970948906E-3</v>
      </c>
      <c r="F362" s="218">
        <v>-1.3693957837460968E-2</v>
      </c>
      <c r="G362" s="218">
        <v>-7.6278491989812958E-3</v>
      </c>
      <c r="H362" s="219">
        <v>-2.6194945385892621E-2</v>
      </c>
    </row>
    <row r="363" spans="1:8" ht="15.75">
      <c r="A363" s="284"/>
    </row>
    <row r="364" spans="1:8" ht="15.75">
      <c r="A364" s="284"/>
    </row>
    <row r="365" spans="1:8" ht="21">
      <c r="A365" s="78" t="s">
        <v>199</v>
      </c>
      <c r="B365" s="73"/>
      <c r="C365" s="239"/>
      <c r="D365" s="239"/>
      <c r="E365" s="239"/>
      <c r="F365" s="239"/>
      <c r="G365" s="239"/>
      <c r="H365" s="239"/>
    </row>
    <row r="367" spans="1:8" ht="16.5" thickBot="1">
      <c r="A367" s="91" t="s">
        <v>200</v>
      </c>
      <c r="B367" s="80"/>
      <c r="C367" s="80"/>
      <c r="D367" s="80"/>
      <c r="E367" s="80"/>
      <c r="F367" s="80"/>
      <c r="G367" s="80"/>
      <c r="H367" s="80"/>
    </row>
    <row r="368" spans="1:8" ht="15.75" thickBot="1">
      <c r="A368" s="235" t="s">
        <v>51</v>
      </c>
      <c r="B368" s="178">
        <v>2000</v>
      </c>
      <c r="C368" s="178">
        <v>2050</v>
      </c>
      <c r="D368" s="197" t="s">
        <v>98</v>
      </c>
      <c r="E368" s="198" t="s">
        <v>99</v>
      </c>
      <c r="F368" s="198" t="s">
        <v>100</v>
      </c>
      <c r="G368" s="198" t="s">
        <v>101</v>
      </c>
      <c r="H368" s="199" t="s">
        <v>102</v>
      </c>
    </row>
    <row r="369" spans="1:9">
      <c r="A369" s="181" t="s">
        <v>103</v>
      </c>
      <c r="B369" s="209">
        <v>22.800202114011181</v>
      </c>
      <c r="C369" s="209">
        <v>0.56322748731722927</v>
      </c>
      <c r="D369" s="203">
        <v>-2.4663538264336649E-2</v>
      </c>
      <c r="E369" s="204">
        <v>-3.7890281959203409E-2</v>
      </c>
      <c r="F369" s="204">
        <v>-5.7928574077792616E-2</v>
      </c>
      <c r="G369" s="204">
        <v>-9.6234215255071476E-2</v>
      </c>
      <c r="H369" s="205">
        <v>-0.10991736125585239</v>
      </c>
    </row>
    <row r="370" spans="1:9">
      <c r="A370" s="181" t="s">
        <v>201</v>
      </c>
      <c r="B370" s="209">
        <v>42.525236267061452</v>
      </c>
      <c r="C370" s="209">
        <v>4.9695590114814445</v>
      </c>
      <c r="D370" s="211"/>
      <c r="E370" s="212"/>
      <c r="F370" s="212"/>
      <c r="G370" s="212"/>
      <c r="H370" s="213"/>
    </row>
    <row r="371" spans="1:9">
      <c r="A371" s="181" t="s">
        <v>202</v>
      </c>
      <c r="B371" s="182">
        <v>32.847868625078455</v>
      </c>
      <c r="C371" s="182">
        <v>7.1296876763004962</v>
      </c>
      <c r="D371" s="211">
        <v>-3.5564265792484839E-3</v>
      </c>
      <c r="E371" s="212">
        <v>-6.2689883644609923E-3</v>
      </c>
      <c r="F371" s="212">
        <v>-2.1515190497548575E-2</v>
      </c>
      <c r="G371" s="212">
        <v>-2.9859655615526393E-2</v>
      </c>
      <c r="H371" s="213">
        <v>-5.740689525726772E-2</v>
      </c>
    </row>
    <row r="372" spans="1:9">
      <c r="A372" s="181" t="s">
        <v>203</v>
      </c>
      <c r="B372" s="182">
        <v>0</v>
      </c>
      <c r="C372" s="182">
        <v>3.6028639370370201</v>
      </c>
      <c r="D372" s="211"/>
      <c r="E372" s="212"/>
      <c r="F372" s="212"/>
      <c r="G372" s="212"/>
      <c r="H372" s="213"/>
    </row>
    <row r="373" spans="1:9">
      <c r="A373" s="181" t="s">
        <v>42</v>
      </c>
      <c r="B373" s="182">
        <v>6.7202903804985699</v>
      </c>
      <c r="C373" s="182">
        <v>0.74476022441954859</v>
      </c>
      <c r="D373" s="211">
        <v>-2.6318420143024879E-2</v>
      </c>
      <c r="E373" s="212">
        <v>-5.920682005832234E-2</v>
      </c>
      <c r="F373" s="212">
        <v>-5.1963528653960478E-2</v>
      </c>
      <c r="G373" s="212">
        <v>-3.3832174138232918E-2</v>
      </c>
      <c r="H373" s="213">
        <v>-5.1416072065252116E-2</v>
      </c>
    </row>
    <row r="374" spans="1:9">
      <c r="A374" s="181" t="s">
        <v>104</v>
      </c>
      <c r="B374" s="182">
        <v>32.608098341652791</v>
      </c>
      <c r="C374" s="182">
        <v>45.016078268538166</v>
      </c>
      <c r="D374" s="211">
        <v>9.1907997532998387E-3</v>
      </c>
      <c r="E374" s="212">
        <v>2.3184906988826803E-4</v>
      </c>
      <c r="F374" s="212">
        <v>-2.2883971074457721E-3</v>
      </c>
      <c r="G374" s="212">
        <v>-1.5952599823521041E-3</v>
      </c>
      <c r="H374" s="213">
        <v>1.0227213217079756E-2</v>
      </c>
    </row>
    <row r="375" spans="1:9">
      <c r="A375" s="181" t="s">
        <v>105</v>
      </c>
      <c r="B375" s="182">
        <v>3.6136280543802326</v>
      </c>
      <c r="C375" s="182">
        <v>4.2797913311968934</v>
      </c>
      <c r="D375" s="211">
        <v>1.0317444304028811E-3</v>
      </c>
      <c r="E375" s="212">
        <v>7.7748522900427108E-3</v>
      </c>
      <c r="F375" s="212">
        <v>1.9818509083845637E-2</v>
      </c>
      <c r="G375" s="212">
        <v>1.3194424429338492E-2</v>
      </c>
      <c r="H375" s="213">
        <v>-2.430252115850462E-3</v>
      </c>
      <c r="I375" s="285"/>
    </row>
    <row r="376" spans="1:9">
      <c r="A376" s="181" t="s">
        <v>106</v>
      </c>
      <c r="B376" s="209">
        <v>8.2636079446488786</v>
      </c>
      <c r="C376" s="209">
        <v>6.2547065010281511</v>
      </c>
      <c r="D376" s="211">
        <v>-1.5285416543815544E-2</v>
      </c>
      <c r="E376" s="212">
        <v>2.6612089801718586E-2</v>
      </c>
      <c r="F376" s="212">
        <v>1.8412284594735873E-2</v>
      </c>
      <c r="G376" s="212">
        <v>2.5390623734395268E-2</v>
      </c>
      <c r="H376" s="213">
        <v>-1.9575291367223024E-2</v>
      </c>
      <c r="I376" s="285"/>
    </row>
    <row r="377" spans="1:9">
      <c r="A377" s="181" t="s">
        <v>135</v>
      </c>
      <c r="B377" s="209">
        <v>2.0606803808999999E-2</v>
      </c>
      <c r="C377" s="209">
        <v>0.7545784485628344</v>
      </c>
      <c r="D377" s="211"/>
      <c r="E377" s="212"/>
      <c r="F377" s="212"/>
      <c r="G377" s="212"/>
      <c r="H377" s="213"/>
      <c r="I377" s="285"/>
    </row>
    <row r="378" spans="1:9">
      <c r="A378" s="181" t="s">
        <v>136</v>
      </c>
      <c r="B378" s="209">
        <v>0</v>
      </c>
      <c r="C378" s="209">
        <v>5.6245793298238835</v>
      </c>
      <c r="D378" s="211"/>
      <c r="E378" s="212"/>
      <c r="F378" s="212"/>
      <c r="G378" s="212"/>
      <c r="H378" s="213"/>
      <c r="I378" s="285"/>
    </row>
    <row r="379" spans="1:9">
      <c r="A379" s="181" t="s">
        <v>109</v>
      </c>
      <c r="B379" s="209">
        <v>0</v>
      </c>
      <c r="C379" s="209">
        <v>8.5984522785898534E-2</v>
      </c>
      <c r="D379" s="211"/>
      <c r="E379" s="212"/>
      <c r="F379" s="212"/>
      <c r="G379" s="212"/>
      <c r="H379" s="213"/>
      <c r="I379" s="285"/>
    </row>
    <row r="380" spans="1:9">
      <c r="A380" s="181"/>
      <c r="B380" s="182"/>
      <c r="C380" s="182"/>
      <c r="D380" s="211"/>
      <c r="E380" s="212"/>
      <c r="F380" s="212"/>
      <c r="G380" s="212"/>
      <c r="H380" s="213"/>
      <c r="I380" s="285"/>
    </row>
    <row r="381" spans="1:9" ht="15.75" thickBot="1">
      <c r="A381" s="190" t="s">
        <v>10</v>
      </c>
      <c r="B381" s="226">
        <v>149.39953853114051</v>
      </c>
      <c r="C381" s="226">
        <v>79.025816738491571</v>
      </c>
      <c r="D381" s="217">
        <v>-3.5825120954279255E-3</v>
      </c>
      <c r="E381" s="218">
        <v>-6.0857999820592701E-3</v>
      </c>
      <c r="F381" s="218">
        <v>-1.5007246590185708E-2</v>
      </c>
      <c r="G381" s="218">
        <v>-1.7696175741339082E-2</v>
      </c>
      <c r="H381" s="219">
        <v>-1.919416792153894E-2</v>
      </c>
    </row>
    <row r="382" spans="1:9">
      <c r="A382" s="286"/>
      <c r="C382" s="287"/>
      <c r="D382" s="287"/>
    </row>
    <row r="383" spans="1:9">
      <c r="A383" s="288"/>
      <c r="C383" s="287"/>
      <c r="D383" s="287"/>
    </row>
    <row r="384" spans="1:9" ht="16.5" thickBot="1">
      <c r="A384" s="91" t="s">
        <v>204</v>
      </c>
      <c r="B384" s="80"/>
      <c r="C384" s="80"/>
      <c r="D384" s="80"/>
      <c r="E384" s="80"/>
      <c r="F384" s="80"/>
      <c r="G384" s="80"/>
      <c r="H384" s="80"/>
    </row>
    <row r="385" spans="1:8" ht="15.75" thickBot="1">
      <c r="A385" s="235" t="s">
        <v>51</v>
      </c>
      <c r="B385" s="178">
        <v>2000</v>
      </c>
      <c r="C385" s="178">
        <v>2050</v>
      </c>
      <c r="D385" s="197" t="s">
        <v>98</v>
      </c>
      <c r="E385" s="198" t="s">
        <v>99</v>
      </c>
      <c r="F385" s="198" t="s">
        <v>100</v>
      </c>
      <c r="G385" s="198" t="s">
        <v>101</v>
      </c>
      <c r="H385" s="199" t="s">
        <v>102</v>
      </c>
    </row>
    <row r="386" spans="1:8">
      <c r="A386" s="289" t="s">
        <v>78</v>
      </c>
      <c r="B386" s="182">
        <v>38.915922087477441</v>
      </c>
      <c r="C386" s="182">
        <v>22.436954513361478</v>
      </c>
      <c r="D386" s="203">
        <v>-1.3273030719028855E-2</v>
      </c>
      <c r="E386" s="204">
        <v>-3.4098804545312777E-3</v>
      </c>
      <c r="F386" s="204">
        <v>-1.0923722377949918E-2</v>
      </c>
      <c r="G386" s="204">
        <v>-1.484762675992457E-2</v>
      </c>
      <c r="H386" s="205">
        <v>-1.0122078981262161E-2</v>
      </c>
    </row>
    <row r="387" spans="1:8">
      <c r="A387" s="289" t="s">
        <v>80</v>
      </c>
      <c r="B387" s="182">
        <v>42.776692372461667</v>
      </c>
      <c r="C387" s="182">
        <v>23.664254021098639</v>
      </c>
      <c r="D387" s="211">
        <v>-2.7444237679368211E-3</v>
      </c>
      <c r="E387" s="212">
        <v>-9.437605874686672E-3</v>
      </c>
      <c r="F387" s="212">
        <v>-1.4728075072347302E-2</v>
      </c>
      <c r="G387" s="212">
        <v>-1.6710065541940655E-2</v>
      </c>
      <c r="H387" s="213">
        <v>-1.7099532918173233E-2</v>
      </c>
    </row>
    <row r="388" spans="1:8">
      <c r="A388" s="289" t="s">
        <v>81</v>
      </c>
      <c r="B388" s="182">
        <v>20.017227804139996</v>
      </c>
      <c r="C388" s="182">
        <v>13.85971890133378</v>
      </c>
      <c r="D388" s="211">
        <v>6.1939804284143474E-3</v>
      </c>
      <c r="E388" s="212">
        <v>-7.459120426147603E-3</v>
      </c>
      <c r="F388" s="212">
        <v>-1.5922008030237689E-2</v>
      </c>
      <c r="G388" s="212">
        <v>-1.9082816168849881E-2</v>
      </c>
      <c r="H388" s="213">
        <v>-1.2234912067208059E-2</v>
      </c>
    </row>
    <row r="389" spans="1:8">
      <c r="A389" s="289" t="s">
        <v>82</v>
      </c>
      <c r="B389" s="182">
        <v>4.3577599999999999</v>
      </c>
      <c r="C389" s="182">
        <v>2.281929393075333</v>
      </c>
      <c r="D389" s="211">
        <v>1.8400208256650341E-3</v>
      </c>
      <c r="E389" s="212">
        <v>-7.2536715970948906E-3</v>
      </c>
      <c r="F389" s="212">
        <v>-1.3693957837460968E-2</v>
      </c>
      <c r="G389" s="212">
        <v>-7.6278491989812958E-3</v>
      </c>
      <c r="H389" s="213">
        <v>-2.6194945385892621E-2</v>
      </c>
    </row>
    <row r="390" spans="1:8">
      <c r="A390" s="289" t="s">
        <v>79</v>
      </c>
      <c r="B390" s="182">
        <v>43.331936267061451</v>
      </c>
      <c r="C390" s="182">
        <v>16.782959909622335</v>
      </c>
      <c r="D390" s="211">
        <v>-1.7114473081362158E-3</v>
      </c>
      <c r="E390" s="212">
        <v>-4.0512974285620285E-3</v>
      </c>
      <c r="F390" s="212">
        <v>-1.8076355074965966E-2</v>
      </c>
      <c r="G390" s="212">
        <v>-2.1303243667912808E-2</v>
      </c>
      <c r="H390" s="213">
        <v>-3.4571210691747067E-2</v>
      </c>
    </row>
    <row r="391" spans="1:8">
      <c r="A391" s="289"/>
      <c r="B391" s="182"/>
      <c r="C391" s="182"/>
      <c r="D391" s="211"/>
      <c r="E391" s="212"/>
      <c r="F391" s="212"/>
      <c r="G391" s="212"/>
      <c r="H391" s="213"/>
    </row>
    <row r="392" spans="1:8" ht="15.75" thickBot="1">
      <c r="A392" s="290" t="s">
        <v>10</v>
      </c>
      <c r="B392" s="226">
        <v>149.39953853114054</v>
      </c>
      <c r="C392" s="226">
        <v>79.025816738491557</v>
      </c>
      <c r="D392" s="217">
        <v>-3.5825120954279255E-3</v>
      </c>
      <c r="E392" s="218">
        <v>-6.0857999820591591E-3</v>
      </c>
      <c r="F392" s="218">
        <v>-1.5007246590185708E-2</v>
      </c>
      <c r="G392" s="218">
        <v>-1.7696175741339082E-2</v>
      </c>
      <c r="H392" s="219">
        <v>-1.919416792153894E-2</v>
      </c>
    </row>
    <row r="393" spans="1:8" ht="15.75">
      <c r="A393" s="284"/>
    </row>
    <row r="394" spans="1:8" ht="15.75">
      <c r="A394" s="284"/>
    </row>
    <row r="395" spans="1:8" ht="16.5" thickBot="1">
      <c r="A395" s="91" t="s">
        <v>205</v>
      </c>
      <c r="B395" s="277"/>
      <c r="C395" s="80"/>
      <c r="D395" s="80"/>
      <c r="E395" s="80"/>
      <c r="F395" s="80"/>
      <c r="G395" s="80"/>
      <c r="H395" s="80"/>
    </row>
    <row r="396" spans="1:8" ht="15.75" thickBot="1">
      <c r="A396" s="177"/>
      <c r="B396" s="178">
        <v>2000</v>
      </c>
      <c r="C396" s="178">
        <v>2050</v>
      </c>
      <c r="D396" s="197" t="s">
        <v>98</v>
      </c>
      <c r="E396" s="198" t="s">
        <v>99</v>
      </c>
      <c r="F396" s="198" t="s">
        <v>100</v>
      </c>
      <c r="G396" s="198" t="s">
        <v>101</v>
      </c>
      <c r="H396" s="199" t="s">
        <v>102</v>
      </c>
    </row>
    <row r="397" spans="1:8">
      <c r="A397" s="181" t="s">
        <v>196</v>
      </c>
      <c r="B397" s="291">
        <v>8.4325480727922203E-2</v>
      </c>
      <c r="C397" s="291">
        <v>2.1761962074707864E-2</v>
      </c>
      <c r="D397" s="211">
        <v>-1.4618783268674718E-2</v>
      </c>
      <c r="E397" s="212">
        <v>-2.1737990184502287E-2</v>
      </c>
      <c r="F397" s="212">
        <v>-2.764782444752989E-2</v>
      </c>
      <c r="G397" s="212">
        <v>-3.1258553859877525E-2</v>
      </c>
      <c r="H397" s="213">
        <v>-3.5589152259137946E-2</v>
      </c>
    </row>
    <row r="398" spans="1:8">
      <c r="A398" s="181" t="s">
        <v>206</v>
      </c>
      <c r="B398" s="268">
        <v>214.04976557185552</v>
      </c>
      <c r="C398" s="268">
        <v>144.17050777866757</v>
      </c>
      <c r="D398" s="211">
        <v>-1.98694799483079E-3</v>
      </c>
      <c r="E398" s="212">
        <v>-1.5519831656577554E-2</v>
      </c>
      <c r="F398" s="212">
        <v>-1.5092198101798626E-2</v>
      </c>
      <c r="G398" s="212">
        <v>-1.537993867855858E-2</v>
      </c>
      <c r="H398" s="213">
        <v>-6.6595739495622919E-3</v>
      </c>
    </row>
    <row r="399" spans="1:8">
      <c r="A399" s="181" t="s">
        <v>150</v>
      </c>
      <c r="B399" s="253">
        <v>2.5383047084702253</v>
      </c>
      <c r="C399" s="253">
        <v>1.1025037736349335</v>
      </c>
      <c r="D399" s="211">
        <v>-9.4269338035228856E-3</v>
      </c>
      <c r="E399" s="212">
        <v>-1.0341261228513532E-2</v>
      </c>
      <c r="F399" s="212">
        <v>-1.8638172082507065E-2</v>
      </c>
      <c r="G399" s="212">
        <v>-2.102480410428953E-2</v>
      </c>
      <c r="H399" s="213">
        <v>-2.1737622229799247E-2</v>
      </c>
    </row>
    <row r="400" spans="1:8" ht="15.75" thickBot="1">
      <c r="A400" s="190" t="s">
        <v>151</v>
      </c>
      <c r="B400" s="292">
        <v>6443.1714246733154</v>
      </c>
      <c r="C400" s="292">
        <v>7303.9613030838946</v>
      </c>
      <c r="D400" s="217">
        <v>3.2714570186680447E-3</v>
      </c>
      <c r="E400" s="218">
        <v>-4.0506613028475913E-3</v>
      </c>
      <c r="F400" s="218">
        <v>-5.9662074064421589E-3</v>
      </c>
      <c r="G400" s="218">
        <v>-4.9784478039357483E-3</v>
      </c>
      <c r="H400" s="219">
        <v>7.6074625245969862E-3</v>
      </c>
    </row>
    <row r="401" spans="1:1" ht="15.75">
      <c r="A401" s="284"/>
    </row>
    <row r="402" spans="1:1" ht="15.75">
      <c r="A402" s="284"/>
    </row>
    <row r="427" spans="2:10">
      <c r="B427" s="168"/>
      <c r="C427" s="168"/>
      <c r="D427" s="168"/>
      <c r="E427" s="168"/>
      <c r="F427" s="168"/>
      <c r="G427" s="168"/>
      <c r="H427" s="168"/>
      <c r="J427" s="293"/>
    </row>
    <row r="428" spans="2:10">
      <c r="B428" s="168"/>
      <c r="C428" s="168"/>
      <c r="D428" s="168"/>
      <c r="E428" s="168"/>
      <c r="F428" s="168"/>
      <c r="G428" s="168"/>
      <c r="H428" s="168"/>
      <c r="J428" s="207"/>
    </row>
    <row r="429" spans="2:10">
      <c r="B429" s="168"/>
      <c r="C429" s="168"/>
      <c r="D429" s="168"/>
      <c r="E429" s="168"/>
      <c r="F429" s="168"/>
      <c r="G429" s="168"/>
      <c r="H429" s="168"/>
      <c r="J429" s="206"/>
    </row>
    <row r="541" spans="2:8">
      <c r="B541" s="168"/>
      <c r="C541" s="168"/>
      <c r="D541" s="168"/>
      <c r="E541" s="168"/>
      <c r="F541" s="168"/>
      <c r="G541" s="168"/>
      <c r="H541" s="168"/>
    </row>
    <row r="542" spans="2:8">
      <c r="B542" s="168"/>
      <c r="C542" s="168"/>
      <c r="D542" s="168"/>
      <c r="E542" s="168"/>
      <c r="F542" s="168"/>
      <c r="G542" s="168"/>
      <c r="H542" s="168"/>
    </row>
    <row r="543" spans="2:8">
      <c r="B543" s="168"/>
      <c r="C543" s="168"/>
      <c r="D543" s="168"/>
      <c r="E543" s="168"/>
      <c r="F543" s="168"/>
      <c r="G543" s="168"/>
      <c r="H543" s="168"/>
    </row>
    <row r="544" spans="2:8">
      <c r="B544" s="168"/>
      <c r="C544" s="168"/>
      <c r="D544" s="168"/>
      <c r="E544" s="168"/>
      <c r="F544" s="168"/>
      <c r="G544" s="168"/>
      <c r="H544" s="168"/>
    </row>
    <row r="545" spans="2:8">
      <c r="B545" s="168"/>
      <c r="C545" s="168"/>
      <c r="D545" s="168"/>
      <c r="E545" s="168"/>
      <c r="F545" s="168"/>
      <c r="G545" s="168"/>
      <c r="H545" s="168"/>
    </row>
    <row r="546" spans="2:8">
      <c r="B546" s="168"/>
      <c r="C546" s="168"/>
      <c r="D546" s="168"/>
      <c r="E546" s="168"/>
      <c r="F546" s="168"/>
      <c r="G546" s="168"/>
      <c r="H546" s="168"/>
    </row>
    <row r="547" spans="2:8">
      <c r="B547" s="168"/>
      <c r="C547" s="168"/>
      <c r="D547" s="168"/>
      <c r="E547" s="168"/>
      <c r="F547" s="168"/>
      <c r="G547" s="168"/>
      <c r="H547" s="168"/>
    </row>
    <row r="548" spans="2:8">
      <c r="B548" s="168"/>
      <c r="C548" s="168"/>
      <c r="D548" s="168"/>
      <c r="E548" s="168"/>
      <c r="F548" s="168"/>
      <c r="G548" s="168"/>
      <c r="H548" s="168"/>
    </row>
    <row r="549" spans="2:8">
      <c r="B549" s="168"/>
      <c r="C549" s="168"/>
      <c r="D549" s="168"/>
      <c r="E549" s="168"/>
      <c r="F549" s="168"/>
      <c r="G549" s="168"/>
      <c r="H549" s="168"/>
    </row>
    <row r="550" spans="2:8">
      <c r="B550" s="168"/>
      <c r="C550" s="168"/>
      <c r="D550" s="168"/>
      <c r="E550" s="168"/>
      <c r="F550" s="168"/>
      <c r="G550" s="168"/>
      <c r="H550" s="168"/>
    </row>
    <row r="551" spans="2:8">
      <c r="B551" s="168"/>
      <c r="C551" s="168"/>
      <c r="D551" s="168"/>
      <c r="E551" s="168"/>
      <c r="F551" s="168"/>
      <c r="G551" s="168"/>
      <c r="H551" s="168"/>
    </row>
    <row r="552" spans="2:8">
      <c r="B552" s="168"/>
      <c r="C552" s="168"/>
      <c r="D552" s="168"/>
      <c r="E552" s="168"/>
      <c r="F552" s="168"/>
      <c r="G552" s="168"/>
      <c r="H552" s="168"/>
    </row>
    <row r="553" spans="2:8">
      <c r="B553" s="168"/>
      <c r="C553" s="168"/>
      <c r="D553" s="168"/>
      <c r="E553" s="168"/>
      <c r="F553" s="168"/>
      <c r="G553" s="168"/>
      <c r="H553" s="168"/>
    </row>
    <row r="554" spans="2:8">
      <c r="B554" s="168"/>
      <c r="C554" s="168"/>
      <c r="D554" s="168"/>
      <c r="E554" s="168"/>
      <c r="F554" s="168"/>
      <c r="G554" s="168"/>
      <c r="H554" s="168"/>
    </row>
    <row r="555" spans="2:8">
      <c r="B555" s="168"/>
      <c r="C555" s="168"/>
      <c r="D555" s="168"/>
      <c r="E555" s="168"/>
      <c r="F555" s="168"/>
      <c r="G555" s="168"/>
      <c r="H555" s="168"/>
    </row>
    <row r="556" spans="2:8">
      <c r="B556" s="168"/>
      <c r="C556" s="168"/>
      <c r="D556" s="168"/>
      <c r="E556" s="168"/>
      <c r="F556" s="168"/>
      <c r="G556" s="168"/>
      <c r="H556" s="168"/>
    </row>
    <row r="557" spans="2:8">
      <c r="B557" s="168"/>
      <c r="C557" s="168"/>
      <c r="D557" s="168"/>
      <c r="E557" s="168"/>
      <c r="F557" s="168"/>
      <c r="G557" s="168"/>
      <c r="H557" s="168"/>
    </row>
    <row r="558" spans="2:8">
      <c r="B558" s="168"/>
      <c r="C558" s="168"/>
      <c r="D558" s="168"/>
      <c r="E558" s="168"/>
      <c r="F558" s="168"/>
      <c r="G558" s="168"/>
      <c r="H558" s="168"/>
    </row>
    <row r="559" spans="2:8">
      <c r="B559" s="168"/>
      <c r="C559" s="168"/>
      <c r="D559" s="168"/>
      <c r="E559" s="168"/>
      <c r="F559" s="168"/>
      <c r="G559" s="168"/>
      <c r="H559" s="168"/>
    </row>
    <row r="560" spans="2:8">
      <c r="B560" s="168"/>
      <c r="C560" s="168"/>
      <c r="D560" s="168"/>
      <c r="E560" s="168"/>
      <c r="F560" s="168"/>
      <c r="G560" s="168"/>
      <c r="H560" s="168"/>
    </row>
    <row r="561" spans="1:74">
      <c r="B561" s="168"/>
      <c r="C561" s="168"/>
      <c r="D561" s="168"/>
      <c r="E561" s="168"/>
      <c r="F561" s="168"/>
      <c r="G561" s="168"/>
      <c r="H561" s="168"/>
    </row>
    <row r="562" spans="1:74">
      <c r="B562" s="168"/>
      <c r="C562" s="168"/>
      <c r="D562" s="168"/>
      <c r="E562" s="168"/>
      <c r="F562" s="168"/>
      <c r="G562" s="168"/>
      <c r="H562" s="168"/>
    </row>
    <row r="563" spans="1:74">
      <c r="B563" s="168"/>
      <c r="C563" s="168"/>
      <c r="D563" s="168"/>
      <c r="E563" s="168"/>
      <c r="F563" s="168"/>
      <c r="G563" s="168"/>
      <c r="H563" s="168"/>
    </row>
    <row r="564" spans="1:74">
      <c r="A564" s="171"/>
      <c r="B564" s="171"/>
      <c r="I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171"/>
      <c r="AT564" s="171"/>
      <c r="AU564" s="171"/>
      <c r="AV564" s="171"/>
      <c r="AW564" s="171"/>
      <c r="AX564" s="171"/>
      <c r="AY564" s="171"/>
      <c r="AZ564" s="171"/>
      <c r="BA564" s="171"/>
      <c r="BB564" s="171"/>
      <c r="BC564" s="171"/>
      <c r="BD564" s="171"/>
      <c r="BE564" s="171"/>
      <c r="BF564" s="171"/>
      <c r="BG564" s="171"/>
      <c r="BH564" s="171"/>
      <c r="BI564" s="171"/>
      <c r="BJ564" s="171"/>
      <c r="BK564" s="171"/>
      <c r="BL564" s="171"/>
      <c r="BM564" s="171"/>
      <c r="BN564" s="171"/>
      <c r="BO564" s="171"/>
      <c r="BP564" s="171"/>
      <c r="BQ564" s="171"/>
      <c r="BR564" s="171"/>
      <c r="BS564" s="171"/>
      <c r="BT564" s="171"/>
      <c r="BU564" s="171"/>
      <c r="BV564" s="171"/>
    </row>
    <row r="565" spans="1:74">
      <c r="A565" s="171"/>
      <c r="B565" s="171"/>
      <c r="I565" s="171"/>
      <c r="J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  <c r="AS565" s="171"/>
      <c r="AT565" s="171"/>
      <c r="AU565" s="171"/>
      <c r="AV565" s="171"/>
      <c r="AW565" s="171"/>
      <c r="AX565" s="171"/>
      <c r="AY565" s="171"/>
      <c r="AZ565" s="171"/>
      <c r="BA565" s="171"/>
      <c r="BB565" s="171"/>
      <c r="BC565" s="171"/>
      <c r="BD565" s="171"/>
      <c r="BE565" s="171"/>
      <c r="BF565" s="171"/>
      <c r="BG565" s="171"/>
      <c r="BH565" s="171"/>
      <c r="BI565" s="171"/>
      <c r="BJ565" s="171"/>
      <c r="BK565" s="171"/>
      <c r="BL565" s="171"/>
      <c r="BM565" s="171"/>
      <c r="BN565" s="171"/>
      <c r="BO565" s="171"/>
      <c r="BP565" s="171"/>
      <c r="BQ565" s="171"/>
      <c r="BR565" s="171"/>
      <c r="BS565" s="171"/>
      <c r="BT565" s="171"/>
      <c r="BU565" s="171"/>
      <c r="BV565" s="171"/>
    </row>
    <row r="566" spans="1:74">
      <c r="A566" s="171"/>
      <c r="B566" s="171"/>
      <c r="I566" s="171"/>
      <c r="J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  <c r="AS566" s="171"/>
      <c r="AT566" s="171"/>
      <c r="AU566" s="171"/>
      <c r="AV566" s="171"/>
      <c r="AW566" s="171"/>
      <c r="AX566" s="171"/>
      <c r="AY566" s="171"/>
      <c r="AZ566" s="171"/>
      <c r="BA566" s="171"/>
      <c r="BB566" s="171"/>
      <c r="BC566" s="171"/>
      <c r="BD566" s="171"/>
      <c r="BE566" s="171"/>
      <c r="BF566" s="171"/>
      <c r="BG566" s="171"/>
      <c r="BH566" s="171"/>
      <c r="BI566" s="171"/>
      <c r="BJ566" s="171"/>
      <c r="BK566" s="171"/>
      <c r="BL566" s="171"/>
      <c r="BM566" s="171"/>
      <c r="BN566" s="171"/>
      <c r="BO566" s="171"/>
      <c r="BP566" s="171"/>
      <c r="BQ566" s="171"/>
      <c r="BR566" s="171"/>
      <c r="BS566" s="171"/>
      <c r="BT566" s="171"/>
      <c r="BU566" s="171"/>
      <c r="BV566" s="171"/>
    </row>
    <row r="567" spans="1:74">
      <c r="A567" s="171"/>
      <c r="B567" s="171"/>
      <c r="I567" s="171"/>
      <c r="J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  <c r="AS567" s="171"/>
      <c r="AT567" s="171"/>
      <c r="AU567" s="171"/>
      <c r="AV567" s="171"/>
      <c r="AW567" s="171"/>
      <c r="AX567" s="171"/>
      <c r="AY567" s="171"/>
      <c r="AZ567" s="171"/>
      <c r="BA567" s="171"/>
      <c r="BB567" s="171"/>
      <c r="BC567" s="171"/>
      <c r="BD567" s="171"/>
      <c r="BE567" s="171"/>
      <c r="BF567" s="171"/>
      <c r="BG567" s="171"/>
      <c r="BH567" s="171"/>
      <c r="BI567" s="171"/>
      <c r="BJ567" s="171"/>
      <c r="BK567" s="171"/>
      <c r="BL567" s="171"/>
      <c r="BM567" s="171"/>
      <c r="BN567" s="171"/>
      <c r="BO567" s="171"/>
      <c r="BP567" s="171"/>
      <c r="BQ567" s="171"/>
      <c r="BR567" s="171"/>
      <c r="BS567" s="171"/>
      <c r="BT567" s="171"/>
      <c r="BU567" s="171"/>
      <c r="BV567" s="171"/>
    </row>
    <row r="568" spans="1:74">
      <c r="B568" s="168"/>
      <c r="C568" s="168"/>
      <c r="D568" s="168"/>
      <c r="E568" s="168"/>
      <c r="F568" s="168"/>
      <c r="G568" s="168"/>
      <c r="H568" s="168"/>
    </row>
    <row r="569" spans="1:74">
      <c r="A569" s="171"/>
      <c r="B569" s="171"/>
      <c r="I569" s="171"/>
      <c r="J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  <c r="AS569" s="171"/>
      <c r="AT569" s="171"/>
      <c r="AU569" s="171"/>
      <c r="AV569" s="171"/>
      <c r="AW569" s="171"/>
      <c r="AX569" s="171"/>
      <c r="AY569" s="171"/>
      <c r="AZ569" s="171"/>
      <c r="BA569" s="171"/>
      <c r="BB569" s="171"/>
      <c r="BC569" s="171"/>
      <c r="BD569" s="171"/>
      <c r="BE569" s="171"/>
      <c r="BF569" s="171"/>
      <c r="BG569" s="171"/>
      <c r="BH569" s="171"/>
      <c r="BI569" s="171"/>
      <c r="BJ569" s="171"/>
      <c r="BK569" s="171"/>
      <c r="BL569" s="171"/>
      <c r="BM569" s="171"/>
      <c r="BN569" s="171"/>
      <c r="BO569" s="171"/>
      <c r="BP569" s="171"/>
      <c r="BQ569" s="171"/>
      <c r="BR569" s="171"/>
      <c r="BS569" s="171"/>
      <c r="BT569" s="171"/>
      <c r="BU569" s="171"/>
      <c r="BV569" s="171"/>
    </row>
    <row r="570" spans="1:74">
      <c r="A570" s="171"/>
      <c r="B570" s="171"/>
      <c r="I570" s="171"/>
      <c r="J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  <c r="AS570" s="171"/>
      <c r="AT570" s="171"/>
      <c r="AU570" s="171"/>
      <c r="AV570" s="171"/>
      <c r="AW570" s="171"/>
      <c r="AX570" s="171"/>
      <c r="AY570" s="171"/>
      <c r="AZ570" s="171"/>
      <c r="BA570" s="171"/>
      <c r="BB570" s="171"/>
      <c r="BC570" s="171"/>
      <c r="BD570" s="171"/>
      <c r="BE570" s="171"/>
      <c r="BF570" s="171"/>
      <c r="BG570" s="171"/>
      <c r="BH570" s="171"/>
      <c r="BI570" s="171"/>
      <c r="BJ570" s="171"/>
      <c r="BK570" s="171"/>
      <c r="BL570" s="171"/>
      <c r="BM570" s="171"/>
      <c r="BN570" s="171"/>
      <c r="BO570" s="171"/>
      <c r="BP570" s="171"/>
      <c r="BQ570" s="171"/>
      <c r="BR570" s="171"/>
      <c r="BS570" s="171"/>
      <c r="BT570" s="171"/>
      <c r="BU570" s="171"/>
      <c r="BV570" s="171"/>
    </row>
    <row r="571" spans="1:74">
      <c r="A571" s="171"/>
      <c r="B571" s="171"/>
      <c r="I571" s="171"/>
      <c r="J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  <c r="AS571" s="171"/>
      <c r="AT571" s="171"/>
      <c r="AU571" s="171"/>
      <c r="AV571" s="171"/>
      <c r="AW571" s="171"/>
      <c r="AX571" s="171"/>
      <c r="AY571" s="171"/>
      <c r="AZ571" s="171"/>
      <c r="BA571" s="171"/>
      <c r="BB571" s="171"/>
      <c r="BC571" s="171"/>
      <c r="BD571" s="171"/>
      <c r="BE571" s="171"/>
      <c r="BF571" s="171"/>
      <c r="BG571" s="171"/>
      <c r="BH571" s="171"/>
      <c r="BI571" s="171"/>
      <c r="BJ571" s="171"/>
      <c r="BK571" s="171"/>
      <c r="BL571" s="171"/>
      <c r="BM571" s="171"/>
      <c r="BN571" s="171"/>
      <c r="BO571" s="171"/>
      <c r="BP571" s="171"/>
      <c r="BQ571" s="171"/>
      <c r="BR571" s="171"/>
      <c r="BS571" s="171"/>
      <c r="BT571" s="171"/>
      <c r="BU571" s="171"/>
      <c r="BV571" s="171"/>
    </row>
    <row r="572" spans="1:74">
      <c r="A572" s="171"/>
      <c r="B572" s="171"/>
      <c r="I572" s="171"/>
      <c r="J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  <c r="AS572" s="171"/>
      <c r="AT572" s="171"/>
      <c r="AU572" s="171"/>
      <c r="AV572" s="171"/>
      <c r="AW572" s="171"/>
      <c r="AX572" s="171"/>
      <c r="AY572" s="171"/>
      <c r="AZ572" s="171"/>
      <c r="BA572" s="171"/>
      <c r="BB572" s="171"/>
      <c r="BC572" s="171"/>
      <c r="BD572" s="171"/>
      <c r="BE572" s="171"/>
      <c r="BF572" s="171"/>
      <c r="BG572" s="171"/>
      <c r="BH572" s="171"/>
      <c r="BI572" s="171"/>
      <c r="BJ572" s="171"/>
      <c r="BK572" s="171"/>
      <c r="BL572" s="171"/>
      <c r="BM572" s="171"/>
      <c r="BN572" s="171"/>
      <c r="BO572" s="171"/>
      <c r="BP572" s="171"/>
      <c r="BQ572" s="171"/>
      <c r="BR572" s="171"/>
      <c r="BS572" s="171"/>
      <c r="BT572" s="171"/>
      <c r="BU572" s="171"/>
      <c r="BV572" s="171"/>
    </row>
    <row r="573" spans="1:74">
      <c r="A573" s="171"/>
      <c r="B573" s="171"/>
      <c r="I573" s="171"/>
      <c r="J573" s="171"/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  <c r="AS573" s="171"/>
      <c r="AT573" s="171"/>
      <c r="AU573" s="171"/>
      <c r="AV573" s="171"/>
      <c r="AW573" s="171"/>
      <c r="AX573" s="171"/>
      <c r="AY573" s="171"/>
      <c r="AZ573" s="171"/>
      <c r="BA573" s="171"/>
      <c r="BB573" s="171"/>
      <c r="BC573" s="171"/>
      <c r="BD573" s="171"/>
      <c r="BE573" s="171"/>
      <c r="BF573" s="171"/>
      <c r="BG573" s="171"/>
      <c r="BH573" s="171"/>
      <c r="BI573" s="171"/>
      <c r="BJ573" s="171"/>
      <c r="BK573" s="171"/>
      <c r="BL573" s="171"/>
      <c r="BM573" s="171"/>
      <c r="BN573" s="171"/>
      <c r="BO573" s="171"/>
      <c r="BP573" s="171"/>
      <c r="BQ573" s="171"/>
      <c r="BR573" s="171"/>
      <c r="BS573" s="171"/>
      <c r="BT573" s="171"/>
      <c r="BU573" s="171"/>
      <c r="BV573" s="171"/>
    </row>
    <row r="574" spans="1:74">
      <c r="A574" s="171"/>
      <c r="B574" s="171"/>
      <c r="I574" s="171"/>
      <c r="J574" s="171"/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171"/>
      <c r="AR574" s="171"/>
      <c r="AS574" s="171"/>
      <c r="AT574" s="171"/>
      <c r="AU574" s="171"/>
      <c r="AV574" s="171"/>
      <c r="AW574" s="171"/>
      <c r="AX574" s="171"/>
      <c r="AY574" s="171"/>
      <c r="AZ574" s="171"/>
      <c r="BA574" s="171"/>
      <c r="BB574" s="171"/>
      <c r="BC574" s="171"/>
      <c r="BD574" s="171"/>
      <c r="BE574" s="171"/>
      <c r="BF574" s="171"/>
      <c r="BG574" s="171"/>
      <c r="BH574" s="171"/>
      <c r="BI574" s="171"/>
      <c r="BJ574" s="171"/>
      <c r="BK574" s="171"/>
      <c r="BL574" s="171"/>
      <c r="BM574" s="171"/>
      <c r="BN574" s="171"/>
      <c r="BO574" s="171"/>
      <c r="BP574" s="171"/>
      <c r="BQ574" s="171"/>
      <c r="BR574" s="171"/>
      <c r="BS574" s="171"/>
      <c r="BT574" s="171"/>
      <c r="BU574" s="171"/>
      <c r="BV574" s="171"/>
    </row>
    <row r="575" spans="1:74">
      <c r="A575" s="171"/>
      <c r="B575" s="171"/>
      <c r="I575" s="171"/>
      <c r="J575" s="171"/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  <c r="AF575" s="171"/>
      <c r="AG575" s="171"/>
      <c r="AH575" s="171"/>
      <c r="AI575" s="171"/>
      <c r="AJ575" s="171"/>
      <c r="AK575" s="171"/>
      <c r="AL575" s="171"/>
      <c r="AM575" s="171"/>
      <c r="AN575" s="171"/>
      <c r="AO575" s="171"/>
      <c r="AP575" s="171"/>
      <c r="AQ575" s="171"/>
      <c r="AR575" s="171"/>
      <c r="AS575" s="171"/>
      <c r="AT575" s="171"/>
      <c r="AU575" s="171"/>
      <c r="AV575" s="171"/>
      <c r="AW575" s="171"/>
      <c r="AX575" s="171"/>
      <c r="AY575" s="171"/>
      <c r="AZ575" s="171"/>
      <c r="BA575" s="171"/>
      <c r="BB575" s="171"/>
      <c r="BC575" s="171"/>
      <c r="BD575" s="171"/>
      <c r="BE575" s="171"/>
      <c r="BF575" s="171"/>
      <c r="BG575" s="171"/>
      <c r="BH575" s="171"/>
      <c r="BI575" s="171"/>
      <c r="BJ575" s="171"/>
      <c r="BK575" s="171"/>
      <c r="BL575" s="171"/>
      <c r="BM575" s="171"/>
      <c r="BN575" s="171"/>
      <c r="BO575" s="171"/>
      <c r="BP575" s="171"/>
      <c r="BQ575" s="171"/>
      <c r="BR575" s="171"/>
      <c r="BS575" s="171"/>
      <c r="BT575" s="171"/>
      <c r="BU575" s="171"/>
      <c r="BV575" s="171"/>
    </row>
    <row r="576" spans="1:74">
      <c r="A576" s="171"/>
      <c r="B576" s="171"/>
      <c r="I576" s="171"/>
      <c r="J576" s="171"/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171"/>
      <c r="AR576" s="171"/>
      <c r="AS576" s="171"/>
      <c r="AT576" s="171"/>
      <c r="AU576" s="171"/>
      <c r="AV576" s="171"/>
      <c r="AW576" s="171"/>
      <c r="AX576" s="171"/>
      <c r="AY576" s="171"/>
      <c r="AZ576" s="171"/>
      <c r="BA576" s="171"/>
      <c r="BB576" s="171"/>
      <c r="BC576" s="171"/>
      <c r="BD576" s="171"/>
      <c r="BE576" s="171"/>
      <c r="BF576" s="171"/>
      <c r="BG576" s="171"/>
      <c r="BH576" s="171"/>
      <c r="BI576" s="171"/>
      <c r="BJ576" s="171"/>
      <c r="BK576" s="171"/>
      <c r="BL576" s="171"/>
      <c r="BM576" s="171"/>
      <c r="BN576" s="171"/>
      <c r="BO576" s="171"/>
      <c r="BP576" s="171"/>
      <c r="BQ576" s="171"/>
      <c r="BR576" s="171"/>
      <c r="BS576" s="171"/>
      <c r="BT576" s="171"/>
      <c r="BU576" s="171"/>
      <c r="BV576" s="171"/>
    </row>
    <row r="577" spans="1:74">
      <c r="A577" s="171"/>
      <c r="B577" s="171"/>
      <c r="I577" s="171"/>
      <c r="J577" s="171"/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  <c r="AF577" s="171"/>
      <c r="AG577" s="171"/>
      <c r="AH577" s="171"/>
      <c r="AI577" s="171"/>
      <c r="AJ577" s="171"/>
      <c r="AK577" s="171"/>
      <c r="AL577" s="171"/>
      <c r="AM577" s="171"/>
      <c r="AN577" s="171"/>
      <c r="AO577" s="171"/>
      <c r="AP577" s="171"/>
      <c r="AQ577" s="171"/>
      <c r="AR577" s="171"/>
      <c r="AS577" s="171"/>
      <c r="AT577" s="171"/>
      <c r="AU577" s="171"/>
      <c r="AV577" s="171"/>
      <c r="AW577" s="171"/>
      <c r="AX577" s="171"/>
      <c r="AY577" s="171"/>
      <c r="AZ577" s="171"/>
      <c r="BA577" s="171"/>
      <c r="BB577" s="171"/>
      <c r="BC577" s="171"/>
      <c r="BD577" s="171"/>
      <c r="BE577" s="171"/>
      <c r="BF577" s="171"/>
      <c r="BG577" s="171"/>
      <c r="BH577" s="171"/>
      <c r="BI577" s="171"/>
      <c r="BJ577" s="171"/>
      <c r="BK577" s="171"/>
      <c r="BL577" s="171"/>
      <c r="BM577" s="171"/>
      <c r="BN577" s="171"/>
      <c r="BO577" s="171"/>
      <c r="BP577" s="171"/>
      <c r="BQ577" s="171"/>
      <c r="BR577" s="171"/>
      <c r="BS577" s="171"/>
      <c r="BT577" s="171"/>
      <c r="BU577" s="171"/>
      <c r="BV577" s="171"/>
    </row>
    <row r="578" spans="1:74">
      <c r="A578" s="171"/>
      <c r="B578" s="171"/>
      <c r="I578" s="171"/>
      <c r="J578" s="171"/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  <c r="AS578" s="171"/>
      <c r="AT578" s="171"/>
      <c r="AU578" s="171"/>
      <c r="AV578" s="171"/>
      <c r="AW578" s="171"/>
      <c r="AX578" s="171"/>
      <c r="AY578" s="171"/>
      <c r="AZ578" s="171"/>
      <c r="BA578" s="171"/>
      <c r="BB578" s="171"/>
      <c r="BC578" s="171"/>
      <c r="BD578" s="171"/>
      <c r="BE578" s="171"/>
      <c r="BF578" s="171"/>
      <c r="BG578" s="171"/>
      <c r="BH578" s="171"/>
      <c r="BI578" s="171"/>
      <c r="BJ578" s="171"/>
      <c r="BK578" s="171"/>
      <c r="BL578" s="171"/>
      <c r="BM578" s="171"/>
      <c r="BN578" s="171"/>
      <c r="BO578" s="171"/>
      <c r="BP578" s="171"/>
      <c r="BQ578" s="171"/>
      <c r="BR578" s="171"/>
      <c r="BS578" s="171"/>
      <c r="BT578" s="171"/>
      <c r="BU578" s="171"/>
      <c r="BV578" s="171"/>
    </row>
    <row r="579" spans="1:74">
      <c r="B579" s="168"/>
      <c r="C579" s="168"/>
      <c r="D579" s="168"/>
      <c r="E579" s="168"/>
      <c r="F579" s="168"/>
      <c r="G579" s="168"/>
      <c r="H579" s="168"/>
    </row>
    <row r="580" spans="1:74">
      <c r="B580" s="168"/>
      <c r="C580" s="168"/>
      <c r="D580" s="168"/>
      <c r="E580" s="168"/>
      <c r="F580" s="168"/>
      <c r="G580" s="168"/>
      <c r="H580" s="168"/>
    </row>
    <row r="581" spans="1:74">
      <c r="A581" s="171"/>
      <c r="B581" s="171"/>
      <c r="I581" s="171"/>
      <c r="J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  <c r="AS581" s="171"/>
      <c r="AT581" s="171"/>
      <c r="AU581" s="171"/>
      <c r="AV581" s="171"/>
      <c r="AW581" s="171"/>
      <c r="AX581" s="171"/>
      <c r="AY581" s="171"/>
      <c r="AZ581" s="171"/>
      <c r="BA581" s="171"/>
      <c r="BB581" s="171"/>
      <c r="BC581" s="171"/>
      <c r="BD581" s="171"/>
      <c r="BE581" s="171"/>
      <c r="BF581" s="171"/>
      <c r="BG581" s="171"/>
      <c r="BH581" s="171"/>
      <c r="BI581" s="171"/>
      <c r="BJ581" s="171"/>
      <c r="BK581" s="171"/>
      <c r="BL581" s="171"/>
      <c r="BM581" s="171"/>
      <c r="BN581" s="171"/>
      <c r="BO581" s="171"/>
      <c r="BP581" s="171"/>
      <c r="BQ581" s="171"/>
      <c r="BR581" s="171"/>
      <c r="BS581" s="171"/>
      <c r="BT581" s="171"/>
      <c r="BU581" s="171"/>
      <c r="BV581" s="171"/>
    </row>
    <row r="582" spans="1:74">
      <c r="A582" s="171"/>
      <c r="B582" s="171"/>
      <c r="I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  <c r="AS582" s="171"/>
      <c r="AT582" s="171"/>
      <c r="AU582" s="171"/>
      <c r="AV582" s="171"/>
      <c r="AW582" s="171"/>
      <c r="AX582" s="171"/>
      <c r="AY582" s="171"/>
      <c r="AZ582" s="171"/>
      <c r="BA582" s="171"/>
      <c r="BB582" s="171"/>
      <c r="BC582" s="171"/>
      <c r="BD582" s="171"/>
      <c r="BE582" s="171"/>
      <c r="BF582" s="171"/>
      <c r="BG582" s="171"/>
      <c r="BH582" s="171"/>
      <c r="BI582" s="171"/>
      <c r="BJ582" s="171"/>
      <c r="BK582" s="171"/>
      <c r="BL582" s="171"/>
      <c r="BM582" s="171"/>
      <c r="BN582" s="171"/>
      <c r="BO582" s="171"/>
      <c r="BP582" s="171"/>
      <c r="BQ582" s="171"/>
      <c r="BR582" s="171"/>
      <c r="BS582" s="171"/>
      <c r="BT582" s="171"/>
      <c r="BU582" s="171"/>
      <c r="BV582" s="171"/>
    </row>
    <row r="583" spans="1:74">
      <c r="A583" s="171"/>
      <c r="B583" s="171"/>
      <c r="I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  <c r="AF583" s="171"/>
      <c r="AG583" s="171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  <c r="AS583" s="171"/>
      <c r="AT583" s="171"/>
      <c r="AU583" s="171"/>
      <c r="AV583" s="171"/>
      <c r="AW583" s="171"/>
      <c r="AX583" s="171"/>
      <c r="AY583" s="171"/>
      <c r="AZ583" s="171"/>
      <c r="BA583" s="171"/>
      <c r="BB583" s="171"/>
      <c r="BC583" s="171"/>
      <c r="BD583" s="171"/>
      <c r="BE583" s="171"/>
      <c r="BF583" s="171"/>
      <c r="BG583" s="171"/>
      <c r="BH583" s="171"/>
      <c r="BI583" s="171"/>
      <c r="BJ583" s="171"/>
      <c r="BK583" s="171"/>
      <c r="BL583" s="171"/>
      <c r="BM583" s="171"/>
      <c r="BN583" s="171"/>
      <c r="BO583" s="171"/>
      <c r="BP583" s="171"/>
      <c r="BQ583" s="171"/>
      <c r="BR583" s="171"/>
      <c r="BS583" s="171"/>
      <c r="BT583" s="171"/>
      <c r="BU583" s="171"/>
      <c r="BV583" s="171"/>
    </row>
    <row r="584" spans="1:74">
      <c r="A584" s="171"/>
      <c r="B584" s="171"/>
      <c r="I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  <c r="AS584" s="171"/>
      <c r="AT584" s="171"/>
      <c r="AU584" s="171"/>
      <c r="AV584" s="171"/>
      <c r="AW584" s="171"/>
      <c r="AX584" s="171"/>
      <c r="AY584" s="171"/>
      <c r="AZ584" s="171"/>
      <c r="BA584" s="171"/>
      <c r="BB584" s="171"/>
      <c r="BC584" s="171"/>
      <c r="BD584" s="171"/>
      <c r="BE584" s="171"/>
      <c r="BF584" s="171"/>
      <c r="BG584" s="171"/>
      <c r="BH584" s="171"/>
      <c r="BI584" s="171"/>
      <c r="BJ584" s="171"/>
      <c r="BK584" s="171"/>
      <c r="BL584" s="171"/>
      <c r="BM584" s="171"/>
      <c r="BN584" s="171"/>
      <c r="BO584" s="171"/>
      <c r="BP584" s="171"/>
      <c r="BQ584" s="171"/>
      <c r="BR584" s="171"/>
      <c r="BS584" s="171"/>
      <c r="BT584" s="171"/>
      <c r="BU584" s="171"/>
      <c r="BV584" s="171"/>
    </row>
    <row r="585" spans="1:74">
      <c r="A585" s="171"/>
      <c r="B585" s="171"/>
      <c r="I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  <c r="AS585" s="171"/>
      <c r="AT585" s="171"/>
      <c r="AU585" s="171"/>
      <c r="AV585" s="171"/>
      <c r="AW585" s="171"/>
      <c r="AX585" s="171"/>
      <c r="AY585" s="171"/>
      <c r="AZ585" s="171"/>
      <c r="BA585" s="171"/>
      <c r="BB585" s="171"/>
      <c r="BC585" s="171"/>
      <c r="BD585" s="171"/>
      <c r="BE585" s="171"/>
      <c r="BF585" s="171"/>
      <c r="BG585" s="171"/>
      <c r="BH585" s="171"/>
      <c r="BI585" s="171"/>
      <c r="BJ585" s="171"/>
      <c r="BK585" s="171"/>
      <c r="BL585" s="171"/>
      <c r="BM585" s="171"/>
      <c r="BN585" s="171"/>
      <c r="BO585" s="171"/>
      <c r="BP585" s="171"/>
      <c r="BQ585" s="171"/>
      <c r="BR585" s="171"/>
      <c r="BS585" s="171"/>
      <c r="BT585" s="171"/>
      <c r="BU585" s="171"/>
      <c r="BV585" s="171"/>
    </row>
    <row r="586" spans="1:74">
      <c r="A586" s="171"/>
      <c r="B586" s="171"/>
      <c r="I586" s="171"/>
      <c r="J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  <c r="AS586" s="171"/>
      <c r="AT586" s="171"/>
      <c r="AU586" s="171"/>
      <c r="AV586" s="171"/>
      <c r="AW586" s="171"/>
      <c r="AX586" s="171"/>
      <c r="AY586" s="171"/>
      <c r="AZ586" s="171"/>
      <c r="BA586" s="171"/>
      <c r="BB586" s="171"/>
      <c r="BC586" s="171"/>
      <c r="BD586" s="171"/>
      <c r="BE586" s="171"/>
      <c r="BF586" s="171"/>
      <c r="BG586" s="171"/>
      <c r="BH586" s="171"/>
      <c r="BI586" s="171"/>
      <c r="BJ586" s="171"/>
      <c r="BK586" s="171"/>
      <c r="BL586" s="171"/>
      <c r="BM586" s="171"/>
      <c r="BN586" s="171"/>
      <c r="BO586" s="171"/>
      <c r="BP586" s="171"/>
      <c r="BQ586" s="171"/>
      <c r="BR586" s="171"/>
      <c r="BS586" s="171"/>
      <c r="BT586" s="171"/>
      <c r="BU586" s="171"/>
      <c r="BV586" s="171"/>
    </row>
    <row r="587" spans="1:74">
      <c r="A587" s="171"/>
      <c r="B587" s="171"/>
      <c r="I587" s="171"/>
      <c r="J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  <c r="AF587" s="171"/>
      <c r="AG587" s="171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171"/>
      <c r="AR587" s="171"/>
      <c r="AS587" s="171"/>
      <c r="AT587" s="171"/>
      <c r="AU587" s="171"/>
      <c r="AV587" s="171"/>
      <c r="AW587" s="171"/>
      <c r="AX587" s="171"/>
      <c r="AY587" s="171"/>
      <c r="AZ587" s="171"/>
      <c r="BA587" s="171"/>
      <c r="BB587" s="171"/>
      <c r="BC587" s="171"/>
      <c r="BD587" s="171"/>
      <c r="BE587" s="171"/>
      <c r="BF587" s="171"/>
      <c r="BG587" s="171"/>
      <c r="BH587" s="171"/>
      <c r="BI587" s="171"/>
      <c r="BJ587" s="171"/>
      <c r="BK587" s="171"/>
      <c r="BL587" s="171"/>
      <c r="BM587" s="171"/>
      <c r="BN587" s="171"/>
      <c r="BO587" s="171"/>
      <c r="BP587" s="171"/>
      <c r="BQ587" s="171"/>
      <c r="BR587" s="171"/>
      <c r="BS587" s="171"/>
      <c r="BT587" s="171"/>
      <c r="BU587" s="171"/>
      <c r="BV587" s="171"/>
    </row>
    <row r="588" spans="1:74">
      <c r="A588" s="171"/>
      <c r="B588" s="171"/>
      <c r="I588" s="171"/>
      <c r="J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  <c r="AF588" s="171"/>
      <c r="AG588" s="171"/>
      <c r="AH588" s="171"/>
      <c r="AI588" s="171"/>
      <c r="AJ588" s="171"/>
      <c r="AK588" s="171"/>
      <c r="AL588" s="171"/>
      <c r="AM588" s="171"/>
      <c r="AN588" s="171"/>
      <c r="AO588" s="171"/>
      <c r="AP588" s="171"/>
      <c r="AQ588" s="171"/>
      <c r="AR588" s="171"/>
      <c r="AS588" s="171"/>
      <c r="AT588" s="171"/>
      <c r="AU588" s="171"/>
      <c r="AV588" s="171"/>
      <c r="AW588" s="171"/>
      <c r="AX588" s="171"/>
      <c r="AY588" s="171"/>
      <c r="AZ588" s="171"/>
      <c r="BA588" s="171"/>
      <c r="BB588" s="171"/>
      <c r="BC588" s="171"/>
      <c r="BD588" s="171"/>
      <c r="BE588" s="171"/>
      <c r="BF588" s="171"/>
      <c r="BG588" s="171"/>
      <c r="BH588" s="171"/>
      <c r="BI588" s="171"/>
      <c r="BJ588" s="171"/>
      <c r="BK588" s="171"/>
      <c r="BL588" s="171"/>
      <c r="BM588" s="171"/>
      <c r="BN588" s="171"/>
      <c r="BO588" s="171"/>
      <c r="BP588" s="171"/>
      <c r="BQ588" s="171"/>
      <c r="BR588" s="171"/>
      <c r="BS588" s="171"/>
      <c r="BT588" s="171"/>
      <c r="BU588" s="171"/>
      <c r="BV588" s="171"/>
    </row>
    <row r="589" spans="1:74">
      <c r="A589" s="171"/>
      <c r="B589" s="171"/>
      <c r="I589" s="171"/>
      <c r="J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  <c r="AF589" s="171"/>
      <c r="AG589" s="171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171"/>
      <c r="AR589" s="171"/>
      <c r="AS589" s="171"/>
      <c r="AT589" s="171"/>
      <c r="AU589" s="171"/>
      <c r="AV589" s="171"/>
      <c r="AW589" s="171"/>
      <c r="AX589" s="171"/>
      <c r="AY589" s="171"/>
      <c r="AZ589" s="171"/>
      <c r="BA589" s="171"/>
      <c r="BB589" s="171"/>
      <c r="BC589" s="171"/>
      <c r="BD589" s="171"/>
      <c r="BE589" s="171"/>
      <c r="BF589" s="171"/>
      <c r="BG589" s="171"/>
      <c r="BH589" s="171"/>
      <c r="BI589" s="171"/>
      <c r="BJ589" s="171"/>
      <c r="BK589" s="171"/>
      <c r="BL589" s="171"/>
      <c r="BM589" s="171"/>
      <c r="BN589" s="171"/>
      <c r="BO589" s="171"/>
      <c r="BP589" s="171"/>
      <c r="BQ589" s="171"/>
      <c r="BR589" s="171"/>
      <c r="BS589" s="171"/>
      <c r="BT589" s="171"/>
      <c r="BU589" s="171"/>
      <c r="BV589" s="171"/>
    </row>
    <row r="590" spans="1:74">
      <c r="A590" s="171"/>
      <c r="B590" s="171"/>
      <c r="I590" s="171"/>
      <c r="J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  <c r="AS590" s="171"/>
      <c r="AT590" s="171"/>
      <c r="AU590" s="171"/>
      <c r="AV590" s="171"/>
      <c r="AW590" s="171"/>
      <c r="AX590" s="171"/>
      <c r="AY590" s="171"/>
      <c r="AZ590" s="171"/>
      <c r="BA590" s="171"/>
      <c r="BB590" s="171"/>
      <c r="BC590" s="171"/>
      <c r="BD590" s="171"/>
      <c r="BE590" s="171"/>
      <c r="BF590" s="171"/>
      <c r="BG590" s="171"/>
      <c r="BH590" s="171"/>
      <c r="BI590" s="171"/>
      <c r="BJ590" s="171"/>
      <c r="BK590" s="171"/>
      <c r="BL590" s="171"/>
      <c r="BM590" s="171"/>
      <c r="BN590" s="171"/>
      <c r="BO590" s="171"/>
      <c r="BP590" s="171"/>
      <c r="BQ590" s="171"/>
      <c r="BR590" s="171"/>
      <c r="BS590" s="171"/>
      <c r="BT590" s="171"/>
      <c r="BU590" s="171"/>
      <c r="BV590" s="171"/>
    </row>
    <row r="591" spans="1:74">
      <c r="B591" s="168"/>
      <c r="C591" s="168"/>
      <c r="D591" s="168"/>
      <c r="E591" s="168"/>
      <c r="F591" s="168"/>
      <c r="G591" s="168"/>
      <c r="H591" s="168"/>
    </row>
    <row r="592" spans="1:74">
      <c r="B592" s="168"/>
      <c r="C592" s="168"/>
      <c r="D592" s="168"/>
      <c r="E592" s="168"/>
      <c r="F592" s="168"/>
      <c r="G592" s="168"/>
      <c r="H592" s="168"/>
    </row>
    <row r="593" spans="1:74">
      <c r="A593" s="171"/>
      <c r="B593" s="171"/>
      <c r="I593" s="171"/>
      <c r="J593" s="171"/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71"/>
      <c r="AL593" s="171"/>
      <c r="AM593" s="171"/>
      <c r="AN593" s="171"/>
      <c r="AO593" s="171"/>
      <c r="AP593" s="171"/>
      <c r="AQ593" s="171"/>
      <c r="AR593" s="171"/>
      <c r="AS593" s="171"/>
      <c r="AT593" s="171"/>
      <c r="AU593" s="171"/>
      <c r="AV593" s="171"/>
      <c r="AW593" s="171"/>
      <c r="AX593" s="171"/>
      <c r="AY593" s="171"/>
      <c r="AZ593" s="171"/>
      <c r="BA593" s="171"/>
      <c r="BB593" s="171"/>
      <c r="BC593" s="171"/>
      <c r="BD593" s="171"/>
      <c r="BE593" s="171"/>
      <c r="BF593" s="171"/>
      <c r="BG593" s="171"/>
      <c r="BH593" s="171"/>
      <c r="BI593" s="171"/>
      <c r="BJ593" s="171"/>
      <c r="BK593" s="171"/>
      <c r="BL593" s="171"/>
      <c r="BM593" s="171"/>
      <c r="BN593" s="171"/>
      <c r="BO593" s="171"/>
      <c r="BP593" s="171"/>
      <c r="BQ593" s="171"/>
      <c r="BR593" s="171"/>
      <c r="BS593" s="171"/>
      <c r="BT593" s="171"/>
      <c r="BU593" s="171"/>
      <c r="BV593" s="171"/>
    </row>
    <row r="594" spans="1:74">
      <c r="A594" s="171"/>
      <c r="B594" s="171"/>
      <c r="I594" s="171"/>
      <c r="J594" s="171"/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71"/>
      <c r="AL594" s="171"/>
      <c r="AM594" s="171"/>
      <c r="AN594" s="171"/>
      <c r="AO594" s="171"/>
      <c r="AP594" s="171"/>
      <c r="AQ594" s="171"/>
      <c r="AR594" s="171"/>
      <c r="AS594" s="171"/>
      <c r="AT594" s="171"/>
      <c r="AU594" s="171"/>
      <c r="AV594" s="171"/>
      <c r="AW594" s="171"/>
      <c r="AX594" s="171"/>
      <c r="AY594" s="171"/>
      <c r="AZ594" s="171"/>
      <c r="BA594" s="171"/>
      <c r="BB594" s="171"/>
      <c r="BC594" s="171"/>
      <c r="BD594" s="171"/>
      <c r="BE594" s="171"/>
      <c r="BF594" s="171"/>
      <c r="BG594" s="171"/>
      <c r="BH594" s="171"/>
      <c r="BI594" s="171"/>
      <c r="BJ594" s="171"/>
      <c r="BK594" s="171"/>
      <c r="BL594" s="171"/>
      <c r="BM594" s="171"/>
      <c r="BN594" s="171"/>
      <c r="BO594" s="171"/>
      <c r="BP594" s="171"/>
      <c r="BQ594" s="171"/>
      <c r="BR594" s="171"/>
      <c r="BS594" s="171"/>
      <c r="BT594" s="171"/>
      <c r="BU594" s="171"/>
      <c r="BV594" s="171"/>
    </row>
    <row r="595" spans="1:74">
      <c r="A595" s="171"/>
      <c r="B595" s="171"/>
      <c r="I595" s="171"/>
      <c r="J595" s="171"/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71"/>
      <c r="AL595" s="171"/>
      <c r="AM595" s="171"/>
      <c r="AN595" s="171"/>
      <c r="AO595" s="171"/>
      <c r="AP595" s="171"/>
      <c r="AQ595" s="171"/>
      <c r="AR595" s="171"/>
      <c r="AS595" s="171"/>
      <c r="AT595" s="171"/>
      <c r="AU595" s="171"/>
      <c r="AV595" s="171"/>
      <c r="AW595" s="171"/>
      <c r="AX595" s="171"/>
      <c r="AY595" s="171"/>
      <c r="AZ595" s="171"/>
      <c r="BA595" s="171"/>
      <c r="BB595" s="171"/>
      <c r="BC595" s="171"/>
      <c r="BD595" s="171"/>
      <c r="BE595" s="171"/>
      <c r="BF595" s="171"/>
      <c r="BG595" s="171"/>
      <c r="BH595" s="171"/>
      <c r="BI595" s="171"/>
      <c r="BJ595" s="171"/>
      <c r="BK595" s="171"/>
      <c r="BL595" s="171"/>
      <c r="BM595" s="171"/>
      <c r="BN595" s="171"/>
      <c r="BO595" s="171"/>
      <c r="BP595" s="171"/>
      <c r="BQ595" s="171"/>
      <c r="BR595" s="171"/>
      <c r="BS595" s="171"/>
      <c r="BT595" s="171"/>
      <c r="BU595" s="171"/>
      <c r="BV595" s="171"/>
    </row>
    <row r="596" spans="1:74">
      <c r="B596" s="168"/>
      <c r="C596" s="168"/>
      <c r="D596" s="168"/>
      <c r="E596" s="168"/>
      <c r="F596" s="168"/>
      <c r="G596" s="168"/>
      <c r="H596" s="168"/>
    </row>
    <row r="597" spans="1:74">
      <c r="B597" s="168"/>
      <c r="C597" s="168"/>
      <c r="D597" s="168"/>
      <c r="E597" s="168"/>
      <c r="F597" s="168"/>
      <c r="G597" s="168"/>
      <c r="H597" s="168"/>
    </row>
    <row r="598" spans="1:74">
      <c r="B598" s="168"/>
      <c r="C598" s="168"/>
      <c r="D598" s="168"/>
      <c r="E598" s="168"/>
      <c r="F598" s="168"/>
      <c r="G598" s="168"/>
      <c r="H598" s="168"/>
    </row>
    <row r="599" spans="1:74">
      <c r="B599" s="168"/>
      <c r="C599" s="168"/>
      <c r="D599" s="168"/>
      <c r="E599" s="168"/>
      <c r="F599" s="168"/>
      <c r="G599" s="168"/>
      <c r="H599" s="168"/>
    </row>
    <row r="600" spans="1:74">
      <c r="B600" s="168"/>
      <c r="C600" s="168"/>
      <c r="D600" s="168"/>
      <c r="E600" s="168"/>
      <c r="F600" s="168"/>
      <c r="G600" s="168"/>
      <c r="H600" s="168"/>
    </row>
    <row r="601" spans="1:74">
      <c r="B601" s="168"/>
      <c r="C601" s="168"/>
      <c r="D601" s="168"/>
      <c r="E601" s="168"/>
      <c r="F601" s="168"/>
      <c r="G601" s="168"/>
      <c r="H601" s="168"/>
    </row>
    <row r="602" spans="1:74">
      <c r="B602" s="168"/>
      <c r="C602" s="168"/>
      <c r="D602" s="168"/>
      <c r="E602" s="168"/>
      <c r="F602" s="168"/>
      <c r="G602" s="168"/>
      <c r="H602" s="168"/>
    </row>
    <row r="603" spans="1:74">
      <c r="B603" s="168"/>
      <c r="C603" s="168"/>
      <c r="D603" s="168"/>
      <c r="E603" s="168"/>
      <c r="F603" s="168"/>
      <c r="G603" s="168"/>
      <c r="H603" s="168"/>
    </row>
    <row r="604" spans="1:74">
      <c r="B604" s="168"/>
      <c r="C604" s="168"/>
      <c r="D604" s="168"/>
      <c r="E604" s="168"/>
      <c r="F604" s="168"/>
      <c r="G604" s="168"/>
      <c r="H604" s="168"/>
    </row>
    <row r="605" spans="1:74">
      <c r="B605" s="168"/>
      <c r="C605" s="168"/>
      <c r="D605" s="168"/>
      <c r="E605" s="168"/>
      <c r="F605" s="168"/>
      <c r="G605" s="168"/>
      <c r="H605" s="168"/>
    </row>
    <row r="606" spans="1:74">
      <c r="B606" s="168"/>
      <c r="C606" s="168"/>
      <c r="D606" s="168"/>
      <c r="E606" s="168"/>
      <c r="F606" s="168"/>
      <c r="G606" s="168"/>
      <c r="H606" s="168"/>
    </row>
    <row r="607" spans="1:74">
      <c r="B607" s="168"/>
      <c r="C607" s="168"/>
      <c r="D607" s="168"/>
      <c r="E607" s="168"/>
      <c r="F607" s="168"/>
      <c r="G607" s="168"/>
      <c r="H607" s="168"/>
    </row>
    <row r="608" spans="1:74">
      <c r="B608" s="168"/>
      <c r="C608" s="168"/>
      <c r="D608" s="168"/>
      <c r="E608" s="168"/>
      <c r="F608" s="168"/>
      <c r="G608" s="168"/>
      <c r="H608" s="168"/>
    </row>
    <row r="609" spans="2:8">
      <c r="B609" s="168"/>
      <c r="C609" s="168"/>
      <c r="D609" s="168"/>
      <c r="E609" s="168"/>
      <c r="F609" s="168"/>
      <c r="G609" s="168"/>
      <c r="H609" s="168"/>
    </row>
    <row r="610" spans="2:8">
      <c r="B610" s="168"/>
      <c r="C610" s="168"/>
      <c r="D610" s="168"/>
      <c r="E610" s="168"/>
      <c r="F610" s="168"/>
      <c r="G610" s="168"/>
      <c r="H610" s="168"/>
    </row>
    <row r="611" spans="2:8">
      <c r="B611" s="168"/>
      <c r="C611" s="168"/>
      <c r="D611" s="168"/>
      <c r="E611" s="168"/>
      <c r="F611" s="168"/>
      <c r="G611" s="168"/>
      <c r="H611" s="168"/>
    </row>
    <row r="612" spans="2:8">
      <c r="B612" s="168"/>
      <c r="C612" s="168"/>
      <c r="D612" s="168"/>
      <c r="E612" s="168"/>
      <c r="F612" s="168"/>
      <c r="G612" s="168"/>
      <c r="H612" s="168"/>
    </row>
    <row r="613" spans="2:8">
      <c r="B613" s="168"/>
      <c r="C613" s="168"/>
      <c r="D613" s="168"/>
      <c r="E613" s="168"/>
      <c r="F613" s="168"/>
      <c r="G613" s="168"/>
      <c r="H613" s="168"/>
    </row>
    <row r="614" spans="2:8">
      <c r="B614" s="168"/>
      <c r="C614" s="168"/>
      <c r="D614" s="168"/>
      <c r="E614" s="168"/>
      <c r="F614" s="168"/>
      <c r="G614" s="168"/>
      <c r="H614" s="168"/>
    </row>
    <row r="615" spans="2:8">
      <c r="B615" s="168"/>
      <c r="C615" s="168"/>
      <c r="D615" s="168"/>
      <c r="E615" s="168"/>
      <c r="F615" s="168"/>
      <c r="G615" s="168"/>
      <c r="H615" s="168"/>
    </row>
    <row r="616" spans="2:8">
      <c r="B616" s="168"/>
      <c r="C616" s="168"/>
      <c r="D616" s="168"/>
      <c r="E616" s="168"/>
      <c r="F616" s="168"/>
      <c r="G616" s="168"/>
      <c r="H616" s="168"/>
    </row>
    <row r="617" spans="2:8">
      <c r="B617" s="168"/>
      <c r="C617" s="168"/>
      <c r="D617" s="168"/>
      <c r="E617" s="168"/>
      <c r="F617" s="168"/>
      <c r="G617" s="168"/>
      <c r="H617" s="168"/>
    </row>
    <row r="618" spans="2:8">
      <c r="B618" s="168"/>
      <c r="C618" s="168"/>
      <c r="D618" s="168"/>
      <c r="E618" s="168"/>
      <c r="F618" s="168"/>
      <c r="G618" s="168"/>
      <c r="H618" s="168"/>
    </row>
    <row r="619" spans="2:8">
      <c r="B619" s="168"/>
      <c r="C619" s="168"/>
      <c r="D619" s="168"/>
      <c r="E619" s="168"/>
      <c r="F619" s="168"/>
      <c r="G619" s="168"/>
      <c r="H619" s="168"/>
    </row>
    <row r="620" spans="2:8">
      <c r="B620" s="168"/>
      <c r="C620" s="168"/>
      <c r="D620" s="168"/>
      <c r="E620" s="168"/>
      <c r="F620" s="168"/>
      <c r="G620" s="168"/>
      <c r="H620" s="168"/>
    </row>
    <row r="621" spans="2:8">
      <c r="B621" s="168"/>
      <c r="C621" s="168"/>
      <c r="D621" s="168"/>
      <c r="E621" s="168"/>
      <c r="F621" s="168"/>
      <c r="G621" s="168"/>
      <c r="H621" s="168"/>
    </row>
    <row r="622" spans="2:8">
      <c r="B622" s="168"/>
      <c r="C622" s="168"/>
      <c r="D622" s="168"/>
      <c r="E622" s="168"/>
      <c r="F622" s="168"/>
      <c r="G622" s="168"/>
      <c r="H622" s="168"/>
    </row>
    <row r="623" spans="2:8">
      <c r="B623" s="168"/>
      <c r="C623" s="168"/>
      <c r="D623" s="168"/>
      <c r="E623" s="168"/>
      <c r="F623" s="168"/>
      <c r="G623" s="168"/>
      <c r="H623" s="168"/>
    </row>
    <row r="624" spans="2:8">
      <c r="B624" s="168"/>
      <c r="C624" s="168"/>
      <c r="D624" s="168"/>
      <c r="E624" s="168"/>
      <c r="F624" s="168"/>
      <c r="G624" s="168"/>
      <c r="H624" s="168"/>
    </row>
    <row r="625" spans="1:74">
      <c r="B625" s="168"/>
      <c r="C625" s="168"/>
      <c r="D625" s="168"/>
      <c r="E625" s="168"/>
      <c r="F625" s="168"/>
      <c r="G625" s="168"/>
      <c r="H625" s="168"/>
    </row>
    <row r="626" spans="1:74">
      <c r="B626" s="168"/>
      <c r="C626" s="168"/>
      <c r="D626" s="168"/>
      <c r="E626" s="168"/>
      <c r="F626" s="168"/>
      <c r="G626" s="168"/>
      <c r="H626" s="168"/>
    </row>
    <row r="627" spans="1:74">
      <c r="B627" s="168"/>
      <c r="C627" s="168"/>
      <c r="D627" s="168"/>
      <c r="E627" s="168"/>
      <c r="F627" s="168"/>
      <c r="G627" s="168"/>
      <c r="H627" s="168"/>
    </row>
    <row r="628" spans="1:74">
      <c r="A628" s="171"/>
      <c r="B628" s="171"/>
      <c r="I628" s="171"/>
      <c r="J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1"/>
      <c r="AR628" s="171"/>
      <c r="AS628" s="171"/>
      <c r="AT628" s="171"/>
      <c r="AU628" s="171"/>
      <c r="AV628" s="171"/>
      <c r="AW628" s="171"/>
      <c r="AX628" s="171"/>
      <c r="AY628" s="171"/>
      <c r="AZ628" s="171"/>
      <c r="BA628" s="171"/>
      <c r="BB628" s="171"/>
      <c r="BC628" s="171"/>
      <c r="BD628" s="171"/>
      <c r="BE628" s="171"/>
      <c r="BF628" s="171"/>
      <c r="BG628" s="171"/>
      <c r="BH628" s="171"/>
      <c r="BI628" s="171"/>
      <c r="BJ628" s="171"/>
      <c r="BK628" s="171"/>
      <c r="BL628" s="171"/>
      <c r="BM628" s="171"/>
      <c r="BN628" s="171"/>
      <c r="BO628" s="171"/>
      <c r="BP628" s="171"/>
      <c r="BQ628" s="171"/>
      <c r="BR628" s="171"/>
      <c r="BS628" s="171"/>
      <c r="BT628" s="171"/>
      <c r="BU628" s="171"/>
      <c r="BV628" s="171"/>
    </row>
    <row r="629" spans="1:74">
      <c r="A629" s="171"/>
      <c r="B629" s="171"/>
      <c r="I629" s="171"/>
      <c r="J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  <c r="AF629" s="171"/>
      <c r="AG629" s="171"/>
      <c r="AH629" s="171"/>
      <c r="AI629" s="171"/>
      <c r="AJ629" s="171"/>
      <c r="AK629" s="171"/>
      <c r="AL629" s="171"/>
      <c r="AM629" s="171"/>
      <c r="AN629" s="171"/>
      <c r="AO629" s="171"/>
      <c r="AP629" s="171"/>
      <c r="AQ629" s="171"/>
      <c r="AR629" s="171"/>
      <c r="AS629" s="171"/>
      <c r="AT629" s="171"/>
      <c r="AU629" s="171"/>
      <c r="AV629" s="171"/>
      <c r="AW629" s="171"/>
      <c r="AX629" s="171"/>
      <c r="AY629" s="171"/>
      <c r="AZ629" s="171"/>
      <c r="BA629" s="171"/>
      <c r="BB629" s="171"/>
      <c r="BC629" s="171"/>
      <c r="BD629" s="171"/>
      <c r="BE629" s="171"/>
      <c r="BF629" s="171"/>
      <c r="BG629" s="171"/>
      <c r="BH629" s="171"/>
      <c r="BI629" s="171"/>
      <c r="BJ629" s="171"/>
      <c r="BK629" s="171"/>
      <c r="BL629" s="171"/>
      <c r="BM629" s="171"/>
      <c r="BN629" s="171"/>
      <c r="BO629" s="171"/>
      <c r="BP629" s="171"/>
      <c r="BQ629" s="171"/>
      <c r="BR629" s="171"/>
      <c r="BS629" s="171"/>
      <c r="BT629" s="171"/>
      <c r="BU629" s="171"/>
      <c r="BV629" s="171"/>
    </row>
    <row r="630" spans="1:74">
      <c r="A630" s="171"/>
      <c r="B630" s="171"/>
      <c r="I630" s="171"/>
      <c r="J630" s="171"/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  <c r="AB630" s="171"/>
      <c r="AC630" s="171"/>
      <c r="AD630" s="171"/>
      <c r="AE630" s="171"/>
      <c r="AF630" s="171"/>
      <c r="AG630" s="171"/>
      <c r="AH630" s="171"/>
      <c r="AI630" s="171"/>
      <c r="AJ630" s="171"/>
      <c r="AK630" s="171"/>
      <c r="AL630" s="171"/>
      <c r="AM630" s="171"/>
      <c r="AN630" s="171"/>
      <c r="AO630" s="171"/>
      <c r="AP630" s="171"/>
      <c r="AQ630" s="171"/>
      <c r="AR630" s="171"/>
      <c r="AS630" s="171"/>
      <c r="AT630" s="171"/>
      <c r="AU630" s="171"/>
      <c r="AV630" s="171"/>
      <c r="AW630" s="171"/>
      <c r="AX630" s="171"/>
      <c r="AY630" s="171"/>
      <c r="AZ630" s="171"/>
      <c r="BA630" s="171"/>
      <c r="BB630" s="171"/>
      <c r="BC630" s="171"/>
      <c r="BD630" s="171"/>
      <c r="BE630" s="171"/>
      <c r="BF630" s="171"/>
      <c r="BG630" s="171"/>
      <c r="BH630" s="171"/>
      <c r="BI630" s="171"/>
      <c r="BJ630" s="171"/>
      <c r="BK630" s="171"/>
      <c r="BL630" s="171"/>
      <c r="BM630" s="171"/>
      <c r="BN630" s="171"/>
      <c r="BO630" s="171"/>
      <c r="BP630" s="171"/>
      <c r="BQ630" s="171"/>
      <c r="BR630" s="171"/>
      <c r="BS630" s="171"/>
      <c r="BT630" s="171"/>
      <c r="BU630" s="171"/>
      <c r="BV630" s="171"/>
    </row>
    <row r="631" spans="1:74">
      <c r="A631" s="171"/>
      <c r="B631" s="171"/>
      <c r="I631" s="171"/>
      <c r="J631" s="171"/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71"/>
      <c r="AL631" s="171"/>
      <c r="AM631" s="171"/>
      <c r="AN631" s="171"/>
      <c r="AO631" s="171"/>
      <c r="AP631" s="171"/>
      <c r="AQ631" s="171"/>
      <c r="AR631" s="171"/>
      <c r="AS631" s="171"/>
      <c r="AT631" s="171"/>
      <c r="AU631" s="171"/>
      <c r="AV631" s="171"/>
      <c r="AW631" s="171"/>
      <c r="AX631" s="171"/>
      <c r="AY631" s="171"/>
      <c r="AZ631" s="171"/>
      <c r="BA631" s="171"/>
      <c r="BB631" s="171"/>
      <c r="BC631" s="171"/>
      <c r="BD631" s="171"/>
      <c r="BE631" s="171"/>
      <c r="BF631" s="171"/>
      <c r="BG631" s="171"/>
      <c r="BH631" s="171"/>
      <c r="BI631" s="171"/>
      <c r="BJ631" s="171"/>
      <c r="BK631" s="171"/>
      <c r="BL631" s="171"/>
      <c r="BM631" s="171"/>
      <c r="BN631" s="171"/>
      <c r="BO631" s="171"/>
      <c r="BP631" s="171"/>
      <c r="BQ631" s="171"/>
      <c r="BR631" s="171"/>
      <c r="BS631" s="171"/>
      <c r="BT631" s="171"/>
      <c r="BU631" s="171"/>
      <c r="BV631" s="171"/>
    </row>
    <row r="632" spans="1:74">
      <c r="A632" s="171"/>
      <c r="B632" s="171"/>
      <c r="I632" s="171"/>
      <c r="J632" s="171"/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71"/>
      <c r="AL632" s="171"/>
      <c r="AM632" s="171"/>
      <c r="AN632" s="171"/>
      <c r="AO632" s="171"/>
      <c r="AP632" s="171"/>
      <c r="AQ632" s="171"/>
      <c r="AR632" s="171"/>
      <c r="AS632" s="171"/>
      <c r="AT632" s="171"/>
      <c r="AU632" s="171"/>
      <c r="AV632" s="171"/>
      <c r="AW632" s="171"/>
      <c r="AX632" s="171"/>
      <c r="AY632" s="171"/>
      <c r="AZ632" s="171"/>
      <c r="BA632" s="171"/>
      <c r="BB632" s="171"/>
      <c r="BC632" s="171"/>
      <c r="BD632" s="171"/>
      <c r="BE632" s="171"/>
      <c r="BF632" s="171"/>
      <c r="BG632" s="171"/>
      <c r="BH632" s="171"/>
      <c r="BI632" s="171"/>
      <c r="BJ632" s="171"/>
      <c r="BK632" s="171"/>
      <c r="BL632" s="171"/>
      <c r="BM632" s="171"/>
      <c r="BN632" s="171"/>
      <c r="BO632" s="171"/>
      <c r="BP632" s="171"/>
      <c r="BQ632" s="171"/>
      <c r="BR632" s="171"/>
      <c r="BS632" s="171"/>
      <c r="BT632" s="171"/>
      <c r="BU632" s="171"/>
      <c r="BV632" s="171"/>
    </row>
    <row r="633" spans="1:74">
      <c r="A633" s="171"/>
      <c r="B633" s="171"/>
      <c r="I633" s="171"/>
      <c r="J633" s="171"/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71"/>
      <c r="AL633" s="171"/>
      <c r="AM633" s="171"/>
      <c r="AN633" s="171"/>
      <c r="AO633" s="171"/>
      <c r="AP633" s="171"/>
      <c r="AQ633" s="171"/>
      <c r="AR633" s="171"/>
      <c r="AS633" s="171"/>
      <c r="AT633" s="171"/>
      <c r="AU633" s="171"/>
      <c r="AV633" s="171"/>
      <c r="AW633" s="171"/>
      <c r="AX633" s="171"/>
      <c r="AY633" s="171"/>
      <c r="AZ633" s="171"/>
      <c r="BA633" s="171"/>
      <c r="BB633" s="171"/>
      <c r="BC633" s="171"/>
      <c r="BD633" s="171"/>
      <c r="BE633" s="171"/>
      <c r="BF633" s="171"/>
      <c r="BG633" s="171"/>
      <c r="BH633" s="171"/>
      <c r="BI633" s="171"/>
      <c r="BJ633" s="171"/>
      <c r="BK633" s="171"/>
      <c r="BL633" s="171"/>
      <c r="BM633" s="171"/>
      <c r="BN633" s="171"/>
      <c r="BO633" s="171"/>
      <c r="BP633" s="171"/>
      <c r="BQ633" s="171"/>
      <c r="BR633" s="171"/>
      <c r="BS633" s="171"/>
      <c r="BT633" s="171"/>
      <c r="BU633" s="171"/>
      <c r="BV633" s="171"/>
    </row>
    <row r="634" spans="1:74">
      <c r="A634" s="171"/>
      <c r="B634" s="171"/>
      <c r="I634" s="171"/>
      <c r="J634" s="171"/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1"/>
      <c r="AR634" s="171"/>
      <c r="AS634" s="171"/>
      <c r="AT634" s="171"/>
      <c r="AU634" s="171"/>
      <c r="AV634" s="171"/>
      <c r="AW634" s="171"/>
      <c r="AX634" s="171"/>
      <c r="AY634" s="171"/>
      <c r="AZ634" s="171"/>
      <c r="BA634" s="171"/>
      <c r="BB634" s="171"/>
      <c r="BC634" s="171"/>
      <c r="BD634" s="171"/>
      <c r="BE634" s="171"/>
      <c r="BF634" s="171"/>
      <c r="BG634" s="171"/>
      <c r="BH634" s="171"/>
      <c r="BI634" s="171"/>
      <c r="BJ634" s="171"/>
      <c r="BK634" s="171"/>
      <c r="BL634" s="171"/>
      <c r="BM634" s="171"/>
      <c r="BN634" s="171"/>
      <c r="BO634" s="171"/>
      <c r="BP634" s="171"/>
      <c r="BQ634" s="171"/>
      <c r="BR634" s="171"/>
      <c r="BS634" s="171"/>
      <c r="BT634" s="171"/>
      <c r="BU634" s="171"/>
      <c r="BV634" s="171"/>
    </row>
    <row r="635" spans="1:74">
      <c r="B635" s="168"/>
      <c r="C635" s="168"/>
      <c r="D635" s="168"/>
      <c r="E635" s="168"/>
      <c r="F635" s="168"/>
      <c r="G635" s="168"/>
      <c r="H635" s="168"/>
    </row>
    <row r="636" spans="1:74">
      <c r="A636" s="171"/>
      <c r="B636" s="171"/>
      <c r="I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  <c r="AS636" s="171"/>
      <c r="AT636" s="171"/>
      <c r="AU636" s="171"/>
      <c r="AV636" s="171"/>
      <c r="AW636" s="171"/>
      <c r="AX636" s="171"/>
      <c r="AY636" s="171"/>
      <c r="AZ636" s="171"/>
      <c r="BA636" s="171"/>
      <c r="BB636" s="171"/>
      <c r="BC636" s="171"/>
      <c r="BD636" s="171"/>
      <c r="BE636" s="171"/>
      <c r="BF636" s="171"/>
      <c r="BG636" s="171"/>
      <c r="BH636" s="171"/>
      <c r="BI636" s="171"/>
      <c r="BJ636" s="171"/>
      <c r="BK636" s="171"/>
      <c r="BL636" s="171"/>
      <c r="BM636" s="171"/>
      <c r="BN636" s="171"/>
      <c r="BO636" s="171"/>
      <c r="BP636" s="171"/>
      <c r="BQ636" s="171"/>
      <c r="BR636" s="171"/>
      <c r="BS636" s="171"/>
      <c r="BT636" s="171"/>
      <c r="BU636" s="171"/>
      <c r="BV636" s="171"/>
    </row>
    <row r="637" spans="1:74">
      <c r="B637" s="168"/>
      <c r="C637" s="168"/>
      <c r="D637" s="168"/>
      <c r="E637" s="168"/>
      <c r="F637" s="168"/>
      <c r="G637" s="168"/>
      <c r="H637" s="168"/>
    </row>
    <row r="638" spans="1:74">
      <c r="B638" s="168"/>
      <c r="C638" s="168"/>
      <c r="D638" s="168"/>
      <c r="E638" s="168"/>
      <c r="F638" s="168"/>
      <c r="G638" s="168"/>
      <c r="H638" s="168"/>
    </row>
    <row r="639" spans="1:74">
      <c r="B639" s="168"/>
      <c r="C639" s="168"/>
      <c r="D639" s="168"/>
      <c r="E639" s="168"/>
      <c r="F639" s="168"/>
      <c r="G639" s="168"/>
      <c r="H639" s="168"/>
    </row>
    <row r="640" spans="1:74">
      <c r="B640" s="168"/>
      <c r="C640" s="168"/>
      <c r="D640" s="168"/>
      <c r="E640" s="168"/>
      <c r="F640" s="168"/>
      <c r="G640" s="168"/>
      <c r="H640" s="168"/>
    </row>
    <row r="641" spans="2:8">
      <c r="B641" s="168"/>
      <c r="C641" s="168"/>
      <c r="D641" s="168"/>
      <c r="E641" s="168"/>
      <c r="F641" s="168"/>
      <c r="G641" s="168"/>
      <c r="H641" s="168"/>
    </row>
    <row r="642" spans="2:8">
      <c r="B642" s="168"/>
      <c r="C642" s="168"/>
      <c r="D642" s="168"/>
      <c r="E642" s="168"/>
      <c r="F642" s="168"/>
      <c r="G642" s="168"/>
      <c r="H642" s="1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50"/>
  <sheetViews>
    <sheetView topLeftCell="AC6" workbookViewId="0">
      <selection activeCell="AG2" sqref="AG2"/>
    </sheetView>
  </sheetViews>
  <sheetFormatPr baseColWidth="10" defaultRowHeight="12"/>
  <cols>
    <col min="1" max="1" width="53.7109375" style="349" bestFit="1" customWidth="1"/>
    <col min="2" max="2" width="13.28515625" style="349" customWidth="1"/>
    <col min="3" max="3" width="10.5703125" style="349" customWidth="1"/>
    <col min="4" max="4" width="11" style="349" customWidth="1"/>
    <col min="5" max="5" width="7.7109375" style="395" bestFit="1" customWidth="1"/>
    <col min="6" max="6" width="7.7109375" style="395" customWidth="1"/>
    <col min="7" max="7" width="12.28515625" style="395" customWidth="1"/>
    <col min="8" max="8" width="8.7109375" style="349" customWidth="1"/>
    <col min="9" max="9" width="4.5703125" style="349" customWidth="1"/>
    <col min="10" max="10" width="6.5703125" style="349" customWidth="1"/>
    <col min="11" max="11" width="20" style="349" customWidth="1"/>
    <col min="12" max="14" width="11.140625" style="349" customWidth="1"/>
    <col min="15" max="15" width="5.5703125" style="349" bestFit="1" customWidth="1"/>
    <col min="16" max="17" width="5.5703125" style="349" customWidth="1"/>
    <col min="18" max="18" width="9" style="349" bestFit="1" customWidth="1"/>
    <col min="19" max="19" width="11.42578125" style="349"/>
    <col min="20" max="20" width="40.28515625" style="349" customWidth="1"/>
    <col min="21" max="22" width="13.5703125" style="349" customWidth="1"/>
    <col min="23" max="25" width="10.42578125" style="349" customWidth="1"/>
    <col min="26" max="26" width="14.85546875" style="349" bestFit="1" customWidth="1"/>
    <col min="27" max="28" width="11.42578125" style="349"/>
    <col min="29" max="29" width="54.28515625" style="349" customWidth="1"/>
    <col min="30" max="36" width="11.42578125" style="349"/>
    <col min="37" max="37" width="17.5703125" style="349" customWidth="1"/>
    <col min="38" max="38" width="11.42578125" style="349" customWidth="1"/>
    <col min="39" max="39" width="19.42578125" style="349" customWidth="1"/>
    <col min="40" max="41" width="12.28515625" style="349" customWidth="1"/>
    <col min="42" max="42" width="9.5703125" style="349" customWidth="1"/>
    <col min="43" max="43" width="11.42578125" style="349"/>
    <col min="44" max="44" width="11.7109375" style="349" bestFit="1" customWidth="1"/>
    <col min="45" max="45" width="11.42578125" style="349" customWidth="1"/>
    <col min="46" max="46" width="20.42578125" style="349" customWidth="1"/>
    <col min="47" max="47" width="24.7109375" style="349" customWidth="1"/>
    <col min="48" max="49" width="11.5703125" style="349" customWidth="1"/>
    <col min="50" max="53" width="11.42578125" style="349" customWidth="1"/>
    <col min="54" max="54" width="19.140625" style="352" customWidth="1"/>
    <col min="55" max="55" width="11.42578125" style="349" customWidth="1"/>
    <col min="56" max="56" width="18.5703125" style="349" customWidth="1"/>
    <col min="57" max="58" width="11.5703125" style="349" customWidth="1"/>
    <col min="59" max="59" width="10.7109375" style="349" customWidth="1"/>
    <col min="60" max="62" width="11.42578125" style="349" customWidth="1"/>
    <col min="63" max="65" width="11.42578125" style="349"/>
    <col min="66" max="66" width="19.85546875" style="349" customWidth="1"/>
    <col min="67" max="68" width="16.85546875" style="349" customWidth="1"/>
    <col min="69" max="70" width="10.42578125" style="349" customWidth="1"/>
    <col min="71" max="16384" width="11.42578125" style="349"/>
  </cols>
  <sheetData>
    <row r="1" spans="1:72">
      <c r="B1" s="349">
        <v>2006</v>
      </c>
      <c r="C1" s="349">
        <v>2010</v>
      </c>
      <c r="D1" s="349">
        <v>2015</v>
      </c>
      <c r="E1" s="350">
        <v>2020</v>
      </c>
      <c r="F1" s="351">
        <v>2025</v>
      </c>
      <c r="G1" s="351">
        <v>2030</v>
      </c>
      <c r="H1" s="468">
        <v>2050</v>
      </c>
      <c r="I1" s="469"/>
      <c r="L1" s="349">
        <v>2006</v>
      </c>
      <c r="M1" s="349">
        <v>2010</v>
      </c>
      <c r="N1" s="349">
        <v>2015</v>
      </c>
      <c r="O1" s="350">
        <v>2020</v>
      </c>
      <c r="P1" s="351">
        <v>2025</v>
      </c>
      <c r="Q1" s="351">
        <v>2030</v>
      </c>
      <c r="R1" s="351">
        <v>2050</v>
      </c>
      <c r="U1" s="349">
        <v>2006</v>
      </c>
      <c r="V1" s="349">
        <v>2010</v>
      </c>
      <c r="W1" s="349">
        <v>2015</v>
      </c>
      <c r="X1" s="350">
        <v>2020</v>
      </c>
      <c r="Y1" s="351">
        <v>2025</v>
      </c>
      <c r="Z1" s="351">
        <v>2030</v>
      </c>
      <c r="AA1" s="351">
        <v>2050</v>
      </c>
      <c r="AD1" s="349">
        <v>2006</v>
      </c>
      <c r="AE1" s="349">
        <v>2010</v>
      </c>
      <c r="AF1" s="349">
        <v>2015</v>
      </c>
      <c r="AG1" s="350">
        <v>2020</v>
      </c>
      <c r="AH1" s="351">
        <v>2025</v>
      </c>
      <c r="AI1" s="351">
        <v>2030</v>
      </c>
      <c r="AJ1" s="351">
        <v>2050</v>
      </c>
    </row>
    <row r="2" spans="1:72" ht="15">
      <c r="A2" s="353" t="s">
        <v>10</v>
      </c>
      <c r="B2" s="354">
        <f>B3+B9+B27+B37</f>
        <v>272.71929624030639</v>
      </c>
      <c r="C2" s="354">
        <f t="shared" ref="C2:H2" si="0">C3+C9+C27+C37</f>
        <v>260.80848078354921</v>
      </c>
      <c r="D2" s="354">
        <f>D3+D9+D27+D37</f>
        <v>248.8775461749031</v>
      </c>
      <c r="E2" s="354">
        <f t="shared" si="0"/>
        <v>240.96334877413645</v>
      </c>
      <c r="F2" s="354">
        <f t="shared" si="0"/>
        <v>226.01213816072547</v>
      </c>
      <c r="G2" s="354">
        <f t="shared" si="0"/>
        <v>202.08273736510716</v>
      </c>
      <c r="H2" s="354">
        <f t="shared" si="0"/>
        <v>113.97932429682874</v>
      </c>
      <c r="I2" s="355"/>
      <c r="K2" s="356" t="s">
        <v>263</v>
      </c>
      <c r="L2" s="356">
        <f>L3+L7+L16+L23</f>
        <v>272.71929624030639</v>
      </c>
      <c r="M2" s="356">
        <f>M3+M7+M16+M23</f>
        <v>260.80848078354921</v>
      </c>
      <c r="N2" s="356">
        <f>N3+N7+N16+N23</f>
        <v>248.8775461749031</v>
      </c>
      <c r="O2" s="356">
        <f>O3+O7+O16+O23</f>
        <v>240.96334877413645</v>
      </c>
      <c r="P2" s="356">
        <f t="shared" ref="P2:R2" si="1">P3+P7+P16+P23</f>
        <v>226.01213816072547</v>
      </c>
      <c r="Q2" s="356">
        <f t="shared" si="1"/>
        <v>202.08273736510716</v>
      </c>
      <c r="R2" s="356">
        <f t="shared" si="1"/>
        <v>113.97932429682874</v>
      </c>
      <c r="T2" s="356" t="s">
        <v>264</v>
      </c>
      <c r="U2" s="356">
        <f t="shared" ref="U2:Z2" si="2">U3+U7+U16+U23</f>
        <v>164.52629258657473</v>
      </c>
      <c r="V2" s="356">
        <f t="shared" si="2"/>
        <v>160.48063571428577</v>
      </c>
      <c r="W2" s="356">
        <f t="shared" ref="W2" si="3">W3+W7+W16+W23</f>
        <v>133.40235056048283</v>
      </c>
      <c r="X2" s="356">
        <f>X3+X7+X16+X23</f>
        <v>129.20344873752424</v>
      </c>
      <c r="Y2" s="356">
        <f t="shared" ref="Y2" si="4">Y3+Y7+Y16+Y23</f>
        <v>119.62126985670793</v>
      </c>
      <c r="Z2" s="356">
        <f t="shared" si="2"/>
        <v>108.69387498822952</v>
      </c>
      <c r="AA2" s="356">
        <f>AA3+AA7+AA16+AA23</f>
        <v>76.584010768078116</v>
      </c>
      <c r="AC2" s="356" t="s">
        <v>265</v>
      </c>
      <c r="AD2" s="356">
        <f>AD3+AD7+AD16+AD23</f>
        <v>169.142</v>
      </c>
      <c r="AE2" s="356">
        <f t="shared" ref="AE2:AI2" si="5">AE3+AE7+AE16+AE23</f>
        <v>163.77451094145937</v>
      </c>
      <c r="AF2" s="356">
        <f t="shared" si="5"/>
        <v>152.32940849121877</v>
      </c>
      <c r="AG2" s="356">
        <f t="shared" si="5"/>
        <v>145.04331192331227</v>
      </c>
      <c r="AH2" s="356">
        <f t="shared" si="5"/>
        <v>133.87529823670707</v>
      </c>
      <c r="AI2" s="356">
        <f t="shared" si="5"/>
        <v>121.33608354143749</v>
      </c>
      <c r="AJ2" s="356">
        <f>AJ3+AJ7+AJ16+AJ23</f>
        <v>82.370351513346648</v>
      </c>
    </row>
    <row r="3" spans="1:72" ht="12.75">
      <c r="A3" s="357" t="s">
        <v>266</v>
      </c>
      <c r="B3" s="358">
        <f t="shared" ref="B3:H3" si="6">SUM(B4:B5)</f>
        <v>91.21</v>
      </c>
      <c r="C3" s="359">
        <f t="shared" ref="C3" si="7">SUM(C4:C5)</f>
        <v>83.818013392857139</v>
      </c>
      <c r="D3" s="358">
        <f t="shared" si="6"/>
        <v>73.855125937974464</v>
      </c>
      <c r="E3" s="358">
        <f t="shared" si="6"/>
        <v>67.488846243040285</v>
      </c>
      <c r="F3" s="358">
        <f t="shared" si="6"/>
        <v>57.235150231507291</v>
      </c>
      <c r="G3" s="358">
        <f t="shared" si="6"/>
        <v>46.127257147190747</v>
      </c>
      <c r="H3" s="358">
        <f t="shared" si="6"/>
        <v>8.5167093653436066</v>
      </c>
      <c r="I3" s="355"/>
      <c r="K3" s="360" t="s">
        <v>266</v>
      </c>
      <c r="L3" s="360">
        <f>SUM(L4:L6)</f>
        <v>91.21</v>
      </c>
      <c r="M3" s="360">
        <f>SUM(M4:M6)</f>
        <v>83.818013392857139</v>
      </c>
      <c r="N3" s="360">
        <f>SUM(N4:N6)</f>
        <v>73.855125937974464</v>
      </c>
      <c r="O3" s="360">
        <f>SUM(O4:O6)</f>
        <v>67.488846243040285</v>
      </c>
      <c r="P3" s="360">
        <f t="shared" ref="P3:R3" si="8">SUM(P4:P6)</f>
        <v>57.235150231507291</v>
      </c>
      <c r="Q3" s="360">
        <f t="shared" si="8"/>
        <v>46.127257147190747</v>
      </c>
      <c r="R3" s="360">
        <f t="shared" si="8"/>
        <v>8.5167093653436066</v>
      </c>
      <c r="T3" s="360" t="s">
        <v>266</v>
      </c>
      <c r="U3" s="360">
        <f t="shared" ref="U3:X3" si="9">SUM(U4:U6)</f>
        <v>84.603402765132103</v>
      </c>
      <c r="V3" s="360">
        <f t="shared" si="9"/>
        <v>78.97801339285715</v>
      </c>
      <c r="W3" s="360">
        <f t="shared" ref="W3" si="10">SUM(W4:W6)</f>
        <v>58.173525937974453</v>
      </c>
      <c r="X3" s="360">
        <f t="shared" si="9"/>
        <v>54.0830783579949</v>
      </c>
      <c r="Y3" s="360">
        <f t="shared" ref="Y3:AA3" si="11">SUM(Y4:Y6)</f>
        <v>45.79820690212312</v>
      </c>
      <c r="Z3" s="360">
        <f t="shared" si="11"/>
        <v>36.522127627697756</v>
      </c>
      <c r="AA3" s="360">
        <f t="shared" si="11"/>
        <v>5.3608606278483579</v>
      </c>
      <c r="AC3" s="360" t="s">
        <v>266</v>
      </c>
      <c r="AD3" s="360">
        <f t="shared" ref="AD3:AJ3" si="12">SUM(AD4:AD6)</f>
        <v>86.36999999999999</v>
      </c>
      <c r="AE3" s="360">
        <f t="shared" si="12"/>
        <v>78.97801339285715</v>
      </c>
      <c r="AF3" s="360">
        <f t="shared" si="12"/>
        <v>72.013405937974468</v>
      </c>
      <c r="AG3" s="360">
        <f t="shared" si="12"/>
        <v>65.783888951577069</v>
      </c>
      <c r="AH3" s="360">
        <f t="shared" si="12"/>
        <v>56.156950231507288</v>
      </c>
      <c r="AI3" s="360">
        <f t="shared" si="12"/>
        <v>45.049057147190751</v>
      </c>
      <c r="AJ3" s="360">
        <f t="shared" si="12"/>
        <v>8.5167093653436066</v>
      </c>
      <c r="AM3" s="361"/>
      <c r="AN3" s="361">
        <v>2006</v>
      </c>
      <c r="AO3" s="361">
        <v>2010</v>
      </c>
      <c r="AP3" s="361">
        <v>2015</v>
      </c>
      <c r="AQ3" s="361">
        <v>2020</v>
      </c>
      <c r="AR3" s="361">
        <v>2030</v>
      </c>
      <c r="AS3" s="361">
        <v>2050</v>
      </c>
      <c r="AU3" s="361" t="s">
        <v>267</v>
      </c>
      <c r="AV3" s="361">
        <v>2006</v>
      </c>
      <c r="AW3" s="361">
        <v>2010</v>
      </c>
      <c r="AX3" s="361">
        <v>2015</v>
      </c>
      <c r="AY3" s="361">
        <v>2020</v>
      </c>
      <c r="AZ3" s="361">
        <v>2030</v>
      </c>
      <c r="BA3" s="361">
        <v>2050</v>
      </c>
      <c r="BD3" s="361" t="s">
        <v>268</v>
      </c>
      <c r="BE3" s="361">
        <v>2006</v>
      </c>
      <c r="BF3" s="361">
        <v>2010</v>
      </c>
      <c r="BG3" s="361">
        <v>2015</v>
      </c>
      <c r="BH3" s="361">
        <v>2020</v>
      </c>
      <c r="BI3" s="361">
        <v>2030</v>
      </c>
      <c r="BJ3" s="361">
        <v>2050</v>
      </c>
      <c r="BN3" s="361" t="s">
        <v>269</v>
      </c>
      <c r="BO3" s="361">
        <v>2006</v>
      </c>
      <c r="BP3" s="361">
        <v>2010</v>
      </c>
      <c r="BQ3" s="361">
        <v>2015</v>
      </c>
      <c r="BR3" s="361">
        <v>2020</v>
      </c>
      <c r="BS3" s="361">
        <v>2030</v>
      </c>
      <c r="BT3" s="361">
        <v>2050</v>
      </c>
    </row>
    <row r="4" spans="1:72" ht="15">
      <c r="A4" s="362" t="s">
        <v>270</v>
      </c>
      <c r="B4" s="364">
        <f>'Bilan 2006'!$C$33+'Bilan 2006'!$C$42+'Bilan 2006'!$C$43</f>
        <v>90.509999999999991</v>
      </c>
      <c r="C4" s="364">
        <f>'Bilan 2010'!$C$33+'Bilan 2010'!$C$42+'Bilan 2010'!$C$43</f>
        <v>81.03</v>
      </c>
      <c r="D4" s="363">
        <f>'Bilan 2015'!$C$33+'Bilan 2015'!$C$42+'Bilan 2015'!$C$43</f>
        <v>70.906970516172606</v>
      </c>
      <c r="E4" s="363">
        <f>'Bilan 2020'!$C$33+'Bilan 2020'!$C$42+'Bilan 2020'!$C$43</f>
        <v>64.481549351430743</v>
      </c>
      <c r="F4" s="363">
        <f>'Bilan 2025'!$C$33+'Bilan 2025'!$C$42+'Bilan 2025'!$C$43</f>
        <v>54.170218430827056</v>
      </c>
      <c r="G4" s="363">
        <f>'Bilan 2030'!$C$33+'Bilan 2030'!$C$42+'Bilan 2030'!$C$43</f>
        <v>42.90857539669534</v>
      </c>
      <c r="H4" s="363">
        <f>'Bilan 2050'!$C$33+'Bilan 2050'!$C$42+'Bilan 2050'!$C$43</f>
        <v>4.2982320912447305</v>
      </c>
      <c r="I4" s="355"/>
      <c r="K4" s="365" t="s">
        <v>270</v>
      </c>
      <c r="L4" s="365">
        <f>B4</f>
        <v>90.509999999999991</v>
      </c>
      <c r="M4" s="365">
        <f t="shared" ref="M4:R5" si="13">C4</f>
        <v>81.03</v>
      </c>
      <c r="N4" s="365">
        <f t="shared" si="13"/>
        <v>70.906970516172606</v>
      </c>
      <c r="O4" s="365">
        <f t="shared" si="13"/>
        <v>64.481549351430743</v>
      </c>
      <c r="P4" s="365">
        <f t="shared" si="13"/>
        <v>54.170218430827056</v>
      </c>
      <c r="Q4" s="365">
        <f t="shared" si="13"/>
        <v>42.90857539669534</v>
      </c>
      <c r="R4" s="365">
        <f t="shared" si="13"/>
        <v>4.2982320912447305</v>
      </c>
      <c r="S4" s="352">
        <f>2201</f>
        <v>2201</v>
      </c>
      <c r="T4" s="365" t="s">
        <v>270</v>
      </c>
      <c r="U4" s="365">
        <f>'Bilan 2006'!$G$42+'Bilan 2006'!$P$43</f>
        <v>83.9034027651321</v>
      </c>
      <c r="V4" s="365">
        <f>'Bilan 2010'!$G$42+'Bilan 2010'!$P$43</f>
        <v>76.190000000000012</v>
      </c>
      <c r="W4" s="365">
        <f>'Bilan 2015'!$G$42+'Bilan 2015'!$P$43</f>
        <v>55.225370516172603</v>
      </c>
      <c r="X4" s="365">
        <f>'Bilan 2020'!$G$42+'Bilan 2020'!$P$43</f>
        <v>51.075781466385351</v>
      </c>
      <c r="Y4" s="365">
        <f>'Bilan 2025'!$G$42+'Bilan 2025'!$P$43</f>
        <v>42.733275101442885</v>
      </c>
      <c r="Z4" s="365">
        <f>'Bilan 2030'!$G$42+'Bilan 2030'!$P$43</f>
        <v>33.30344587720235</v>
      </c>
      <c r="AA4" s="365">
        <f>'Bilan 2050'!$G$42+'Bilan 2050'!$P$43</f>
        <v>1.1423833537494816</v>
      </c>
      <c r="AB4" s="366"/>
      <c r="AC4" s="365" t="s">
        <v>270</v>
      </c>
      <c r="AD4" s="365">
        <f>'Bilan 2006'!$G$42+'Bilan 2006'!$G$43</f>
        <v>85.669999999999987</v>
      </c>
      <c r="AE4" s="365">
        <f>'Bilan 2010'!$G$42+'Bilan 2010'!$G$43</f>
        <v>76.190000000000012</v>
      </c>
      <c r="AF4" s="365">
        <f>'Bilan 2015'!$G$42+'Bilan 2015'!$G$43+'Bilan 2015'!$G$33</f>
        <v>69.065250516172611</v>
      </c>
      <c r="AG4" s="365">
        <f>'Bilan 2020'!$G$42+'Bilan 2020'!$G$43+'Bilan 2020'!$G$33</f>
        <v>62.776592059967527</v>
      </c>
      <c r="AH4" s="365">
        <f>'Bilan 2025'!$G$42+'Bilan 2025'!$G$43+'Bilan 2025'!$G$33</f>
        <v>53.092018430827054</v>
      </c>
      <c r="AI4" s="365">
        <f>'Bilan 2030'!$G$42+'Bilan 2030'!$G$43+'Bilan 2030'!$G$33</f>
        <v>41.830375396695345</v>
      </c>
      <c r="AJ4" s="365">
        <f>'Bilan 2050'!$G$42+'Bilan 2050'!$G$43+'Bilan 2050'!$G$33</f>
        <v>4.2982320912447305</v>
      </c>
      <c r="AK4" s="366"/>
      <c r="AL4" s="366"/>
      <c r="AM4" s="367" t="s">
        <v>271</v>
      </c>
      <c r="AN4" s="361">
        <f>AV4/U4</f>
        <v>5.7685383911644614E-2</v>
      </c>
      <c r="AO4" s="361">
        <f t="shared" ref="AO4:AS5" si="14">AW4/V4</f>
        <v>6.3525397033731307E-2</v>
      </c>
      <c r="AP4" s="361">
        <f t="shared" si="14"/>
        <v>3.2539392369920872E-2</v>
      </c>
      <c r="AQ4" s="361">
        <f t="shared" si="14"/>
        <v>3.3284151906021159E-2</v>
      </c>
      <c r="AR4" s="361">
        <f>AZ4/Z4</f>
        <v>3.2375028217067309E-2</v>
      </c>
      <c r="AS4" s="361">
        <f>IF(BA4&gt;0,BA4/AA6,AR4)</f>
        <v>3.2375028217067309E-2</v>
      </c>
      <c r="AU4" s="368" t="s">
        <v>272</v>
      </c>
      <c r="AV4" s="369">
        <f>'Bilan 2006'!$E43+'Bilan 2006'!$E42</f>
        <v>4.8399999999999892</v>
      </c>
      <c r="AW4" s="369">
        <f>'Bilan 2010'!$E43+'Bilan 2010'!$E42</f>
        <v>4.8399999999999892</v>
      </c>
      <c r="AX4" s="369">
        <f>'Bilan 2015'!$E43+'Bilan 2015'!$E42</f>
        <v>1.7969999999999999</v>
      </c>
      <c r="AY4" s="369">
        <f>'Bilan 2020'!$E43+'Bilan 2020'!$E42</f>
        <v>1.70001406904591</v>
      </c>
      <c r="AZ4" s="369">
        <f>'Bilan 2030'!$E43+'Bilan 2030'!$E42</f>
        <v>1.0782</v>
      </c>
      <c r="BA4" s="369">
        <f>'Bilan 2050'!$E43+'Bilan 2050'!$E42</f>
        <v>0</v>
      </c>
      <c r="BB4" s="370"/>
      <c r="BD4" s="371" t="s">
        <v>273</v>
      </c>
      <c r="BE4" s="361">
        <f t="shared" ref="BE4:BF5" si="15">BO4/U4</f>
        <v>0</v>
      </c>
      <c r="BF4" s="361">
        <f t="shared" si="15"/>
        <v>0</v>
      </c>
      <c r="BG4" s="361">
        <f t="shared" ref="BG4:BG5" si="16">BQ4/W4</f>
        <v>0</v>
      </c>
      <c r="BH4" s="361">
        <f t="shared" ref="BH4:BH5" si="17">BR4/X4</f>
        <v>0</v>
      </c>
      <c r="BI4" s="361">
        <v>0</v>
      </c>
      <c r="BJ4" s="361">
        <v>0</v>
      </c>
      <c r="BK4" s="366"/>
      <c r="BL4" s="366"/>
      <c r="BM4" s="366"/>
      <c r="BN4" s="371" t="s">
        <v>274</v>
      </c>
      <c r="BO4" s="361">
        <f t="shared" ref="BO4:BR5" si="18">BQ4</f>
        <v>0</v>
      </c>
      <c r="BP4" s="361">
        <f t="shared" si="18"/>
        <v>0</v>
      </c>
      <c r="BQ4" s="361">
        <f t="shared" si="18"/>
        <v>0</v>
      </c>
      <c r="BR4" s="361">
        <f t="shared" si="18"/>
        <v>0</v>
      </c>
      <c r="BS4" s="361">
        <f t="shared" ref="BQ4:BT19" si="19">BT4</f>
        <v>0</v>
      </c>
      <c r="BT4" s="361">
        <f t="shared" si="19"/>
        <v>0</v>
      </c>
    </row>
    <row r="5" spans="1:72" ht="15">
      <c r="A5" s="362" t="s">
        <v>275</v>
      </c>
      <c r="B5" s="365">
        <f>'Bilan 2006'!$G$41</f>
        <v>0.7</v>
      </c>
      <c r="C5" s="365">
        <f>'Bilan 2010'!$G$41</f>
        <v>2.7880133928571427</v>
      </c>
      <c r="D5" s="365">
        <f>'Bilan 2015'!$G$41</f>
        <v>2.9481554218018533</v>
      </c>
      <c r="E5" s="365">
        <f>'Bilan 2020'!$G$41</f>
        <v>3.0072968916095459</v>
      </c>
      <c r="F5" s="365">
        <f>'Bilan 2025'!$G$41</f>
        <v>3.0649318006802346</v>
      </c>
      <c r="G5" s="365">
        <f>'Bilan 2030'!$G$41</f>
        <v>3.2186817504954033</v>
      </c>
      <c r="H5" s="365">
        <f>'Bilan 2050'!$G$41</f>
        <v>4.2184772740988761</v>
      </c>
      <c r="I5" s="372"/>
      <c r="K5" s="365" t="s">
        <v>275</v>
      </c>
      <c r="L5" s="365">
        <f>B5</f>
        <v>0.7</v>
      </c>
      <c r="M5" s="365">
        <f t="shared" si="13"/>
        <v>2.7880133928571427</v>
      </c>
      <c r="N5" s="365">
        <f t="shared" si="13"/>
        <v>2.9481554218018533</v>
      </c>
      <c r="O5" s="365">
        <f t="shared" si="13"/>
        <v>3.0072968916095459</v>
      </c>
      <c r="P5" s="365">
        <f t="shared" si="13"/>
        <v>3.0649318006802346</v>
      </c>
      <c r="Q5" s="365">
        <f t="shared" si="13"/>
        <v>3.2186817504954033</v>
      </c>
      <c r="R5" s="365">
        <f t="shared" si="13"/>
        <v>4.2184772740988761</v>
      </c>
      <c r="S5" s="352">
        <f>S4+1</f>
        <v>2202</v>
      </c>
      <c r="T5" s="365" t="s">
        <v>275</v>
      </c>
      <c r="U5" s="365">
        <f>'Bilan 2006'!$G$41</f>
        <v>0.7</v>
      </c>
      <c r="V5" s="365">
        <f>'Bilan 2010'!$G$41</f>
        <v>2.7880133928571427</v>
      </c>
      <c r="W5" s="365">
        <f>'Bilan 2015'!$G$41</f>
        <v>2.9481554218018533</v>
      </c>
      <c r="X5" s="365">
        <f>'Bilan 2020'!$G$41</f>
        <v>3.0072968916095459</v>
      </c>
      <c r="Y5" s="365">
        <f>'Bilan 2025'!$G$41</f>
        <v>3.0649318006802346</v>
      </c>
      <c r="Z5" s="365">
        <f>'Bilan 2030'!$G$41</f>
        <v>3.2186817504954033</v>
      </c>
      <c r="AA5" s="365">
        <f>'Bilan 2050'!$G$41</f>
        <v>4.2184772740988761</v>
      </c>
      <c r="AB5" s="366"/>
      <c r="AC5" s="365" t="s">
        <v>275</v>
      </c>
      <c r="AD5" s="365">
        <f>'Bilan 2006'!$G$41</f>
        <v>0.7</v>
      </c>
      <c r="AE5" s="365">
        <f>'Bilan 2010'!$G$41</f>
        <v>2.7880133928571427</v>
      </c>
      <c r="AF5" s="365">
        <f>'Bilan 2015'!$G$41</f>
        <v>2.9481554218018533</v>
      </c>
      <c r="AG5" s="365">
        <f>'Bilan 2020'!$G$41</f>
        <v>3.0072968916095459</v>
      </c>
      <c r="AH5" s="365">
        <f>'Bilan 2025'!$G$41</f>
        <v>3.0649318006802346</v>
      </c>
      <c r="AI5" s="365">
        <f>'Bilan 2030'!$G$41</f>
        <v>3.2186817504954033</v>
      </c>
      <c r="AJ5" s="365">
        <f>'Bilan 2050'!$G$41</f>
        <v>4.2184772740988761</v>
      </c>
      <c r="AM5" s="367" t="s">
        <v>276</v>
      </c>
      <c r="AN5" s="361">
        <f>AV5/U5</f>
        <v>0</v>
      </c>
      <c r="AO5" s="361">
        <f t="shared" si="14"/>
        <v>0</v>
      </c>
      <c r="AP5" s="361">
        <f t="shared" si="14"/>
        <v>0</v>
      </c>
      <c r="AQ5" s="361">
        <f t="shared" si="14"/>
        <v>0</v>
      </c>
      <c r="AR5" s="361">
        <f>AZ5/Z5</f>
        <v>0</v>
      </c>
      <c r="AS5" s="361">
        <f t="shared" si="14"/>
        <v>0</v>
      </c>
      <c r="AU5" s="368" t="s">
        <v>277</v>
      </c>
      <c r="AV5" s="361">
        <f>AX5</f>
        <v>0</v>
      </c>
      <c r="AW5" s="361">
        <f t="shared" ref="AW5:BA5" si="20">AY5</f>
        <v>0</v>
      </c>
      <c r="AX5" s="361">
        <f t="shared" si="20"/>
        <v>0</v>
      </c>
      <c r="AY5" s="361">
        <f t="shared" si="20"/>
        <v>0</v>
      </c>
      <c r="AZ5" s="361">
        <f t="shared" si="20"/>
        <v>0</v>
      </c>
      <c r="BA5" s="361">
        <f t="shared" si="20"/>
        <v>0</v>
      </c>
      <c r="BB5" s="370"/>
      <c r="BD5" s="368" t="s">
        <v>278</v>
      </c>
      <c r="BE5" s="361">
        <f t="shared" si="15"/>
        <v>0</v>
      </c>
      <c r="BF5" s="361">
        <f t="shared" si="15"/>
        <v>0</v>
      </c>
      <c r="BG5" s="361">
        <f t="shared" si="16"/>
        <v>0</v>
      </c>
      <c r="BH5" s="361">
        <f t="shared" si="17"/>
        <v>0</v>
      </c>
      <c r="BI5" s="361">
        <f t="shared" ref="BI5:BI10" si="21">BS5/Z7</f>
        <v>0</v>
      </c>
      <c r="BJ5" s="361">
        <f t="shared" ref="BJ5:BJ10" si="22">BT5/AA7</f>
        <v>0</v>
      </c>
      <c r="BK5" s="366"/>
      <c r="BL5" s="366"/>
      <c r="BM5" s="366"/>
      <c r="BN5" s="368" t="s">
        <v>279</v>
      </c>
      <c r="BO5" s="361">
        <f t="shared" si="18"/>
        <v>0</v>
      </c>
      <c r="BP5" s="361">
        <f t="shared" si="18"/>
        <v>0</v>
      </c>
      <c r="BQ5" s="361">
        <f t="shared" si="18"/>
        <v>0</v>
      </c>
      <c r="BR5" s="361">
        <f t="shared" si="18"/>
        <v>0</v>
      </c>
      <c r="BS5" s="361">
        <f t="shared" si="19"/>
        <v>0</v>
      </c>
      <c r="BT5" s="361">
        <f t="shared" si="19"/>
        <v>0</v>
      </c>
    </row>
    <row r="6" spans="1:72" ht="15">
      <c r="A6" s="373" t="s">
        <v>280</v>
      </c>
      <c r="B6" s="374"/>
      <c r="C6" s="374"/>
      <c r="D6" s="374"/>
      <c r="E6" s="374"/>
      <c r="F6" s="374"/>
      <c r="G6" s="374"/>
      <c r="H6" s="374"/>
      <c r="I6" s="355">
        <f>'Bilan 2050'!$C39</f>
        <v>2.566988170400565</v>
      </c>
      <c r="K6" s="365" t="s">
        <v>181</v>
      </c>
      <c r="L6" s="365"/>
      <c r="M6" s="365"/>
      <c r="N6" s="365"/>
      <c r="O6" s="365"/>
      <c r="P6" s="365"/>
      <c r="Q6" s="365"/>
      <c r="R6" s="365"/>
      <c r="S6" s="352"/>
      <c r="T6" s="365" t="s">
        <v>181</v>
      </c>
      <c r="U6" s="365"/>
      <c r="V6" s="365"/>
      <c r="W6" s="365"/>
      <c r="X6" s="365"/>
      <c r="Y6" s="365"/>
      <c r="Z6" s="365"/>
      <c r="AA6" s="365"/>
      <c r="AB6" s="366"/>
      <c r="AC6" s="365" t="s">
        <v>181</v>
      </c>
      <c r="AD6" s="365"/>
      <c r="AE6" s="365"/>
      <c r="AF6" s="365"/>
      <c r="AG6" s="365"/>
      <c r="AH6" s="365"/>
      <c r="AI6" s="365"/>
      <c r="AJ6" s="365"/>
      <c r="AM6" s="367" t="s">
        <v>281</v>
      </c>
      <c r="AN6" s="361">
        <f t="shared" ref="AN6:AN13" si="23">AV6/U8</f>
        <v>2.6639826179960764</v>
      </c>
      <c r="AO6" s="361">
        <f t="shared" ref="AO6:AO13" si="24">AW6/V8</f>
        <v>2.5091759968150584</v>
      </c>
      <c r="AP6" s="361">
        <f t="shared" ref="AP6:AP13" si="25">AX6/W8</f>
        <v>2.4652584598661704</v>
      </c>
      <c r="AQ6" s="361">
        <f t="shared" ref="AQ6:AQ13" si="26">AY6/X8</f>
        <v>2.6970417818165031</v>
      </c>
      <c r="AR6" s="361">
        <f>AZ6/Z8</f>
        <v>2.8615075471294049</v>
      </c>
      <c r="AS6" s="361">
        <f>BA6/AA8</f>
        <v>2.717894914149793</v>
      </c>
      <c r="AU6" s="368" t="s">
        <v>282</v>
      </c>
      <c r="AV6" s="361">
        <f>'Bilan 2006'!$E10</f>
        <v>78.751749761417841</v>
      </c>
      <c r="AW6" s="361">
        <f>'Bilan 2010'!$E10</f>
        <v>74.444100656757684</v>
      </c>
      <c r="AX6" s="361">
        <f>'Bilan 2015'!$E10</f>
        <v>74.654196305271114</v>
      </c>
      <c r="AY6" s="361">
        <f>'Bilan 2020'!$E10</f>
        <v>74.379647899055513</v>
      </c>
      <c r="AZ6" s="361">
        <f>'Bilan 2030'!$E10</f>
        <v>59.503718319244413</v>
      </c>
      <c r="BA6" s="361">
        <f>'Bilan 2050'!$E10</f>
        <v>17.196904557179739</v>
      </c>
      <c r="BB6" s="370"/>
      <c r="BD6" s="368" t="s">
        <v>283</v>
      </c>
      <c r="BE6" s="361">
        <f t="shared" ref="BE6:BF13" si="27">BO6/U8</f>
        <v>0.1776252322770277</v>
      </c>
      <c r="BF6" s="361">
        <f t="shared" si="27"/>
        <v>0.1812529294911524</v>
      </c>
      <c r="BG6" s="361">
        <f t="shared" ref="BG6:BG13" si="28">BQ6/W8</f>
        <v>0.16501419892423191</v>
      </c>
      <c r="BH6" s="361">
        <f t="shared" ref="BH6:BH13" si="29">BR6/X8</f>
        <v>0.16283914663209398</v>
      </c>
      <c r="BI6" s="361">
        <f t="shared" si="21"/>
        <v>0.18844593086093922</v>
      </c>
      <c r="BJ6" s="361">
        <f t="shared" si="22"/>
        <v>0.2260630194385633</v>
      </c>
      <c r="BK6" s="366"/>
      <c r="BL6" s="366"/>
      <c r="BM6" s="366"/>
      <c r="BN6" s="368" t="s">
        <v>284</v>
      </c>
      <c r="BO6" s="361">
        <f>'Bilan 2006'!$I$13*'Bilan 2006'!$G10/SUM('Bilan 2006'!$G$10:$G19)+'Bilan 2006'!$K$12*'Bilan 2006'!G10/SUM('Bilan 2006'!$G$7:$G$19)</f>
        <v>5.2508968148285442</v>
      </c>
      <c r="BP6" s="361">
        <f>'Bilan 2010'!$I$13*'Bilan 2010'!$G10/SUM('Bilan 2010'!$G$10:$G19)+'Bilan 2010'!$K$12*'Bilan 2010'!$G$10/SUM('Bilan 2010'!$G$7:$G$19)</f>
        <v>5.377546790061249</v>
      </c>
      <c r="BQ6" s="361">
        <f>'Bilan 2015'!$I$13*'Bilan 2015'!$G10/SUM('Bilan 2015'!$G$10:$G19)+'Bilan 2015'!$K$12*'Bilan 2015'!$G$10/SUM('Bilan 2015'!$G$7:$G$19)</f>
        <v>4.9970429470974889</v>
      </c>
      <c r="BR6" s="361">
        <f>'Bilan 2020'!$I$13*'Bilan 2020'!$G10/SUM('Bilan 2020'!$G$10:$G19)+'Bilan 2020'!$K$12*'Bilan 2020'!$G$10/SUM('Bilan 2020'!$G$7:$G$19)</f>
        <v>4.4908160015675547</v>
      </c>
      <c r="BS6" s="361">
        <f>'Bilan 2030'!$I$13*'Bilan 2030'!$G10/SUM('Bilan 2030'!$G$10:$G19)+'Bilan 2030'!$K$12*'Bilan 2030'!$G$10/SUM('Bilan 2030'!$G$7:$G$19)</f>
        <v>3.9186454704989266</v>
      </c>
      <c r="BT6" s="361">
        <f>('Bilan 2050'!$I$13+'Bilan 2050'!$K$12+'Bilan 2050'!$M$12)*'Bilan 2050'!$G$10/SUM('Bilan 2050'!$G$7:$G$19)</f>
        <v>1.4303658868315547</v>
      </c>
    </row>
    <row r="7" spans="1:72" ht="15">
      <c r="A7" s="375" t="s">
        <v>285</v>
      </c>
      <c r="B7" s="376"/>
      <c r="C7" s="376"/>
      <c r="D7" s="376"/>
      <c r="E7" s="376"/>
      <c r="F7" s="376"/>
      <c r="G7" s="376"/>
      <c r="H7" s="376"/>
      <c r="I7" s="355" t="e">
        <f>'Bilan 2050'!#REF!*(SUM('Bilan 2050'!C21:C23)/'Bilan 2050'!D21)</f>
        <v>#REF!</v>
      </c>
      <c r="K7" s="360" t="s">
        <v>104</v>
      </c>
      <c r="L7" s="360">
        <f>SUM(L8:L15)</f>
        <v>134.57929624030641</v>
      </c>
      <c r="M7" s="360">
        <f>SUM(M8:M15)</f>
        <v>128.53748245765641</v>
      </c>
      <c r="N7" s="360">
        <f>SUM(N8:N15)</f>
        <v>129.56373899657169</v>
      </c>
      <c r="O7" s="360">
        <f>SUM(O8:O15)</f>
        <v>129.31741375216353</v>
      </c>
      <c r="P7" s="360">
        <f t="shared" ref="P7:R7" si="30">SUM(P8:P15)</f>
        <v>125.69846015899624</v>
      </c>
      <c r="Q7" s="360">
        <f t="shared" si="30"/>
        <v>113.75749519083458</v>
      </c>
      <c r="R7" s="360">
        <f t="shared" si="30"/>
        <v>74.1482435480455</v>
      </c>
      <c r="S7" s="352"/>
      <c r="T7" s="360" t="s">
        <v>104</v>
      </c>
      <c r="U7" s="360">
        <f t="shared" ref="U7:X7" si="31">SUM(U8:U15)</f>
        <v>37</v>
      </c>
      <c r="V7" s="360">
        <f t="shared" si="31"/>
        <v>38.010000000000012</v>
      </c>
      <c r="W7" s="360">
        <f t="shared" ref="W7" si="32">SUM(W8:W15)</f>
        <v>38.082514273546224</v>
      </c>
      <c r="X7" s="360">
        <f t="shared" si="31"/>
        <v>38.25713313187228</v>
      </c>
      <c r="Y7" s="360">
        <f t="shared" ref="Y7:AA7" si="33">SUM(Y8:Y15)</f>
        <v>37.898500594308402</v>
      </c>
      <c r="Z7" s="360">
        <f t="shared" si="33"/>
        <v>37.575134575981934</v>
      </c>
      <c r="AA7" s="360">
        <f t="shared" si="33"/>
        <v>45.837362436952425</v>
      </c>
      <c r="AB7" s="366"/>
      <c r="AC7" s="360" t="s">
        <v>104</v>
      </c>
      <c r="AD7" s="360">
        <f t="shared" ref="AD7:AJ7" si="34">SUM(AD8:AD15)</f>
        <v>37</v>
      </c>
      <c r="AE7" s="360">
        <f t="shared" si="34"/>
        <v>38.010000000000012</v>
      </c>
      <c r="AF7" s="360">
        <f t="shared" si="34"/>
        <v>38.082514273546224</v>
      </c>
      <c r="AG7" s="360">
        <f t="shared" si="34"/>
        <v>38.25713313187228</v>
      </c>
      <c r="AH7" s="360">
        <f t="shared" si="34"/>
        <v>37.898500594308402</v>
      </c>
      <c r="AI7" s="360">
        <f t="shared" si="34"/>
        <v>37.575134575981934</v>
      </c>
      <c r="AJ7" s="360">
        <f t="shared" si="34"/>
        <v>45.93735243695243</v>
      </c>
      <c r="AM7" s="367" t="s">
        <v>286</v>
      </c>
      <c r="AN7" s="361">
        <f t="shared" si="23"/>
        <v>2.1408124259308616</v>
      </c>
      <c r="AO7" s="361">
        <f t="shared" si="24"/>
        <v>2.0164077334970978</v>
      </c>
      <c r="AP7" s="361">
        <f t="shared" si="25"/>
        <v>2.1185969649070864</v>
      </c>
      <c r="AQ7" s="361">
        <f>IF(AY7&gt;0,AY7/X9,AP7)</f>
        <v>2.1185969649070864</v>
      </c>
      <c r="AR7" s="361">
        <f>IF(AZ7&gt;0,AZ7/Z9,AQ7)</f>
        <v>2.1185969649070864</v>
      </c>
      <c r="AS7" s="361">
        <f>IF(BA7&gt;0,BA7/AA9,AR7)</f>
        <v>2.1185969649070864</v>
      </c>
      <c r="AU7" s="368" t="s">
        <v>287</v>
      </c>
      <c r="AV7" s="361">
        <f>'Bilan 2006'!$E17</f>
        <v>0.81220000000000003</v>
      </c>
      <c r="AW7" s="361">
        <f>'Bilan 2010'!$E17</f>
        <v>0.62619999999999998</v>
      </c>
      <c r="AX7" s="361">
        <f>'Bilan 2015'!$E17</f>
        <v>0.34000799999999998</v>
      </c>
      <c r="AY7" s="361">
        <f>'Bilan 2020'!$E17</f>
        <v>0</v>
      </c>
      <c r="AZ7" s="361">
        <f>'Bilan 2030'!$E17</f>
        <v>0</v>
      </c>
      <c r="BA7" s="361">
        <f>'Bilan 2050'!$E17</f>
        <v>0</v>
      </c>
      <c r="BB7" s="370"/>
      <c r="BD7" s="368" t="s">
        <v>288</v>
      </c>
      <c r="BE7" s="361">
        <f t="shared" si="27"/>
        <v>0.17762523227702767</v>
      </c>
      <c r="BF7" s="361">
        <f t="shared" si="27"/>
        <v>0.1812529294911524</v>
      </c>
      <c r="BG7" s="361">
        <f t="shared" si="28"/>
        <v>0.16501419892423189</v>
      </c>
      <c r="BH7" s="361">
        <f>IF(BR7&gt;0,BR7/Y9,BG7)</f>
        <v>0.16501419892423189</v>
      </c>
      <c r="BI7" s="361">
        <f t="shared" ref="BI7:BJ7" si="35">IF(BS7&gt;0,BS7/Z9,BH7)</f>
        <v>0.16501419892423189</v>
      </c>
      <c r="BJ7" s="361">
        <f t="shared" si="35"/>
        <v>0.16501419892423189</v>
      </c>
      <c r="BK7" s="366"/>
      <c r="BL7" s="366"/>
      <c r="BM7" s="366"/>
      <c r="BN7" s="368" t="s">
        <v>289</v>
      </c>
      <c r="BO7" s="361">
        <f>'Bilan 2006'!$I$13*'Bilan 2006'!G17/SUM('Bilan 2006'!$G$10:$G19)+'Bilan 2006'!$K$12*'Bilan 2006'!G17/SUM('Bilan 2006'!$G$7:$G$19)</f>
        <v>6.7389002374961482E-2</v>
      </c>
      <c r="BP7" s="361">
        <f>'Bilan 2010'!$I$13*'Bilan 2010'!$G$17/SUM('Bilan 2010'!$G$10:$G19)+'Bilan 2010'!$K$12*'Bilan 2010'!$G$17/SUM('Bilan 2010'!$G$7:$G$19)</f>
        <v>5.6288508798026292E-2</v>
      </c>
      <c r="BQ7" s="361">
        <f>'Bilan 2015'!$I$13*'Bilan 2015'!$G$17/SUM('Bilan 2015'!$G$10:$G19)+'Bilan 2015'!$K$12*'Bilan 2015'!$G$17/SUM('Bilan 2015'!$G$7:$G$19)</f>
        <v>2.6482690515083805E-2</v>
      </c>
      <c r="BR7" s="361">
        <f>'Bilan 2020'!$I$13*'Bilan 2020'!$G$17/SUM('Bilan 2020'!$G$10:$G19)+'Bilan 2020'!$K$12*'Bilan 2020'!$G$17/SUM('Bilan 2020'!$G$7:$G$19)</f>
        <v>0</v>
      </c>
      <c r="BS7" s="361">
        <f>'Bilan 2030'!$I$13*'Bilan 2030'!$G$17/SUM('Bilan 2030'!$G$10:$G19)+'Bilan 2030'!$K$12*'Bilan 2030'!$G$17/SUM('Bilan 2030'!$G$7:$G$19)</f>
        <v>0</v>
      </c>
      <c r="BT7" s="361">
        <f>('Bilan 2050'!$I$13+'Bilan 2050'!$K$12+'Bilan 2050'!$M$12)*'Bilan 2050'!$G$17/SUM('Bilan 2050'!$G$7:$G$19)</f>
        <v>0</v>
      </c>
    </row>
    <row r="8" spans="1:72" ht="15">
      <c r="A8" s="362" t="s">
        <v>181</v>
      </c>
      <c r="B8" s="363"/>
      <c r="C8" s="363"/>
      <c r="D8" s="363"/>
      <c r="E8" s="363"/>
      <c r="F8" s="363"/>
      <c r="G8" s="363"/>
      <c r="H8" s="363"/>
      <c r="I8" s="377"/>
      <c r="K8" s="365" t="s">
        <v>20</v>
      </c>
      <c r="L8" s="365">
        <f>B10</f>
        <v>117.53992501704157</v>
      </c>
      <c r="M8" s="365">
        <f t="shared" ref="M8:R12" si="36">C10</f>
        <v>111.11059799516073</v>
      </c>
      <c r="N8" s="365">
        <f t="shared" si="36"/>
        <v>113.97587222178795</v>
      </c>
      <c r="O8" s="365">
        <f t="shared" si="36"/>
        <v>109.38183514566988</v>
      </c>
      <c r="P8" s="365">
        <f t="shared" si="36"/>
        <v>103.91274338838639</v>
      </c>
      <c r="Q8" s="365">
        <f t="shared" si="36"/>
        <v>87.505468116535909</v>
      </c>
      <c r="R8" s="365">
        <f t="shared" si="36"/>
        <v>24.923050082869189</v>
      </c>
      <c r="S8" s="352">
        <v>2301</v>
      </c>
      <c r="T8" s="365" t="s">
        <v>20</v>
      </c>
      <c r="U8" s="365">
        <f>'Bilan 2006'!$R$13*'Bilan 2006'!$G10/SUM('Bilan 2006'!$G$7:$G$19)</f>
        <v>29.561660511380193</v>
      </c>
      <c r="V8" s="365">
        <f>'Bilan 2010'!$R$13*'Bilan 2010'!$G10/SUM('Bilan 2010'!$G$7:$G$19)</f>
        <v>29.668744142001557</v>
      </c>
      <c r="W8" s="365">
        <f>'Bilan 2015'!$R$13*'Bilan 2015'!$G10/SUM('Bilan 2015'!$G$7:$G$19)</f>
        <v>30.282502837176676</v>
      </c>
      <c r="X8" s="365">
        <f>'Bilan 2020'!$R$13*'Bilan 2020'!$G10/SUM('Bilan 2020'!$G$7:$G$19)</f>
        <v>27.578233455827135</v>
      </c>
      <c r="Y8" s="365">
        <f>'Bilan 2025'!$R$13*'Bilan 2025'!$G10/SUM('Bilan 2025'!$G$7:$G$19)</f>
        <v>24.697659113909491</v>
      </c>
      <c r="Z8" s="365">
        <f>'Bilan 2030'!$R$13*'Bilan 2030'!$G10/SUM('Bilan 2030'!$G$7:$G$19)</f>
        <v>20.794534817473085</v>
      </c>
      <c r="AA8" s="365">
        <f>'Bilan 2050'!$R$13*'Bilan 2050'!$G10/SUM('Bilan 2050'!$G$7:$G$19)</f>
        <v>6.3272882507892119</v>
      </c>
      <c r="AB8" s="366"/>
      <c r="AC8" s="365" t="s">
        <v>20</v>
      </c>
      <c r="AD8" s="365">
        <f>'Bilan 2006'!$R$13*'Bilan 2006'!$G10/SUM('Bilan 2006'!$G$7:$G$19)</f>
        <v>29.561660511380193</v>
      </c>
      <c r="AE8" s="365">
        <f>'Bilan 2010'!$R$13*'Bilan 2010'!$G10/SUM('Bilan 2010'!$G$7:$G$19)</f>
        <v>29.668744142001557</v>
      </c>
      <c r="AF8" s="365">
        <f>'Bilan 2015'!$R$13*'Bilan 2015'!$G10/SUM('Bilan 2015'!$G$7:$G$19)</f>
        <v>30.282502837176676</v>
      </c>
      <c r="AG8" s="365">
        <f>'Bilan 2020'!$R$13*'Bilan 2020'!$G$10/SUM('Bilan 2020'!$G$7:$G$19)</f>
        <v>27.578233455827135</v>
      </c>
      <c r="AH8" s="365">
        <f>'Bilan 2025'!$R$13*'Bilan 2025'!$G$10/SUM('Bilan 2025'!$G$7:$G$19)</f>
        <v>24.697659113909491</v>
      </c>
      <c r="AI8" s="365">
        <f>'Bilan 2030'!$R$13*'Bilan 2030'!$G$10/SUM('Bilan 2030'!$G$7:$G$19)</f>
        <v>20.794534817473085</v>
      </c>
      <c r="AJ8" s="365">
        <f>'Bilan 2050'!$R$13*'Bilan 2050'!$G$10/SUM('Bilan 2050'!$G$7:$G$19)</f>
        <v>6.3272882507892119</v>
      </c>
      <c r="AM8" s="367" t="s">
        <v>290</v>
      </c>
      <c r="AN8" s="361">
        <f t="shared" si="23"/>
        <v>1.0309442327639402</v>
      </c>
      <c r="AO8" s="361">
        <f t="shared" si="24"/>
        <v>0.97103506060113676</v>
      </c>
      <c r="AP8" s="361">
        <f t="shared" si="25"/>
        <v>1.0202460038377441</v>
      </c>
      <c r="AQ8" s="361">
        <f t="shared" si="26"/>
        <v>1.2194237352619024</v>
      </c>
      <c r="AR8" s="361">
        <f>AZ8/Z10</f>
        <v>1.0158499444917604</v>
      </c>
      <c r="AS8" s="361">
        <f>BA8/AA10</f>
        <v>0.92116804489236592</v>
      </c>
      <c r="AU8" s="368" t="s">
        <v>291</v>
      </c>
      <c r="AV8" s="361">
        <f>'Bilan 2006'!$E19</f>
        <v>1.5619999999999998</v>
      </c>
      <c r="AW8" s="361">
        <f>'Bilan 2010'!$E19</f>
        <v>1.6235999999999997</v>
      </c>
      <c r="AX8" s="361">
        <f>'Bilan 2015'!$E19</f>
        <v>1.0998188017542112</v>
      </c>
      <c r="AY8" s="361">
        <f>'Bilan 2020'!$E19</f>
        <v>2.0502949482533133</v>
      </c>
      <c r="AZ8" s="361">
        <f>'Bilan 2030'!$E19</f>
        <v>1.7556820460756795</v>
      </c>
      <c r="BA8" s="361">
        <f>'Bilan 2050'!$E19</f>
        <v>0.92433361994840935</v>
      </c>
      <c r="BB8" s="370"/>
      <c r="BD8" s="368" t="s">
        <v>292</v>
      </c>
      <c r="BE8" s="361">
        <f t="shared" si="27"/>
        <v>0.1776252322770277</v>
      </c>
      <c r="BF8" s="361">
        <f t="shared" si="27"/>
        <v>0.1812529294911524</v>
      </c>
      <c r="BG8" s="361">
        <f t="shared" si="28"/>
        <v>0.16501419892423186</v>
      </c>
      <c r="BH8" s="361">
        <f t="shared" si="29"/>
        <v>0.16283914663209398</v>
      </c>
      <c r="BI8" s="361">
        <f t="shared" si="21"/>
        <v>0.18844593086093919</v>
      </c>
      <c r="BJ8" s="361">
        <f t="shared" si="22"/>
        <v>0.22606301943856327</v>
      </c>
      <c r="BK8" s="366"/>
      <c r="BL8" s="366"/>
      <c r="BM8" s="366"/>
      <c r="BN8" s="368" t="s">
        <v>293</v>
      </c>
      <c r="BO8" s="361">
        <f>'Bilan 2006'!$I$13*'Bilan 2006'!$G19/SUM('Bilan 2006'!$G$10:$G19)+'Bilan 2006'!$K$12*'Bilan 2006'!G19/SUM('Bilan 2006'!$G$7:$G$19)</f>
        <v>0.26912281382367104</v>
      </c>
      <c r="BP8" s="361">
        <f>'Bilan 2010'!$I$13*'Bilan 2010'!$G$19/SUM('Bilan 2010'!$G$10:$G$19)+'Bilan 2010'!$K$12*'Bilan 2010'!$G$19/SUM('Bilan 2010'!$G$7:$G$19)</f>
        <v>0.30306038191829476</v>
      </c>
      <c r="BQ8" s="361">
        <f>'Bilan 2015'!$I$13*'Bilan 2015'!$G$19/SUM('Bilan 2015'!$G$10:$G$19)+'Bilan 2015'!$K$12*'Bilan 2015'!$G$19/SUM('Bilan 2015'!$G$7:$G$19)</f>
        <v>0.17788427286223657</v>
      </c>
      <c r="BR8" s="361">
        <f>'Bilan 2020'!$I$13*'Bilan 2020'!$G$19/SUM('Bilan 2020'!$G$10:$G$19)+'Bilan 2020'!$K$12*'Bilan 2020'!$G$19/SUM('Bilan 2020'!$G$7:$G$19)</f>
        <v>0.27379184943120372</v>
      </c>
      <c r="BS8" s="361">
        <f>'Bilan 2030'!$I$13*'Bilan 2030'!$G$19/SUM('Bilan 2030'!$G$10:$G$19)+'Bilan 2030'!$K$12*'Bilan 2030'!$G$19/SUM('Bilan 2030'!$G$7:$G$19)</f>
        <v>0.32568898513263966</v>
      </c>
      <c r="BT8" s="361">
        <f>('Bilan 2050'!$I$13+'Bilan 2050'!$K$12+'Bilan 2050'!$M$12)*'Bilan 2050'!$G$19/SUM('Bilan 2050'!$G$7:$G$19)</f>
        <v>0.2268398803592134</v>
      </c>
    </row>
    <row r="9" spans="1:72" ht="15">
      <c r="A9" s="357" t="s">
        <v>104</v>
      </c>
      <c r="B9" s="358">
        <f t="shared" ref="B9:H9" si="37">SUM(B10:B19)</f>
        <v>134.57929624030641</v>
      </c>
      <c r="C9" s="359">
        <f t="shared" ref="C9" si="38">SUM(C10:C19)</f>
        <v>128.53748245765641</v>
      </c>
      <c r="D9" s="358">
        <f t="shared" si="37"/>
        <v>129.56373899657169</v>
      </c>
      <c r="E9" s="358">
        <f t="shared" si="37"/>
        <v>129.31741375216353</v>
      </c>
      <c r="F9" s="358">
        <f t="shared" si="37"/>
        <v>125.69846015899624</v>
      </c>
      <c r="G9" s="360">
        <f t="shared" si="37"/>
        <v>113.75749519083458</v>
      </c>
      <c r="H9" s="358">
        <f t="shared" si="37"/>
        <v>74.1482435480455</v>
      </c>
      <c r="I9" s="378"/>
      <c r="K9" s="365" t="s">
        <v>224</v>
      </c>
      <c r="L9" s="365">
        <f>B11</f>
        <v>1.31</v>
      </c>
      <c r="M9" s="365">
        <f t="shared" si="36"/>
        <v>1.01</v>
      </c>
      <c r="N9" s="365">
        <f t="shared" si="36"/>
        <v>0.5484</v>
      </c>
      <c r="O9" s="365">
        <f t="shared" si="36"/>
        <v>0.1</v>
      </c>
      <c r="P9" s="365">
        <f t="shared" si="36"/>
        <v>0.1</v>
      </c>
      <c r="Q9" s="365">
        <f t="shared" si="36"/>
        <v>0.1</v>
      </c>
      <c r="R9" s="465">
        <f t="shared" si="36"/>
        <v>0.1</v>
      </c>
      <c r="S9" s="352">
        <f>S8+1</f>
        <v>2302</v>
      </c>
      <c r="T9" s="365" t="s">
        <v>224</v>
      </c>
      <c r="U9" s="365">
        <f>'Bilan 2006'!$R$13*'Bilan 2006'!$G$17/SUM('Bilan 2006'!$G$7:$G$19)</f>
        <v>0.37938867981245095</v>
      </c>
      <c r="V9" s="365">
        <f>'Bilan 2010'!$R$13*'Bilan 2010'!$G$17/SUM('Bilan 2010'!$G$7:$G$19)</f>
        <v>0.31055227055391638</v>
      </c>
      <c r="W9" s="365">
        <f>'Bilan 2015'!$R$13*'Bilan 2015'!$G$17/SUM('Bilan 2015'!$G$7:$G$19)</f>
        <v>0.16048734404512444</v>
      </c>
      <c r="X9" s="365">
        <f>'Bilan 2020'!$R$13*'Bilan 2020'!$G$17/SUM('Bilan 2020'!$G$7:$G$19)+0.1</f>
        <v>0.1</v>
      </c>
      <c r="Y9" s="365">
        <f>'Bilan 2025'!$R$13*'Bilan 2025'!$G$17/SUM('Bilan 2025'!$G$7:$G$19)+0.1</f>
        <v>0.1</v>
      </c>
      <c r="Z9" s="365">
        <f>'Bilan 2030'!$R$13*'Bilan 2030'!$G$17/SUM('Bilan 2030'!$G$7:$G$19)+0.1</f>
        <v>0.1</v>
      </c>
      <c r="AA9" s="365">
        <f>'Bilan 2050'!$R$13*'Bilan 2050'!$G$17/SUM('Bilan 2050'!$G$7:$G$19)+0.00001</f>
        <v>1.0000000000000001E-5</v>
      </c>
      <c r="AB9" s="366"/>
      <c r="AC9" s="365" t="s">
        <v>224</v>
      </c>
      <c r="AD9" s="365">
        <f>'Bilan 2006'!$R$13*'Bilan 2006'!$G$17/SUM('Bilan 2006'!$G$7:$G$19)</f>
        <v>0.37938867981245095</v>
      </c>
      <c r="AE9" s="365">
        <f>'Bilan 2010'!$R$13*'Bilan 2010'!$G$17/SUM('Bilan 2010'!$G$7:$G$19)</f>
        <v>0.31055227055391638</v>
      </c>
      <c r="AF9" s="365">
        <f>'Bilan 2015'!$R$13*'Bilan 2015'!$G$17/SUM('Bilan 2015'!$G$7:$G$19)</f>
        <v>0.16048734404512444</v>
      </c>
      <c r="AG9" s="365">
        <f>'Bilan 2020'!$R$13*'Bilan 2020'!$G$17/SUM('Bilan 2020'!$G$7:$G$19)+0.1</f>
        <v>0.1</v>
      </c>
      <c r="AH9" s="365">
        <f>'Bilan 2025'!$R$13*'Bilan 2025'!$G$17/SUM('Bilan 2025'!$G$7:$G$19)+0.1</f>
        <v>0.1</v>
      </c>
      <c r="AI9" s="365">
        <f>'Bilan 2030'!$R$13*'Bilan 2030'!$G$17/SUM('Bilan 2030'!$G$7:$G$19)+0.1</f>
        <v>0.1</v>
      </c>
      <c r="AJ9" s="466">
        <f>'Bilan 2050'!$R$13*'Bilan 2050'!$G$17/SUM('Bilan 2050'!$G$7:$G$19)+0.1</f>
        <v>0.1</v>
      </c>
      <c r="AM9" s="367" t="s">
        <v>294</v>
      </c>
      <c r="AN9" s="361">
        <f t="shared" si="23"/>
        <v>2.1408124259308616</v>
      </c>
      <c r="AO9" s="361">
        <f t="shared" si="24"/>
        <v>2.0164077334970973</v>
      </c>
      <c r="AP9" s="361">
        <f t="shared" si="25"/>
        <v>2.1185969649070859</v>
      </c>
      <c r="AQ9" s="361">
        <f t="shared" si="26"/>
        <v>3.8075883978585932</v>
      </c>
      <c r="AR9" s="361">
        <f>IF(AZ9&gt;0,AZ9/Z11,AQ9)</f>
        <v>3.8075883978585932</v>
      </c>
      <c r="AS9" s="361">
        <f>IF(BA9&gt;0,BA9/AA11,AR9)</f>
        <v>3.8075883978585932</v>
      </c>
      <c r="AU9" s="368" t="s">
        <v>295</v>
      </c>
      <c r="AV9" s="361">
        <f>'Bilan 2006'!$E18</f>
        <v>3.2363999999999997</v>
      </c>
      <c r="AW9" s="361">
        <f>'Bilan 2010'!$E18</f>
        <v>2.8891999999999998</v>
      </c>
      <c r="AX9" s="361">
        <f>'Bilan 2015'!$E18</f>
        <v>1.7862438232846849</v>
      </c>
      <c r="AY9" s="361">
        <f>'Bilan 2020'!$E18</f>
        <v>1.927484880058185</v>
      </c>
      <c r="AZ9" s="361">
        <f>'Bilan 2030'!$E18</f>
        <v>0</v>
      </c>
      <c r="BA9" s="361">
        <f>'Bilan 2050'!$E18</f>
        <v>0</v>
      </c>
      <c r="BB9" s="370"/>
      <c r="BD9" s="368" t="s">
        <v>296</v>
      </c>
      <c r="BE9" s="361">
        <f t="shared" si="27"/>
        <v>0.1776252322770277</v>
      </c>
      <c r="BF9" s="361">
        <f t="shared" si="27"/>
        <v>0.18125292949115238</v>
      </c>
      <c r="BG9" s="361">
        <f t="shared" si="28"/>
        <v>0.16501419892423183</v>
      </c>
      <c r="BH9" s="361">
        <f>BR9/X11</f>
        <v>0.16283914663209395</v>
      </c>
      <c r="BI9" s="361">
        <f>IF(BS9&gt;0,BS9/Z11,BH9)</f>
        <v>0.16283914663209395</v>
      </c>
      <c r="BJ9" s="361">
        <f>IF(BT9&gt;0,BT9/AA11,BI9)</f>
        <v>0.16283914663209395</v>
      </c>
      <c r="BK9" s="366"/>
      <c r="BL9" s="366"/>
      <c r="BM9" s="366"/>
      <c r="BN9" s="368" t="s">
        <v>297</v>
      </c>
      <c r="BO9" s="361">
        <f>'Bilan 2006'!$I$13*'Bilan 2006'!$G18/SUM('Bilan 2006'!$G$10:$G19)+'Bilan 2006'!$K$12*'Bilan 2006'!G18/SUM('Bilan 2006'!$G$7:$G$19)</f>
        <v>0.26852716976893048</v>
      </c>
      <c r="BP9" s="361">
        <f>'Bilan 2010'!$I$13*'Bilan 2010'!$G$18/SUM('Bilan 2010'!$G$10:$G$19)+'Bilan 2010'!$K$12*'Bilan 2010'!$G$18/SUM('Bilan 2010'!$G$7:$G$19)</f>
        <v>0.25970737722653714</v>
      </c>
      <c r="BQ9" s="361">
        <f>'Bilan 2015'!$I$13*'Bilan 2015'!$G$18/SUM('Bilan 2015'!$G$10:$G$19)+'Bilan 2015'!$K$12*'Bilan 2015'!$G$18/SUM('Bilan 2015'!$G$7:$G$19)</f>
        <v>0.13912773333724016</v>
      </c>
      <c r="BR9" s="361">
        <f>'Bilan 2020'!$I$13*'Bilan 2020'!$G$18/SUM('Bilan 2020'!$G$10:$G$19)+'Bilan 2020'!$K$12*'Bilan 2020'!$G$18/SUM('Bilan 2020'!$G$7:$G$19)</f>
        <v>8.2432752760634748E-2</v>
      </c>
      <c r="BS9" s="361">
        <f>'Bilan 2030'!$I$13*'Bilan 2030'!$G$18/SUM('Bilan 2030'!$G$10:$G$19)+'Bilan 2030'!$K$12*'Bilan 2030'!$G$18/SUM('Bilan 2030'!$G$7:$G$19)</f>
        <v>0</v>
      </c>
      <c r="BT9" s="361">
        <f>('Bilan 2050'!$I$13+'Bilan 2050'!$K$12+'Bilan 2050'!$M$12)*'Bilan 2050'!$G$18/SUM('Bilan 2050'!$G$7:$G$19)</f>
        <v>0</v>
      </c>
    </row>
    <row r="10" spans="1:72" ht="15">
      <c r="A10" s="362" t="s">
        <v>20</v>
      </c>
      <c r="B10" s="363">
        <f>'Bilan 2006'!$C10</f>
        <v>117.53992501704157</v>
      </c>
      <c r="C10" s="364">
        <f>'Bilan 2010'!$C10</f>
        <v>111.11059799516073</v>
      </c>
      <c r="D10" s="363">
        <f>'Bilan 2015'!$C10</f>
        <v>113.97587222178795</v>
      </c>
      <c r="E10" s="363">
        <f>'Bilan 2020'!$C10</f>
        <v>109.38183514566988</v>
      </c>
      <c r="F10" s="363">
        <f>'Bilan 2025'!$C10</f>
        <v>103.91274338838639</v>
      </c>
      <c r="G10" s="365">
        <f>'Bilan 2030'!$C10</f>
        <v>87.505468116535909</v>
      </c>
      <c r="H10" s="363">
        <f>'Bilan 2050'!$C10</f>
        <v>24.923050082869189</v>
      </c>
      <c r="I10" s="377"/>
      <c r="K10" s="365" t="s">
        <v>32</v>
      </c>
      <c r="L10" s="365">
        <f>B12</f>
        <v>3.5500000000000003</v>
      </c>
      <c r="M10" s="365">
        <f t="shared" si="36"/>
        <v>3.69</v>
      </c>
      <c r="N10" s="365">
        <f t="shared" si="36"/>
        <v>2.4995881858050257</v>
      </c>
      <c r="O10" s="365">
        <f t="shared" si="36"/>
        <v>4.1842754045985986</v>
      </c>
      <c r="P10" s="365">
        <f t="shared" si="36"/>
        <v>4.20632773002602</v>
      </c>
      <c r="Q10" s="365">
        <f t="shared" si="36"/>
        <v>4.0829815025015792</v>
      </c>
      <c r="R10" s="365">
        <f t="shared" si="36"/>
        <v>2.1496130696474633</v>
      </c>
      <c r="S10" s="352">
        <f t="shared" ref="S10:S15" si="39">S9+1</f>
        <v>2303</v>
      </c>
      <c r="T10" s="365" t="s">
        <v>32</v>
      </c>
      <c r="U10" s="365">
        <f>'Bilan 2006'!$R$13*'Bilan 2006'!$G$19/SUM('Bilan 2006'!$G$7:$G$19)</f>
        <v>1.5151159008982573</v>
      </c>
      <c r="V10" s="365">
        <f>'Bilan 2010'!$R$13*'Bilan 2010'!$G$19/SUM('Bilan 2010'!$G$7:$G$19)</f>
        <v>1.6720302550094133</v>
      </c>
      <c r="W10" s="365">
        <f>'Bilan 2015'!$R$13*'Bilan 2015'!$G$19/SUM('Bilan 2015'!$G$7:$G$19)</f>
        <v>1.0779937364293974</v>
      </c>
      <c r="X10" s="365">
        <f>'Bilan 2020'!$R$13*'Bilan 2020'!$G$19/SUM('Bilan 2020'!$G$7:$G$19)</f>
        <v>1.6813638187983606</v>
      </c>
      <c r="Y10" s="365">
        <f>'Bilan 2025'!$R$13*'Bilan 2025'!$G$19/SUM('Bilan 2025'!$G$7:$G$19)</f>
        <v>1.6558308879919448</v>
      </c>
      <c r="Z10" s="365">
        <f>'Bilan 2030'!$R$13*'Bilan 2030'!$G$19/SUM('Bilan 2030'!$G$7:$G$19)</f>
        <v>1.7282887650833749</v>
      </c>
      <c r="AA10" s="365">
        <f>'Bilan 2050'!$R$13*'Bilan 2050'!$G$19/SUM('Bilan 2050'!$G$7:$G$19)</f>
        <v>1.0034364794497548</v>
      </c>
      <c r="AB10" s="366"/>
      <c r="AC10" s="365" t="s">
        <v>32</v>
      </c>
      <c r="AD10" s="365">
        <f>'Bilan 2006'!$R$13*'Bilan 2006'!$G$19/SUM('Bilan 2006'!$G$7:$G$19)</f>
        <v>1.5151159008982573</v>
      </c>
      <c r="AE10" s="365">
        <f>'Bilan 2010'!$R$13*'Bilan 2010'!$G$19/SUM('Bilan 2010'!$G$7:$G$19)</f>
        <v>1.6720302550094133</v>
      </c>
      <c r="AF10" s="365">
        <f>'Bilan 2015'!$R$13*'Bilan 2015'!$G$19/SUM('Bilan 2015'!$G$7:$G$19)</f>
        <v>1.0779937364293974</v>
      </c>
      <c r="AG10" s="365">
        <f>'Bilan 2020'!$R$13*'Bilan 2020'!$G$19/SUM('Bilan 2020'!$G$7:$G$19)</f>
        <v>1.6813638187983606</v>
      </c>
      <c r="AH10" s="365">
        <f>'Bilan 2025'!$R$13*'Bilan 2025'!$G$19/SUM('Bilan 2025'!$G$7:$G$19)</f>
        <v>1.6558308879919448</v>
      </c>
      <c r="AI10" s="365">
        <f>'Bilan 2030'!$R$13*'Bilan 2030'!$G$19/SUM('Bilan 2030'!$G$7:$G$19)</f>
        <v>1.7282887650833749</v>
      </c>
      <c r="AJ10" s="365">
        <f>'Bilan 2050'!$R$13*'Bilan 2050'!$G$19/SUM('Bilan 2050'!$G$7:$G$19)</f>
        <v>1.0034364794497548</v>
      </c>
      <c r="AM10" s="367" t="s">
        <v>298</v>
      </c>
      <c r="AN10" s="361">
        <f t="shared" si="23"/>
        <v>0</v>
      </c>
      <c r="AO10" s="361">
        <f t="shared" si="24"/>
        <v>0</v>
      </c>
      <c r="AP10" s="361">
        <f t="shared" si="25"/>
        <v>0</v>
      </c>
      <c r="AQ10" s="361">
        <f t="shared" si="26"/>
        <v>0</v>
      </c>
      <c r="AR10" s="361">
        <f t="shared" ref="AR10:AS12" si="40">AZ10/Z12</f>
        <v>0</v>
      </c>
      <c r="AS10" s="361">
        <f t="shared" si="40"/>
        <v>0</v>
      </c>
      <c r="AU10" s="368" t="s">
        <v>299</v>
      </c>
      <c r="AV10" s="361">
        <f>'Bilan 2006'!$E7</f>
        <v>0</v>
      </c>
      <c r="AW10" s="361">
        <f>'Bilan 2010'!$E7</f>
        <v>0</v>
      </c>
      <c r="AX10" s="361">
        <f>'Bilan 2015'!$E7</f>
        <v>0</v>
      </c>
      <c r="AY10" s="361">
        <f>'Bilan 2020'!$E7</f>
        <v>0</v>
      </c>
      <c r="AZ10" s="361">
        <f>'Bilan 2030'!$E7</f>
        <v>0</v>
      </c>
      <c r="BA10" s="361">
        <f>'Bilan 2050'!$E7</f>
        <v>0</v>
      </c>
      <c r="BB10" s="370"/>
      <c r="BD10" s="368" t="s">
        <v>300</v>
      </c>
      <c r="BE10" s="361">
        <f t="shared" si="27"/>
        <v>5.319192278064161E-2</v>
      </c>
      <c r="BF10" s="361">
        <f t="shared" si="27"/>
        <v>8.9868438391010663E-2</v>
      </c>
      <c r="BG10" s="361">
        <f t="shared" si="28"/>
        <v>7.9921040170571514E-2</v>
      </c>
      <c r="BH10" s="361">
        <f t="shared" si="29"/>
        <v>8.211678663857451E-2</v>
      </c>
      <c r="BI10" s="361">
        <f t="shared" si="21"/>
        <v>8.7175781391682292E-2</v>
      </c>
      <c r="BJ10" s="361">
        <f t="shared" si="22"/>
        <v>0.22606301943856333</v>
      </c>
      <c r="BK10" s="366"/>
      <c r="BL10" s="366"/>
      <c r="BM10" s="366"/>
      <c r="BN10" s="368" t="s">
        <v>301</v>
      </c>
      <c r="BO10" s="361">
        <f>'Bilan 2006'!$K$12*'Bilan 2006'!G7/SUM('Bilan 2006'!$G$7:$G$19)</f>
        <v>1.624607716981142E-2</v>
      </c>
      <c r="BP10" s="361">
        <f>'Bilan 2010'!$K$12*'Bilan 2010'!$G$7/SUM('Bilan 2010'!$G$7:$G$19)</f>
        <v>6.0047524181731995E-2</v>
      </c>
      <c r="BQ10" s="361">
        <f>'Bilan 2015'!$K$12*'Bilan 2015'!$G$7/SUM('Bilan 2015'!$G$7:$G$19)</f>
        <v>0.11166668285057467</v>
      </c>
      <c r="BR10" s="361">
        <f>'Bilan 2020'!$K$12*'Bilan 2020'!$G$7/SUM('Bilan 2020'!$G$7:$G$19)</f>
        <v>0.23365376420172854</v>
      </c>
      <c r="BS10" s="361">
        <f>'Bilan 2030'!$K$12*'Bilan 2030'!$G$7/SUM('Bilan 2030'!$G$7:$G$19)</f>
        <v>0.62901154447389329</v>
      </c>
      <c r="BT10" s="361">
        <f>('Bilan 2050'!$I$13+'Bilan 2050'!$K$12+'Bilan 2050'!$M$12)*'Bilan 2050'!$G$7/SUM('Bilan 2050'!$G$7:$G$19)</f>
        <v>3.6612752619381852</v>
      </c>
    </row>
    <row r="11" spans="1:72" ht="15">
      <c r="A11" s="362" t="s">
        <v>224</v>
      </c>
      <c r="B11" s="363">
        <f>'Bilan 2006'!$C$17</f>
        <v>1.31</v>
      </c>
      <c r="C11" s="364">
        <f>'Bilan 2010'!$C$17</f>
        <v>1.01</v>
      </c>
      <c r="D11" s="363">
        <f>'Bilan 2015'!$C$17</f>
        <v>0.5484</v>
      </c>
      <c r="E11" s="363">
        <f>'Bilan 2020'!$C$17+0.1</f>
        <v>0.1</v>
      </c>
      <c r="F11" s="363">
        <f>'Bilan 2025'!$C$17+0.1</f>
        <v>0.1</v>
      </c>
      <c r="G11" s="365">
        <f>'Bilan 2030'!$C$17+0.1</f>
        <v>0.1</v>
      </c>
      <c r="H11" s="363">
        <f>'Bilan 2050'!$C$17+0.1</f>
        <v>0.1</v>
      </c>
      <c r="I11" s="377"/>
      <c r="K11" s="365" t="s">
        <v>42</v>
      </c>
      <c r="L11" s="365">
        <f>B13</f>
        <v>5.22</v>
      </c>
      <c r="M11" s="365">
        <f t="shared" si="36"/>
        <v>4.66</v>
      </c>
      <c r="N11" s="365">
        <f t="shared" si="36"/>
        <v>2.8810384246527176</v>
      </c>
      <c r="O11" s="365">
        <f t="shared" si="36"/>
        <v>2.56997984007758</v>
      </c>
      <c r="P11" s="365">
        <f t="shared" si="36"/>
        <v>0.1</v>
      </c>
      <c r="Q11" s="365">
        <f t="shared" si="36"/>
        <v>0.1</v>
      </c>
      <c r="R11" s="465">
        <f t="shared" si="36"/>
        <v>0.1</v>
      </c>
      <c r="S11" s="352">
        <f t="shared" si="39"/>
        <v>2304</v>
      </c>
      <c r="T11" s="365" t="s">
        <v>42</v>
      </c>
      <c r="U11" s="365">
        <f>'Bilan 2006'!$R$13*'Bilan 2006'!$G$18/SUM('Bilan 2006'!$G$7:$G$19)</f>
        <v>1.5117625256648808</v>
      </c>
      <c r="V11" s="365">
        <f>'Bilan 2010'!$R$13*'Bilan 2010'!$G$18/SUM('Bilan 2010'!$G$7:$G$19)</f>
        <v>1.4328451294863866</v>
      </c>
      <c r="W11" s="365">
        <f>'Bilan 2015'!$R$13*'Bilan 2015'!$G$18/SUM('Bilan 2015'!$G$7:$G$19)</f>
        <v>0.84312582943921244</v>
      </c>
      <c r="X11" s="365">
        <f>'Bilan 2020'!$R$13*'Bilan 2020'!$G$18/SUM('Bilan 2020'!$G$7:$G$19)</f>
        <v>0.50622196483795678</v>
      </c>
      <c r="Y11" s="365">
        <f>'Bilan 2025'!$R$13*'Bilan 2025'!$G$18/SUM('Bilan 2025'!$G$7:$G$19)+0.1</f>
        <v>0.1</v>
      </c>
      <c r="Z11" s="365">
        <f>'Bilan 2030'!$R$13*'Bilan 2030'!$G$18/SUM('Bilan 2030'!$G$7:$G$19)+0.1</f>
        <v>0.1</v>
      </c>
      <c r="AA11" s="365">
        <f>'Bilan 2050'!$R$13*'Bilan 2050'!$G$18/SUM('Bilan 2050'!$G$7:$G$19)+0.1</f>
        <v>0.1</v>
      </c>
      <c r="AB11" s="366"/>
      <c r="AC11" s="365" t="s">
        <v>42</v>
      </c>
      <c r="AD11" s="365">
        <f>'Bilan 2006'!$R$13*'Bilan 2006'!$G$18/SUM('Bilan 2006'!$G$7:$G$19)</f>
        <v>1.5117625256648808</v>
      </c>
      <c r="AE11" s="365">
        <f>'Bilan 2010'!$R$13*'Bilan 2010'!$G$18/SUM('Bilan 2010'!$G$7:$G$19)</f>
        <v>1.4328451294863866</v>
      </c>
      <c r="AF11" s="365">
        <f>'Bilan 2015'!$R$13*'Bilan 2015'!$G$18/SUM('Bilan 2015'!$G$7:$G$19)</f>
        <v>0.84312582943921244</v>
      </c>
      <c r="AG11" s="365">
        <f>'Bilan 2020'!$R$13*'Bilan 2020'!$G$18/SUM('Bilan 2020'!$G$7:$G$19)</f>
        <v>0.50622196483795678</v>
      </c>
      <c r="AH11" s="365">
        <f>'Bilan 2025'!$R$13*'Bilan 2025'!$G$18/SUM('Bilan 2025'!$G$7:$G$19)+0.1</f>
        <v>0.1</v>
      </c>
      <c r="AI11" s="365">
        <f>'Bilan 2030'!$R$13*'Bilan 2030'!$G$18/SUM('Bilan 2030'!$G$7:$G$19)+0.1</f>
        <v>0.1</v>
      </c>
      <c r="AJ11" s="365">
        <f>'Bilan 2050'!$R$13*'Bilan 2050'!$G$18/SUM('Bilan 2050'!$G$7:$G$19)+0.1</f>
        <v>0.1</v>
      </c>
      <c r="AM11" s="367" t="s">
        <v>302</v>
      </c>
      <c r="AN11" s="361">
        <f t="shared" si="23"/>
        <v>0</v>
      </c>
      <c r="AO11" s="361">
        <f t="shared" si="24"/>
        <v>0</v>
      </c>
      <c r="AP11" s="361">
        <f t="shared" si="25"/>
        <v>0</v>
      </c>
      <c r="AQ11" s="361">
        <f t="shared" si="26"/>
        <v>0</v>
      </c>
      <c r="AR11" s="361">
        <f t="shared" si="40"/>
        <v>0</v>
      </c>
      <c r="AS11" s="361">
        <f t="shared" si="40"/>
        <v>0</v>
      </c>
      <c r="AU11" s="368" t="s">
        <v>303</v>
      </c>
      <c r="AV11" s="361">
        <f>'Bilan 2006'!$E9</f>
        <v>0</v>
      </c>
      <c r="AW11" s="361">
        <f>'Bilan 2010'!$E9</f>
        <v>0</v>
      </c>
      <c r="AX11" s="361">
        <f>'Bilan 2015'!$E9</f>
        <v>0</v>
      </c>
      <c r="AY11" s="361">
        <f>'Bilan 2020'!$E9</f>
        <v>0</v>
      </c>
      <c r="AZ11" s="361">
        <f>'Bilan 2030'!$E9</f>
        <v>0</v>
      </c>
      <c r="BA11" s="361">
        <f>'Bilan 2050'!$E9</f>
        <v>0</v>
      </c>
      <c r="BB11" s="370"/>
      <c r="BD11" s="368" t="s">
        <v>304</v>
      </c>
      <c r="BE11" s="361">
        <f t="shared" si="27"/>
        <v>5.3191922780641603E-2</v>
      </c>
      <c r="BF11" s="361">
        <f t="shared" si="27"/>
        <v>8.9868438391010663E-2</v>
      </c>
      <c r="BG11" s="361">
        <f t="shared" si="28"/>
        <v>7.99210401705715E-2</v>
      </c>
      <c r="BH11" s="361">
        <f t="shared" si="29"/>
        <v>8.2116786638574482E-2</v>
      </c>
      <c r="BI11" s="361">
        <f>BS11/Z13</f>
        <v>8.7175781391682278E-2</v>
      </c>
      <c r="BJ11" s="361">
        <f>BT11/AA13</f>
        <v>0.2260630194385633</v>
      </c>
      <c r="BK11" s="366"/>
      <c r="BL11" s="366"/>
      <c r="BM11" s="366"/>
      <c r="BN11" s="368" t="s">
        <v>305</v>
      </c>
      <c r="BO11" s="361">
        <f>'Bilan 2006'!$K$12*'Bilan 2006'!G9/SUM('Bilan 2006'!$G$7:$G$19)</f>
        <v>3.6553673632075691E-3</v>
      </c>
      <c r="BP11" s="361">
        <f>'Bilan 2010'!$K$12*'Bilan 2010'!$G$9/SUM('Bilan 2010'!$G$7:$G$19)</f>
        <v>3.5449743191624914E-3</v>
      </c>
      <c r="BQ11" s="361">
        <f>'Bilan 2015'!$K$12*'Bilan 2015'!$G$9/SUM('Bilan 2015'!$G$7:$G$19)</f>
        <v>3.9162722895462396E-2</v>
      </c>
      <c r="BR11" s="361">
        <f>'Bilan 2020'!$K$12*'Bilan 2020'!$G$9/SUM('Bilan 2020'!$G$7:$G$19)</f>
        <v>9.4574142653080714E-2</v>
      </c>
      <c r="BS11" s="361">
        <f>'Bilan 2030'!$K$12*'Bilan 2030'!$G$9/SUM('Bilan 2030'!$G$7:$G$19)</f>
        <v>0.28389016608998718</v>
      </c>
      <c r="BT11" s="361">
        <f>('Bilan 2050'!$I$13+'Bilan 2050'!$K$12+'Bilan 2050'!$M$12)*'Bilan 2050'!$G$9/SUM('Bilan 2050'!$G$7:$G$19)</f>
        <v>3.9796470238458515</v>
      </c>
    </row>
    <row r="12" spans="1:72" ht="15">
      <c r="A12" s="362" t="s">
        <v>32</v>
      </c>
      <c r="B12" s="363">
        <f>'Bilan 2006'!$C$19</f>
        <v>3.5500000000000003</v>
      </c>
      <c r="C12" s="364">
        <f>'Bilan 2010'!$C$19</f>
        <v>3.69</v>
      </c>
      <c r="D12" s="363">
        <f>'Bilan 2015'!$C$19</f>
        <v>2.4995881858050257</v>
      </c>
      <c r="E12" s="363">
        <f>'Bilan 2020'!$C$19</f>
        <v>4.1842754045985986</v>
      </c>
      <c r="F12" s="363">
        <f>'Bilan 2025'!$C$19</f>
        <v>4.20632773002602</v>
      </c>
      <c r="G12" s="365">
        <f>'Bilan 2030'!$C$19</f>
        <v>4.0829815025015792</v>
      </c>
      <c r="H12" s="363">
        <f>'Bilan 2050'!$C$19</f>
        <v>2.1496130696474633</v>
      </c>
      <c r="I12" s="377"/>
      <c r="K12" s="365" t="s">
        <v>306</v>
      </c>
      <c r="L12" s="365">
        <f>B14</f>
        <v>0.40074990492018342</v>
      </c>
      <c r="M12" s="365">
        <f t="shared" si="36"/>
        <v>0.82576823366747309</v>
      </c>
      <c r="N12" s="365">
        <f t="shared" si="36"/>
        <v>1.8142734307824566</v>
      </c>
      <c r="O12" s="365">
        <f t="shared" si="36"/>
        <v>3.6113499570077385</v>
      </c>
      <c r="P12" s="365">
        <f t="shared" si="36"/>
        <v>6.706792777300099</v>
      </c>
      <c r="Q12" s="365">
        <f t="shared" si="36"/>
        <v>9.7162510748065358</v>
      </c>
      <c r="R12" s="365">
        <f t="shared" si="36"/>
        <v>19.776440240756681</v>
      </c>
      <c r="S12" s="352">
        <f t="shared" si="39"/>
        <v>2305</v>
      </c>
      <c r="T12" s="365" t="s">
        <v>306</v>
      </c>
      <c r="U12" s="365">
        <f>'Bilan 2006'!$R$13*'Bilan 2006'!$G$7/SUM('Bilan 2006'!$G$7:$G$19)</f>
        <v>0.30542376211532501</v>
      </c>
      <c r="V12" s="365">
        <f>'Bilan 2010'!$R$13*'Bilan 2010'!$G$7/SUM('Bilan 2010'!$G$7:$G$19)</f>
        <v>0.66817144324317546</v>
      </c>
      <c r="W12" s="365">
        <f>'Bilan 2015'!$R$13*'Bilan 2015'!$G$7/SUM('Bilan 2015'!$G$7:$G$19)</f>
        <v>1.397212581471037</v>
      </c>
      <c r="X12" s="365">
        <f>'Bilan 2020'!$R$13*'Bilan 2020'!$G$7/SUM('Bilan 2020'!$G$7:$G$19)</f>
        <v>2.8453836756925566</v>
      </c>
      <c r="Y12" s="365">
        <f>'Bilan 2025'!$R$13*'Bilan 2025'!$G$7/SUM('Bilan 2025'!$G$7:$G$19)</f>
        <v>4.9814054429265502</v>
      </c>
      <c r="Z12" s="365">
        <f>'Bilan 2030'!$R$13*'Bilan 2030'!$G$7/SUM('Bilan 2030'!$G$7:$G$19)</f>
        <v>7.2154391326615537</v>
      </c>
      <c r="AA12" s="365">
        <f>'Bilan 2050'!$R$13*'Bilan 2050'!$G$7/SUM('Bilan 2050'!$G$7:$G$19)</f>
        <v>16.195816861294301</v>
      </c>
      <c r="AB12" s="366"/>
      <c r="AC12" s="365" t="s">
        <v>306</v>
      </c>
      <c r="AD12" s="365">
        <f>'Bilan 2006'!$R$13*'Bilan 2006'!$G$7/SUM('Bilan 2006'!$G$7:$G$19)</f>
        <v>0.30542376211532501</v>
      </c>
      <c r="AE12" s="365">
        <f>'Bilan 2010'!$R$13*'Bilan 2010'!$G$7/SUM('Bilan 2010'!$G$7:$G$19)</f>
        <v>0.66817144324317546</v>
      </c>
      <c r="AF12" s="365">
        <f>'Bilan 2015'!$R$13*'Bilan 2015'!$G$7/SUM('Bilan 2015'!$G$7:$G$19)</f>
        <v>1.397212581471037</v>
      </c>
      <c r="AG12" s="365">
        <f>'Bilan 2020'!$R$13*'Bilan 2020'!$G$7/SUM('Bilan 2020'!$G$7:$G$19)</f>
        <v>2.8453836756925566</v>
      </c>
      <c r="AH12" s="365">
        <f>'Bilan 2025'!$R$13*'Bilan 2025'!$G$7/SUM('Bilan 2025'!$G$7:$G$19)</f>
        <v>4.9814054429265502</v>
      </c>
      <c r="AI12" s="365">
        <f>'Bilan 2030'!$R$13*'Bilan 2030'!$G$7/SUM('Bilan 2030'!$G$7:$G$19)</f>
        <v>7.2154391326615537</v>
      </c>
      <c r="AJ12" s="365">
        <f>'Bilan 2050'!$R$13*'Bilan 2050'!$G$7/SUM('Bilan 2050'!$G$7:$G$19)</f>
        <v>16.195816861294301</v>
      </c>
      <c r="AM12" s="367" t="s">
        <v>307</v>
      </c>
      <c r="AN12" s="361">
        <f t="shared" si="23"/>
        <v>0.14579009352217337</v>
      </c>
      <c r="AO12" s="361">
        <f t="shared" si="24"/>
        <v>0.13731808937793855</v>
      </c>
      <c r="AP12" s="361">
        <f t="shared" si="25"/>
        <v>0.14427721266392349</v>
      </c>
      <c r="AQ12" s="361">
        <f t="shared" si="26"/>
        <v>0.14102179251328109</v>
      </c>
      <c r="AR12" s="361">
        <f t="shared" si="40"/>
        <v>0.14962130965382509</v>
      </c>
      <c r="AS12" s="361">
        <f t="shared" si="40"/>
        <v>0</v>
      </c>
      <c r="AU12" s="368" t="s">
        <v>308</v>
      </c>
      <c r="AV12" s="361">
        <f>'Bilan 2006'!$E$8</f>
        <v>0.50084526066881996</v>
      </c>
      <c r="AW12" s="361">
        <f>'Bilan 2010'!$E$8</f>
        <v>0.53923660559972342</v>
      </c>
      <c r="AX12" s="361">
        <f>'Bilan 2015'!$E$8</f>
        <v>0.50472914875322683</v>
      </c>
      <c r="AY12" s="361">
        <f>'Bilan 2020'!$E$8</f>
        <v>0.52450558899397848</v>
      </c>
      <c r="AZ12" s="361">
        <f>'Bilan 2030'!$E$8</f>
        <v>0.55030094582975231</v>
      </c>
      <c r="BA12" s="361">
        <f>'Bilan 2050'!$E$8</f>
        <v>0</v>
      </c>
      <c r="BB12" s="370"/>
      <c r="BD12" s="368" t="s">
        <v>309</v>
      </c>
      <c r="BE12" s="361">
        <f t="shared" si="27"/>
        <v>5.3191922780641603E-2</v>
      </c>
      <c r="BF12" s="361">
        <f t="shared" si="27"/>
        <v>8.9868438391010677E-2</v>
      </c>
      <c r="BG12" s="361">
        <f t="shared" si="28"/>
        <v>7.99210401705715E-2</v>
      </c>
      <c r="BH12" s="361">
        <f t="shared" si="29"/>
        <v>8.2116786638574496E-2</v>
      </c>
      <c r="BI12" s="361">
        <f t="shared" ref="BI12:BI20" si="41">BS12/Z14</f>
        <v>8.7175781391682278E-2</v>
      </c>
      <c r="BJ12" s="361">
        <f t="shared" ref="BJ12:BJ20" si="42">BT12/AA14</f>
        <v>0.22606301943856327</v>
      </c>
      <c r="BK12" s="366"/>
      <c r="BL12" s="366"/>
      <c r="BM12" s="366"/>
      <c r="BN12" s="368" t="s">
        <v>310</v>
      </c>
      <c r="BO12" s="361">
        <f>'Bilan 2006'!$K$12*('Bilan 2006'!$G8+'Bilan 2006'!$G15)/SUM('Bilan 2006'!$G$7:$G$19)</f>
        <v>0.18273479210365098</v>
      </c>
      <c r="BP12" s="361">
        <f>'Bilan 2010'!$K$12*('Bilan 2010'!$G$8+'Bilan 2010'!$G$15)/SUM('Bilan 2010'!$G$7:$G$19)</f>
        <v>0.35290581079335992</v>
      </c>
      <c r="BQ12" s="361">
        <f>'Bilan 2015'!$K$12*('Bilan 2015'!$G$8+'Bilan 2015'!$G$15)/SUM('Bilan 2015'!$G$7:$G$19)</f>
        <v>0.27959008791449735</v>
      </c>
      <c r="BR12" s="361">
        <f>'Bilan 2020'!$K$12*('Bilan 2020'!$G$8+'Bilan 2020'!$G$15)/SUM('Bilan 2020'!$G$7:$G$19)</f>
        <v>0.3054188489208296</v>
      </c>
      <c r="BS12" s="361">
        <f>'Bilan 2030'!$K$12*('Bilan 2030'!$G$8+'Bilan 2030'!$G$15)/SUM('Bilan 2030'!$G$7:$G$19)</f>
        <v>0.32062889346633949</v>
      </c>
      <c r="BT12" s="361">
        <f>('Bilan 2050'!$I$13+'Bilan 2050'!$K$12+'Bilan 2050'!$M$12)*('Bilan 2050'!$G$8+'Bilan 2050'!$G$15)/SUM('Bilan 2050'!$G$7:$G$19)</f>
        <v>1.0187896381045376</v>
      </c>
    </row>
    <row r="13" spans="1:72" ht="15">
      <c r="A13" s="362" t="s">
        <v>42</v>
      </c>
      <c r="B13" s="365">
        <f>'Bilan 2006'!$C$18</f>
        <v>5.22</v>
      </c>
      <c r="C13" s="364">
        <f>'Bilan 2010'!$C$18</f>
        <v>4.66</v>
      </c>
      <c r="D13" s="365">
        <f>'Bilan 2015'!$C$18</f>
        <v>2.8810384246527176</v>
      </c>
      <c r="E13" s="365">
        <f>'Bilan 2020'!$C$18</f>
        <v>2.56997984007758</v>
      </c>
      <c r="F13" s="365">
        <f>'Bilan 2025'!$C$18+0.1</f>
        <v>0.1</v>
      </c>
      <c r="G13" s="365">
        <f>'Bilan 2030'!$C$18+0.1</f>
        <v>0.1</v>
      </c>
      <c r="H13" s="365">
        <f>'Bilan 2050'!$C$18+0.1</f>
        <v>0.1</v>
      </c>
      <c r="I13" s="377"/>
      <c r="K13" s="365" t="s">
        <v>311</v>
      </c>
      <c r="L13" s="365">
        <f>B17</f>
        <v>9.0168711656441719E-2</v>
      </c>
      <c r="M13" s="365">
        <f t="shared" ref="M13:R15" si="43">C17</f>
        <v>4.8750172830971307E-2</v>
      </c>
      <c r="N13" s="365">
        <f t="shared" si="43"/>
        <v>0.63628546861565138</v>
      </c>
      <c r="O13" s="365">
        <f t="shared" si="43"/>
        <v>1.4617368873602772</v>
      </c>
      <c r="P13" s="365">
        <f t="shared" si="43"/>
        <v>2.923473774720549</v>
      </c>
      <c r="Q13" s="365">
        <f t="shared" si="43"/>
        <v>4.3852106620808255</v>
      </c>
      <c r="R13" s="365">
        <f t="shared" si="43"/>
        <v>21.496130696474644</v>
      </c>
      <c r="S13" s="352">
        <f t="shared" si="39"/>
        <v>2306</v>
      </c>
      <c r="T13" s="365" t="s">
        <v>311</v>
      </c>
      <c r="U13" s="365">
        <f>'Bilan 2006'!$R$13*'Bilan 2006'!$G$9/SUM('Bilan 2006'!$G$7:$G$19)</f>
        <v>6.872034647594813E-2</v>
      </c>
      <c r="V13" s="365">
        <f>'Bilan 2010'!$R$13*'Bilan 2010'!$G$9/SUM('Bilan 2010'!$G$7:$G$19)</f>
        <v>3.9446265926404336E-2</v>
      </c>
      <c r="W13" s="365">
        <f>'Bilan 2015'!$R$13*'Bilan 2015'!$G$9/SUM('Bilan 2015'!$G$7:$G$19)</f>
        <v>0.49001768260121925</v>
      </c>
      <c r="X13" s="365">
        <f>'Bilan 2020'!$R$13*'Bilan 2020'!$G$9/SUM('Bilan 2020'!$G$7:$G$19)</f>
        <v>1.1517029163517507</v>
      </c>
      <c r="Y13" s="365">
        <f>'Bilan 2025'!$R$13*'Bilan 2025'!$G$9/SUM('Bilan 2025'!$G$7:$G$19)</f>
        <v>2.1713818597372092</v>
      </c>
      <c r="Z13" s="365">
        <f>'Bilan 2030'!$R$13*'Bilan 2030'!$G$9/SUM('Bilan 2030'!$G$7:$G$19)</f>
        <v>3.2565256262454798</v>
      </c>
      <c r="AA13" s="365">
        <f>'Bilan 2050'!$R$13*'Bilan 2050'!$G$9/SUM('Bilan 2050'!$G$7:$G$19)</f>
        <v>17.604148762276406</v>
      </c>
      <c r="AB13" s="366"/>
      <c r="AC13" s="365" t="s">
        <v>311</v>
      </c>
      <c r="AD13" s="365">
        <f>'Bilan 2006'!$R$13*'Bilan 2006'!$G$9/SUM('Bilan 2006'!$G$7:$G$19)</f>
        <v>6.872034647594813E-2</v>
      </c>
      <c r="AE13" s="365">
        <f>'Bilan 2010'!$R$13*'Bilan 2010'!$G$9/SUM('Bilan 2010'!$G$7:$G$19)</f>
        <v>3.9446265926404336E-2</v>
      </c>
      <c r="AF13" s="365">
        <f>'Bilan 2015'!$R$13*'Bilan 2015'!$G$9/SUM('Bilan 2015'!$G$7:$G$19)</f>
        <v>0.49001768260121925</v>
      </c>
      <c r="AG13" s="365">
        <f>'Bilan 2020'!$R$13*'Bilan 2020'!$G$9/SUM('Bilan 2020'!$G$7:$G$19)</f>
        <v>1.1517029163517507</v>
      </c>
      <c r="AH13" s="365">
        <f>'Bilan 2025'!$R$13*'Bilan 2025'!$G$9/SUM('Bilan 2025'!$G$7:$G$19)</f>
        <v>2.1713818597372092</v>
      </c>
      <c r="AI13" s="365">
        <f>'Bilan 2030'!$R$13*'Bilan 2030'!$G$9/SUM('Bilan 2030'!$G$7:$G$19)</f>
        <v>3.2565256262454798</v>
      </c>
      <c r="AJ13" s="365">
        <f>'Bilan 2050'!$R$13*'Bilan 2050'!$G$9/SUM('Bilan 2050'!$G$7:$G$19)</f>
        <v>17.604148762276406</v>
      </c>
      <c r="AM13" s="367" t="s">
        <v>312</v>
      </c>
      <c r="AN13" s="361">
        <f t="shared" si="23"/>
        <v>5.2484433667982424</v>
      </c>
      <c r="AO13" s="361">
        <f t="shared" si="24"/>
        <v>4.9434512176057872</v>
      </c>
      <c r="AP13" s="361">
        <f t="shared" si="25"/>
        <v>5.1939796559012432</v>
      </c>
      <c r="AQ13" s="361">
        <f t="shared" si="26"/>
        <v>2.8249849403466989</v>
      </c>
      <c r="AR13" s="361">
        <f>AZ13/Z15</f>
        <v>2.0198876803266392</v>
      </c>
      <c r="AS13" s="361">
        <f>IF(BA13&gt;0,BA13/AA15,AR13)</f>
        <v>2.0198876803266392</v>
      </c>
      <c r="AU13" s="368" t="s">
        <v>313</v>
      </c>
      <c r="AV13" s="361">
        <f>'Bilan 2006'!$E14+'Bilan 2006'!$E13+'Bilan 2006'!$E11+'Bilan 2006'!$E12</f>
        <v>1.1679999999999999</v>
      </c>
      <c r="AW13" s="361">
        <f>'Bilan 2010'!$E14+'Bilan 2010'!$E13+'Bilan 2010'!$E11+'Bilan 2010'!$E12</f>
        <v>1.44</v>
      </c>
      <c r="AX13" s="361">
        <f>'Bilan 2015'!$E14+'Bilan 2015'!$E13+'Bilan 2015'!$E11+'Bilan 2015'!$E12</f>
        <v>1.7287918219164993</v>
      </c>
      <c r="AY13" s="361">
        <f>'Bilan 2020'!$E14+'Bilan 2020'!$E13+'Bilan 2020'!$E11+'Bilan 2020'!$E12</f>
        <v>1.9065946329816805</v>
      </c>
      <c r="AZ13" s="361">
        <f>'Bilan 2030'!$E14+'Bilan 2030'!$E13+'Bilan 2030'!$E11+'Bilan 2030'!$E12</f>
        <v>1.4187446259673258</v>
      </c>
      <c r="BA13" s="361">
        <f>'Bilan 2050'!$E14+'Bilan 2050'!$E13+'Bilan 2050'!$E11+'Bilan 2050'!$E12</f>
        <v>0</v>
      </c>
      <c r="BB13" s="370"/>
      <c r="BD13" s="368" t="s">
        <v>314</v>
      </c>
      <c r="BE13" s="361">
        <f t="shared" si="27"/>
        <v>0.1776252322770277</v>
      </c>
      <c r="BF13" s="361">
        <f t="shared" si="27"/>
        <v>0.1812529294911524</v>
      </c>
      <c r="BG13" s="361">
        <f t="shared" si="28"/>
        <v>0.16501419892423186</v>
      </c>
      <c r="BH13" s="361">
        <f t="shared" si="29"/>
        <v>0.16283914663209395</v>
      </c>
      <c r="BI13" s="361">
        <f t="shared" si="41"/>
        <v>0.18844593086093928</v>
      </c>
      <c r="BJ13" s="361">
        <f>BI13</f>
        <v>0.18844593086093928</v>
      </c>
      <c r="BK13" s="366"/>
      <c r="BL13" s="366"/>
      <c r="BM13" s="366"/>
      <c r="BN13" s="368" t="s">
        <v>315</v>
      </c>
      <c r="BO13" s="361">
        <f>'Bilan 2006'!$I$13*('Bilan 2006'!$G12+'Bilan 2006'!$G13+'Bilan 2006'!$G14+'Bilan 2006'!$G16)/SUM('Bilan 2006'!$G$10:$G19)+'Bilan 2006'!$K$12*('Bilan 2006'!$G12+'Bilan 2006'!$G13+'Bilan 2006'!$G14+'Bilan 2006'!$G16)/SUM('Bilan 2006'!$G$7:$G$19)</f>
        <v>3.9529105450961735E-2</v>
      </c>
      <c r="BP13" s="361">
        <f>'Bilan 2010'!$I$13*('Bilan 2010'!$G$12+'Bilan 2010'!$G$13+'Bilan 2010'!$G$14+'Bilan 2010'!$G$16)/SUM('Bilan 2010'!$G$10:$G$19)+'Bilan 2010'!$K$12*('Bilan 2010'!$G$12+'Bilan 2010'!$G$13+'Bilan 2010'!$G$14+'Bilan 2010'!$G$16)/SUM('Bilan 2010'!$G$7:$G$19)</f>
        <v>5.2797975943953794E-2</v>
      </c>
      <c r="BQ13" s="361">
        <f>'Bilan 2015'!$I$13*('Bilan 2015'!$G$12+'Bilan 2015'!$G$13+'Bilan 2015'!$G$14+'Bilan 2015'!$G$16)/SUM('Bilan 2015'!$G$10:$G$19)+'Bilan 2015'!$K$12*('Bilan 2015'!$G$12+'Bilan 2015'!$G$13+'Bilan 2015'!$G$14+'Bilan 2015'!$G$16)/SUM('Bilan 2015'!$G$7:$G$19)</f>
        <v>5.4924203885972744E-2</v>
      </c>
      <c r="BR13" s="361">
        <f>'Bilan 2020'!$I$13*('Bilan 2020'!$G$12+'Bilan 2020'!$G$13+'Bilan 2020'!$G$14+'Bilan 2020'!$G$16)/SUM('Bilan 2020'!$G$10:$G$19)+'Bilan 2020'!$K$12*('Bilan 2020'!$G$12+'Bilan 2020'!$G$13+'Bilan 2020'!$G$14+'Bilan 2020'!$G$16)/SUM('Bilan 2020'!$G$7:$G$19)</f>
        <v>0.10990084887672524</v>
      </c>
      <c r="BS13" s="361">
        <f>'Bilan 2030'!$I$13*('Bilan 2030'!$G$12+'Bilan 2030'!$G$13+'Bilan 2030'!$G$14+'Bilan 2030'!$G$16)/SUM('Bilan 2030'!$G$10:$G$19)+'Bilan 2030'!$K$12*('Bilan 2030'!$G$12+'Bilan 2030'!$G$13+'Bilan 2030'!$G$14+'Bilan 2030'!$G$16)/SUM('Bilan 2030'!$G$7:$G$19)</f>
        <v>0.13236213790418938</v>
      </c>
      <c r="BT13" s="361">
        <f>'Bilan 2050'!$I$13*('Bilan 2050'!$G$12+'Bilan 2050'!$G$13+'Bilan 2050'!$G$14+'Bilan 2050'!$G$16)/SUM('Bilan 2050'!$G$7:$G$19)+('Bilan 2050'!$K$12+'Bilan 2050'!$M$12)*('Bilan 2050'!$G$12+'Bilan 2050'!$G$13+'Bilan 2050'!$G$14+'Bilan 2050'!$G$16)/SUM('Bilan 2050'!$G$7:$G$19)</f>
        <v>0</v>
      </c>
    </row>
    <row r="14" spans="1:72" ht="15">
      <c r="A14" s="362" t="s">
        <v>306</v>
      </c>
      <c r="B14" s="363">
        <f>'Bilan 2006'!$C7+'Bilan 2006'!$C15</f>
        <v>0.40074990492018342</v>
      </c>
      <c r="C14" s="364">
        <f>'Bilan 2010'!$C7+'Bilan 2010'!$C15</f>
        <v>0.82576823366747309</v>
      </c>
      <c r="D14" s="363">
        <f>'Bilan 2015'!$C7+'Bilan 2015'!$C15</f>
        <v>1.8142734307824566</v>
      </c>
      <c r="E14" s="363">
        <f>'Bilan 2020'!$C7+'Bilan 2020'!$C15</f>
        <v>3.6113499570077385</v>
      </c>
      <c r="F14" s="363">
        <f>'Bilan 2025'!$C7+'Bilan 2025'!$C15</f>
        <v>6.706792777300099</v>
      </c>
      <c r="G14" s="365">
        <f>'Bilan 2030'!$C7+'Bilan 2030'!$C15</f>
        <v>9.7162510748065358</v>
      </c>
      <c r="H14" s="363">
        <f>'Bilan 2050'!$C7+'Bilan 2050'!$C15</f>
        <v>19.776440240756681</v>
      </c>
      <c r="I14" s="377"/>
      <c r="K14" s="365" t="s">
        <v>18</v>
      </c>
      <c r="L14" s="365">
        <f>B18</f>
        <v>5.0084526066881994</v>
      </c>
      <c r="M14" s="365">
        <f t="shared" si="43"/>
        <v>5.3923660559972344</v>
      </c>
      <c r="N14" s="365">
        <f t="shared" si="43"/>
        <v>5.0472914875322665</v>
      </c>
      <c r="O14" s="365">
        <f t="shared" si="43"/>
        <v>5.2450558899397892</v>
      </c>
      <c r="P14" s="365">
        <f t="shared" si="43"/>
        <v>5.3310404127257307</v>
      </c>
      <c r="Q14" s="365">
        <f t="shared" si="43"/>
        <v>5.503009458297524</v>
      </c>
      <c r="R14" s="365">
        <f t="shared" si="43"/>
        <v>5.5030094582975071</v>
      </c>
      <c r="S14" s="352">
        <f t="shared" si="39"/>
        <v>2307</v>
      </c>
      <c r="T14" s="365" t="s">
        <v>18</v>
      </c>
      <c r="U14" s="365">
        <f>'Bilan 2006'!$R$13*'Bilan 2006'!$G$8/SUM('Bilan 2006'!$G$7:$G$19)</f>
        <v>3.4353860990743232</v>
      </c>
      <c r="V14" s="365">
        <f>'Bilan 2010'!$R$13*'Bilan 2010'!$G$8/SUM('Bilan 2010'!$G$7:$G$19)</f>
        <v>3.9269160242653136</v>
      </c>
      <c r="W14" s="365">
        <f>'Bilan 2015'!$R$13*'Bilan 2015'!$G$8/SUM('Bilan 2015'!$G$7:$G$19)</f>
        <v>3.4983289421381669</v>
      </c>
      <c r="X14" s="365">
        <f>'Bilan 2020'!$R$13*'Bilan 2020'!$G$8/SUM('Bilan 2020'!$G$7:$G$19)</f>
        <v>3.7193229475123979</v>
      </c>
      <c r="Y14" s="365">
        <f>'Bilan 2025'!$R$13*'Bilan 2025'!$G$8/SUM('Bilan 2025'!$G$7:$G$19)</f>
        <v>3.5636208168628478</v>
      </c>
      <c r="Z14" s="365">
        <f>'Bilan 2030'!$R$13*'Bilan 2030'!$G$8/SUM('Bilan 2030'!$G$7:$G$19)</f>
        <v>3.6779583543478478</v>
      </c>
      <c r="AA14" s="365">
        <f>'Bilan 2050'!$R$13*'Bilan 2050'!$G$8/SUM('Bilan 2050'!$G$7:$G$19)</f>
        <v>4.5066620831427588</v>
      </c>
      <c r="AB14" s="366"/>
      <c r="AC14" s="365" t="s">
        <v>18</v>
      </c>
      <c r="AD14" s="365">
        <f>'Bilan 2006'!$R$13*'Bilan 2006'!$G$8/SUM('Bilan 2006'!$G$7:$G$19)</f>
        <v>3.4353860990743232</v>
      </c>
      <c r="AE14" s="365">
        <f>'Bilan 2010'!$R$13*'Bilan 2010'!$G$8/SUM('Bilan 2010'!$G$7:$G$19)</f>
        <v>3.9269160242653136</v>
      </c>
      <c r="AF14" s="365">
        <f>'Bilan 2015'!$R$13*'Bilan 2015'!$G$8/SUM('Bilan 2015'!$G$7:$G$19)</f>
        <v>3.4983289421381669</v>
      </c>
      <c r="AG14" s="365">
        <f>'Bilan 2020'!$R$13*'Bilan 2020'!$G$8/SUM('Bilan 2020'!$G$7:$G$19)</f>
        <v>3.7193229475123979</v>
      </c>
      <c r="AH14" s="365">
        <f>'Bilan 2025'!$R$13*'Bilan 2025'!$G$8/SUM('Bilan 2025'!$G$7:$G$19)</f>
        <v>3.5636208168628478</v>
      </c>
      <c r="AI14" s="365">
        <f>'Bilan 2030'!$R$13*'Bilan 2030'!$G$8/SUM('Bilan 2030'!$G$7:$G$19)</f>
        <v>3.6779583543478478</v>
      </c>
      <c r="AJ14" s="365">
        <f>'Bilan 2050'!$R$13*'Bilan 2050'!$G$8/SUM('Bilan 2050'!$G$7:$G$19)</f>
        <v>4.5066620831427588</v>
      </c>
      <c r="AM14" s="367" t="s">
        <v>316</v>
      </c>
      <c r="AN14" s="361">
        <f>AV14/U17</f>
        <v>2.8964306612053816E-2</v>
      </c>
      <c r="AO14" s="361">
        <f t="shared" ref="AO14:AQ20" si="44">AW14/V17</f>
        <v>3.3653846153846159E-2</v>
      </c>
      <c r="AP14" s="361">
        <f t="shared" si="44"/>
        <v>5.4939330399375451E-2</v>
      </c>
      <c r="AQ14" s="361">
        <f t="shared" si="44"/>
        <v>6.551292498690249E-2</v>
      </c>
      <c r="AR14" s="361">
        <f t="shared" ref="AR14:AS20" si="45">AZ14/Z17</f>
        <v>7.8980055644146743E-2</v>
      </c>
      <c r="AS14" s="361">
        <f t="shared" si="45"/>
        <v>1.0101010101010102E-2</v>
      </c>
      <c r="AU14" s="368" t="s">
        <v>317</v>
      </c>
      <c r="AV14" s="369">
        <f>'Bilan 2006'!$E$24+'Bilan 2006'!$E32</f>
        <v>0.98999999999999988</v>
      </c>
      <c r="AW14" s="369">
        <f>'Bilan 2010'!$E$24+'Bilan 2010'!$E32</f>
        <v>1.1200000000000001</v>
      </c>
      <c r="AX14" s="369">
        <f>'Bilan 2015'!$E$24+'Bilan 2015'!$E32</f>
        <v>1.6971563102266689</v>
      </c>
      <c r="AY14" s="369">
        <f>'Bilan 2020'!$E$24+'Bilan 2020'!$E32</f>
        <v>1.9185002224545846</v>
      </c>
      <c r="AZ14" s="369">
        <f>'Bilan 2030'!$E$24+'Bilan 2030'!$E32</f>
        <v>1.6562932228202003</v>
      </c>
      <c r="BA14" s="369">
        <f>'Bilan 2050'!$E$24+'Bilan 2050'!$E32</f>
        <v>8.5449177920296736E-3</v>
      </c>
      <c r="BB14" s="370"/>
      <c r="BD14" s="368" t="s">
        <v>318</v>
      </c>
      <c r="BE14" s="361">
        <f t="shared" ref="BE14:BF15" si="46">BO14/U17</f>
        <v>0</v>
      </c>
      <c r="BF14" s="361">
        <f t="shared" si="46"/>
        <v>0</v>
      </c>
      <c r="BG14" s="361">
        <f t="shared" ref="BG14:BG15" si="47">BQ14/W17</f>
        <v>0</v>
      </c>
      <c r="BH14" s="361">
        <f t="shared" ref="BH14:BH15" si="48">BR14/X17</f>
        <v>0</v>
      </c>
      <c r="BI14" s="361">
        <f t="shared" si="41"/>
        <v>0</v>
      </c>
      <c r="BJ14" s="361">
        <f t="shared" si="42"/>
        <v>0</v>
      </c>
      <c r="BK14" s="366"/>
      <c r="BL14" s="366"/>
      <c r="BM14" s="366"/>
      <c r="BN14" s="368" t="s">
        <v>319</v>
      </c>
      <c r="BO14" s="361">
        <f>BQ14</f>
        <v>0</v>
      </c>
      <c r="BP14" s="361">
        <f>$BQ$14</f>
        <v>0</v>
      </c>
      <c r="BQ14" s="361">
        <f t="shared" si="19"/>
        <v>0</v>
      </c>
      <c r="BR14" s="361">
        <f t="shared" si="19"/>
        <v>0</v>
      </c>
      <c r="BS14" s="361">
        <f t="shared" ref="BS14:BS17" si="49">BT14</f>
        <v>0</v>
      </c>
      <c r="BT14" s="361">
        <f t="shared" ref="BT14:BT17" si="50">BU14</f>
        <v>0</v>
      </c>
    </row>
    <row r="15" spans="1:72" ht="15">
      <c r="A15" s="373" t="s">
        <v>17</v>
      </c>
      <c r="B15" s="374"/>
      <c r="C15" s="374"/>
      <c r="D15" s="374"/>
      <c r="E15" s="374"/>
      <c r="F15" s="374"/>
      <c r="G15" s="379"/>
      <c r="H15" s="374"/>
      <c r="I15" s="355"/>
      <c r="K15" s="365" t="s">
        <v>320</v>
      </c>
      <c r="L15" s="365">
        <f>B19</f>
        <v>1.46</v>
      </c>
      <c r="M15" s="365">
        <f t="shared" si="43"/>
        <v>1.8</v>
      </c>
      <c r="N15" s="365">
        <f t="shared" si="43"/>
        <v>2.1609897773956241</v>
      </c>
      <c r="O15" s="365">
        <f t="shared" si="43"/>
        <v>2.7631806275096817</v>
      </c>
      <c r="P15" s="365">
        <f t="shared" si="43"/>
        <v>2.4180820758374684</v>
      </c>
      <c r="Q15" s="365">
        <f t="shared" si="43"/>
        <v>2.3645743766122096</v>
      </c>
      <c r="R15" s="465">
        <f t="shared" si="43"/>
        <v>0.1</v>
      </c>
      <c r="S15" s="352">
        <f t="shared" si="39"/>
        <v>2308</v>
      </c>
      <c r="T15" s="365" t="s">
        <v>321</v>
      </c>
      <c r="U15" s="365">
        <f>'Bilan 2006'!$R$13*SUM('Bilan 2006'!$G$11:$G$14,'Bilan 2006'!$G$16)/SUM('Bilan 2006'!$G$7:$G$19)</f>
        <v>0.22254217457861722</v>
      </c>
      <c r="V15" s="365">
        <f>'Bilan 2010'!$R$13*SUM('Bilan 2010'!$G$11:$G$14,'Bilan 2010'!$G$16)/SUM('Bilan 2010'!$G$7:$G$19)</f>
        <v>0.29129446951383509</v>
      </c>
      <c r="W15" s="365">
        <f>'Bilan 2015'!$R$13*SUM('Bilan 2015'!$G$11:$G$14,'Bilan 2015'!$G$16)/SUM('Bilan 2015'!$G$7:$G$19)</f>
        <v>0.33284532024539182</v>
      </c>
      <c r="X15" s="365">
        <f>'Bilan 2020'!$R$13*SUM('Bilan 2020'!$G$11:$G$14,'Bilan 2020'!$G$16)/SUM('Bilan 2020'!$G$7:$G$19)</f>
        <v>0.67490435285212247</v>
      </c>
      <c r="Y15" s="365">
        <f>'Bilan 2025'!$R$13*SUM('Bilan 2025'!$G$11:$G$14,'Bilan 2025'!$G$16)/SUM('Bilan 2025'!$G$7:$G$19)</f>
        <v>0.62860247288035753</v>
      </c>
      <c r="Z15" s="365">
        <f>'Bilan 2030'!$R$13*SUM('Bilan 2030'!$G$11:$G$14,'Bilan 2030'!$G$16)/SUM('Bilan 2030'!$G$7:$G$19)</f>
        <v>0.70238788017059361</v>
      </c>
      <c r="AA15" s="365">
        <f>'Bilan 2050'!$R$13*SUM('Bilan 2050'!$G$11:$G$14,'Bilan 2050'!$G$16)/SUM('Bilan 2050'!$G$7:$G$19)+0.1</f>
        <v>0.1</v>
      </c>
      <c r="AB15" s="366"/>
      <c r="AC15" s="365" t="s">
        <v>321</v>
      </c>
      <c r="AD15" s="365">
        <f>'Bilan 2006'!$R$13*SUM('Bilan 2006'!$G$11:$G$14,'Bilan 2006'!$G$16)/SUM('Bilan 2006'!$G$7:$G$19)</f>
        <v>0.22254217457861722</v>
      </c>
      <c r="AE15" s="365">
        <f>'Bilan 2010'!$R$13*SUM('Bilan 2010'!$G$11:$G$14,'Bilan 2010'!$G$16)/SUM('Bilan 2010'!$G$7:$G$19)</f>
        <v>0.29129446951383509</v>
      </c>
      <c r="AF15" s="365">
        <f>'Bilan 2015'!$R$13*SUM('Bilan 2015'!$G$11:$G$14,'Bilan 2015'!$G$16)/SUM('Bilan 2015'!$G$7:$G$19)</f>
        <v>0.33284532024539182</v>
      </c>
      <c r="AG15" s="365">
        <f>'Bilan 2020'!$R$13*SUM('Bilan 2020'!$G$11:$G$14,'Bilan 2020'!$G$16)/SUM('Bilan 2020'!$G$7:$G$19)</f>
        <v>0.67490435285212247</v>
      </c>
      <c r="AH15" s="365">
        <f>'Bilan 2025'!$R$13*SUM('Bilan 2025'!$G$11:$G$14,'Bilan 2025'!$G$16)/SUM('Bilan 2025'!$G$7:$G$19)</f>
        <v>0.62860247288035753</v>
      </c>
      <c r="AI15" s="365">
        <f>'Bilan 2030'!$R$13*SUM('Bilan 2030'!$G$11:$G$14,'Bilan 2030'!$G$16)/SUM('Bilan 2030'!$G$7:$G$19)</f>
        <v>0.70238788017059361</v>
      </c>
      <c r="AJ15" s="365">
        <f>'Bilan 2050'!$R$13*SUM('Bilan 2050'!$G$11:$G$14,'Bilan 2050'!$G$16)/SUM('Bilan 2050'!$G$7:$G$19)+0.1</f>
        <v>0.1</v>
      </c>
      <c r="AK15" s="366"/>
      <c r="AL15" s="366"/>
      <c r="AM15" s="367" t="s">
        <v>322</v>
      </c>
      <c r="AN15" s="361">
        <f t="shared" ref="AN15:AN20" si="51">AV15/U18</f>
        <v>0</v>
      </c>
      <c r="AO15" s="361">
        <f t="shared" si="44"/>
        <v>0</v>
      </c>
      <c r="AP15" s="361">
        <f t="shared" si="44"/>
        <v>0.10498687338321877</v>
      </c>
      <c r="AQ15" s="361">
        <f t="shared" si="44"/>
        <v>6.0840821747676313E-2</v>
      </c>
      <c r="AR15" s="361">
        <f t="shared" si="45"/>
        <v>3.89134128394528E-2</v>
      </c>
      <c r="AS15" s="361">
        <f t="shared" si="45"/>
        <v>1.274124178456919E-2</v>
      </c>
      <c r="AU15" s="368" t="s">
        <v>323</v>
      </c>
      <c r="AV15" s="369">
        <f>'Bilan 2006'!$E29+'Bilan 2006'!$E37</f>
        <v>0</v>
      </c>
      <c r="AW15" s="369">
        <f>'Bilan 2010'!$E29+'Bilan 2010'!$E37</f>
        <v>0</v>
      </c>
      <c r="AX15" s="369">
        <f>'Bilan 2015'!$E29+'Bilan 2015'!$E37</f>
        <v>0.3409614980414637</v>
      </c>
      <c r="AY15" s="369">
        <f>'Bilan 2020'!$E29+'Bilan 2020'!$E37</f>
        <v>0.2486887592593825</v>
      </c>
      <c r="AZ15" s="369">
        <f>'Bilan 2030'!$E29+'Bilan 2030'!$E37</f>
        <v>0.2189592318628733</v>
      </c>
      <c r="BA15" s="369">
        <f>'Bilan 2050'!$E29+'Bilan 2050'!$E37</f>
        <v>6.9259187107060416E-2</v>
      </c>
      <c r="BB15" s="370"/>
      <c r="BD15" s="368" t="s">
        <v>324</v>
      </c>
      <c r="BE15" s="361">
        <f t="shared" si="46"/>
        <v>0</v>
      </c>
      <c r="BF15" s="361">
        <f t="shared" si="46"/>
        <v>0</v>
      </c>
      <c r="BG15" s="361">
        <f t="shared" si="47"/>
        <v>0</v>
      </c>
      <c r="BH15" s="361">
        <f t="shared" si="48"/>
        <v>0</v>
      </c>
      <c r="BI15" s="361">
        <f t="shared" si="41"/>
        <v>0</v>
      </c>
      <c r="BJ15" s="361">
        <f t="shared" si="42"/>
        <v>0</v>
      </c>
      <c r="BK15" s="366"/>
      <c r="BL15" s="366"/>
      <c r="BM15" s="366"/>
      <c r="BN15" s="368" t="s">
        <v>325</v>
      </c>
      <c r="BO15" s="361">
        <f>BQ15</f>
        <v>0</v>
      </c>
      <c r="BP15" s="361">
        <f>$BQ$15</f>
        <v>0</v>
      </c>
      <c r="BQ15" s="361">
        <f t="shared" si="19"/>
        <v>0</v>
      </c>
      <c r="BR15" s="361">
        <f t="shared" si="19"/>
        <v>0</v>
      </c>
      <c r="BS15" s="361">
        <f t="shared" si="49"/>
        <v>0</v>
      </c>
      <c r="BT15" s="361">
        <f t="shared" si="50"/>
        <v>0</v>
      </c>
    </row>
    <row r="16" spans="1:72" ht="15">
      <c r="A16" s="375" t="s">
        <v>25</v>
      </c>
      <c r="B16" s="376"/>
      <c r="C16" s="376"/>
      <c r="D16" s="376"/>
      <c r="E16" s="376"/>
      <c r="F16" s="376"/>
      <c r="G16" s="380"/>
      <c r="H16" s="376"/>
      <c r="I16" s="355"/>
      <c r="K16" s="360" t="s">
        <v>326</v>
      </c>
      <c r="L16" s="360">
        <f>SUM(L17:L22)</f>
        <v>39.730000000000011</v>
      </c>
      <c r="M16" s="360">
        <f>SUM(M17:M22)</f>
        <v>41.672984933035721</v>
      </c>
      <c r="N16" s="360">
        <f>SUM(N17:N22)</f>
        <v>39.839810059979754</v>
      </c>
      <c r="O16" s="360">
        <f>SUM(O17:O22)</f>
        <v>40.870720455492403</v>
      </c>
      <c r="P16" s="360">
        <f t="shared" ref="P16:R16" si="52">SUM(P17:P22)</f>
        <v>40.483126295450447</v>
      </c>
      <c r="Q16" s="360">
        <f t="shared" si="52"/>
        <v>40.055340301741893</v>
      </c>
      <c r="R16" s="360">
        <f t="shared" si="52"/>
        <v>30.567397439749591</v>
      </c>
      <c r="S16" s="352"/>
      <c r="T16" s="360" t="s">
        <v>326</v>
      </c>
      <c r="U16" s="360">
        <f t="shared" ref="U16:V16" si="53">SUM(U17:U22)</f>
        <v>37.172000000000018</v>
      </c>
      <c r="V16" s="360">
        <f t="shared" si="53"/>
        <v>37.912622321428579</v>
      </c>
      <c r="W16" s="360">
        <f t="shared" ref="W16" si="54">SUM(W17:W22)</f>
        <v>36.014949775844535</v>
      </c>
      <c r="X16" s="360">
        <f t="shared" ref="X16" si="55">SUM(X17:X22)</f>
        <v>36.538916780070799</v>
      </c>
      <c r="Y16" s="360">
        <f t="shared" ref="Y16:AA16" si="56">SUM(Y17:Y22)</f>
        <v>35.822348641005917</v>
      </c>
      <c r="Z16" s="360">
        <f t="shared" si="56"/>
        <v>34.494399065279339</v>
      </c>
      <c r="AA16" s="360">
        <f t="shared" si="56"/>
        <v>25.283573984006832</v>
      </c>
      <c r="AB16" s="366"/>
      <c r="AC16" s="360" t="s">
        <v>326</v>
      </c>
      <c r="AD16" s="360">
        <f t="shared" ref="AD16:AJ16" si="57">SUM(AD17:AD22)</f>
        <v>38.792000000000016</v>
      </c>
      <c r="AE16" s="360">
        <f t="shared" si="57"/>
        <v>39.882622321428578</v>
      </c>
      <c r="AF16" s="360">
        <f t="shared" si="57"/>
        <v>36.850310095215612</v>
      </c>
      <c r="AG16" s="360">
        <f t="shared" si="57"/>
        <v>37.715921516422696</v>
      </c>
      <c r="AH16" s="360">
        <f t="shared" si="57"/>
        <v>37.224445936119899</v>
      </c>
      <c r="AI16" s="360">
        <f t="shared" si="57"/>
        <v>36.569247092924847</v>
      </c>
      <c r="AJ16" s="360">
        <f t="shared" si="57"/>
        <v>27.169315767360562</v>
      </c>
      <c r="AM16" s="367" t="s">
        <v>327</v>
      </c>
      <c r="AN16" s="361">
        <f t="shared" si="51"/>
        <v>0</v>
      </c>
      <c r="AO16" s="361">
        <f t="shared" si="44"/>
        <v>0</v>
      </c>
      <c r="AP16" s="361">
        <f t="shared" si="44"/>
        <v>0</v>
      </c>
      <c r="AQ16" s="361">
        <f t="shared" si="44"/>
        <v>0</v>
      </c>
      <c r="AR16" s="361">
        <f t="shared" si="45"/>
        <v>0</v>
      </c>
      <c r="AS16" s="361">
        <f t="shared" si="45"/>
        <v>0</v>
      </c>
      <c r="AU16" s="368" t="s">
        <v>328</v>
      </c>
      <c r="AV16" s="369">
        <f>'Bilan 2006'!$E26+'Bilan 2006'!$E22</f>
        <v>0</v>
      </c>
      <c r="AW16" s="369">
        <f>'Bilan 2010'!$E26+'Bilan 2010'!$E22</f>
        <v>0</v>
      </c>
      <c r="AX16" s="369">
        <f>'Bilan 2015'!$E26+'Bilan 2015'!$E22</f>
        <v>0</v>
      </c>
      <c r="AY16" s="369">
        <f>'Bilan 2020'!$E26+'Bilan 2020'!$E22</f>
        <v>0</v>
      </c>
      <c r="AZ16" s="369">
        <f>'Bilan 2030'!$E26+'Bilan 2030'!$E22</f>
        <v>0</v>
      </c>
      <c r="BA16" s="369">
        <f>'Bilan 2050'!$E26+'Bilan 2050'!$E22</f>
        <v>0</v>
      </c>
      <c r="BB16" s="370"/>
      <c r="BD16" s="368" t="s">
        <v>329</v>
      </c>
      <c r="BE16" s="361">
        <v>0</v>
      </c>
      <c r="BF16" s="361">
        <v>0</v>
      </c>
      <c r="BG16" s="361">
        <f t="shared" ref="BG16:BG20" si="58">BQ16/X18</f>
        <v>0</v>
      </c>
      <c r="BH16" s="361">
        <f t="shared" ref="BH16:BH20" si="59">BR16/Y18</f>
        <v>0</v>
      </c>
      <c r="BI16" s="361">
        <f t="shared" si="41"/>
        <v>0</v>
      </c>
      <c r="BJ16" s="361">
        <f t="shared" si="42"/>
        <v>0</v>
      </c>
      <c r="BK16" s="366"/>
      <c r="BL16" s="366"/>
      <c r="BM16" s="366"/>
      <c r="BN16" s="368" t="s">
        <v>330</v>
      </c>
      <c r="BO16" s="361">
        <f>BQ16</f>
        <v>0</v>
      </c>
      <c r="BP16" s="361">
        <f>$BQ$16</f>
        <v>0</v>
      </c>
      <c r="BQ16" s="361">
        <f t="shared" si="19"/>
        <v>0</v>
      </c>
      <c r="BR16" s="361">
        <f t="shared" si="19"/>
        <v>0</v>
      </c>
      <c r="BS16" s="361">
        <f t="shared" si="49"/>
        <v>0</v>
      </c>
      <c r="BT16" s="361">
        <f t="shared" si="50"/>
        <v>0</v>
      </c>
    </row>
    <row r="17" spans="1:72" ht="15">
      <c r="A17" s="362" t="s">
        <v>311</v>
      </c>
      <c r="B17" s="363">
        <f>'Bilan 2006'!$C9</f>
        <v>9.0168711656441719E-2</v>
      </c>
      <c r="C17" s="364">
        <f>'Bilan 2010'!$C9</f>
        <v>4.8750172830971307E-2</v>
      </c>
      <c r="D17" s="363">
        <f>'Bilan 2015'!$C9</f>
        <v>0.63628546861565138</v>
      </c>
      <c r="E17" s="363">
        <f>'Bilan 2020'!$C9</f>
        <v>1.4617368873602772</v>
      </c>
      <c r="F17" s="363">
        <f>'Bilan 2025'!$C9</f>
        <v>2.923473774720549</v>
      </c>
      <c r="G17" s="365">
        <f>'Bilan 2030'!$C9</f>
        <v>4.3852106620808255</v>
      </c>
      <c r="H17" s="363">
        <f>'Bilan 2050'!$C9</f>
        <v>21.496130696474644</v>
      </c>
      <c r="I17" s="377"/>
      <c r="K17" s="365" t="s">
        <v>331</v>
      </c>
      <c r="L17" s="365">
        <f t="shared" ref="L17:R22" si="60">B28</f>
        <v>36.790000000000006</v>
      </c>
      <c r="M17" s="365">
        <f t="shared" si="60"/>
        <v>36.370000000000005</v>
      </c>
      <c r="N17" s="365">
        <f t="shared" si="60"/>
        <v>34.145081200709882</v>
      </c>
      <c r="O17" s="365">
        <f t="shared" si="60"/>
        <v>32.544440196652886</v>
      </c>
      <c r="P17" s="365">
        <f t="shared" si="60"/>
        <v>28.605514597897603</v>
      </c>
      <c r="Q17" s="365">
        <f t="shared" si="60"/>
        <v>24.203804668294417</v>
      </c>
      <c r="R17" s="365">
        <f t="shared" si="60"/>
        <v>2.0058786941476838</v>
      </c>
      <c r="S17" s="352">
        <v>2401</v>
      </c>
      <c r="T17" s="365" t="s">
        <v>331</v>
      </c>
      <c r="U17" s="365">
        <f>'Bilan 2006'!$G$24-'Bilan 2006'!$O$23-'Bilan 2006'!E32</f>
        <v>34.180000000000014</v>
      </c>
      <c r="V17" s="365">
        <f>'Bilan 2010'!$P$23-'Bilan 2010'!$G$22+'Bilan 2010'!$G$32</f>
        <v>33.28</v>
      </c>
      <c r="W17" s="365">
        <f>'Bilan 2015'!$P$23-'Bilan 2015'!$G$22+'Bilan 2015'!$G$32</f>
        <v>30.891463326716522</v>
      </c>
      <c r="X17" s="365">
        <f>'Bilan 2020'!$G$24*(1-SUM('Bilan 2020'!$K$21:$O$24)/SUM('Bilan 2020'!$G$21:$G$24))+'Bilan 2020'!$G$32</f>
        <v>29.284301118262327</v>
      </c>
      <c r="Y17" s="365">
        <f>'Bilan 2025'!$G$24*(1-SUM('Bilan 2025'!$K$21:$O$24)/SUM('Bilan 2025'!$G$21:$G$24))+'Bilan 2025'!$G$32</f>
        <v>25.49639303080157</v>
      </c>
      <c r="Z17" s="365">
        <f>'Bilan 2030'!$G$24*(1-SUM('Bilan 2030'!$K$21:$O$24)/SUM('Bilan 2030'!$G$21:$G$24))+'Bilan 2030'!$G$32</f>
        <v>20.971031348506642</v>
      </c>
      <c r="AA17" s="365">
        <f>'Bilan 2050'!$G$24*(1-SUM('Bilan 2050'!$K$21:$O$24)/SUM('Bilan 2050'!$G$21:$G$24))+'Bilan 2050'!$G$32</f>
        <v>0.84594686141093767</v>
      </c>
      <c r="AB17" s="366"/>
      <c r="AC17" s="365" t="s">
        <v>331</v>
      </c>
      <c r="AD17" s="365">
        <f>'Bilan 2006'!$G$24-'Bilan 2006'!$O$23-'Bilan 2006'!$E$32+'Bilan 2006'!$C$45</f>
        <v>35.800000000000011</v>
      </c>
      <c r="AE17" s="365">
        <f>'Bilan 2010'!$G$24-'Bilan 2010'!$O$23-'Bilan 2010'!$E$32+'Bilan 2010'!$C$45</f>
        <v>35.25</v>
      </c>
      <c r="AF17" s="365">
        <f>IF('Bilan 2015'!$G$24&gt;0,'Bilan 2015'!$G$24-'Bilan 2015'!$O$23-'Bilan 2015'!$N$23)+'Bilan 2015'!$G$32*(1-SUM('Bilan 2015'!$K$26:$K$32)/SUM('Bilan 2015'!$J$26:$J$32))+'Bilan 2015'!$G$45</f>
        <v>32.122624211290464</v>
      </c>
      <c r="AG17" s="365">
        <f>IF('Bilan 2020'!$G$24&gt;0,'Bilan 2020'!$G$24-'Bilan 2020'!$O$23-'Bilan 2020'!$N$23)+'Bilan 2020'!$G$32*(1-SUM('Bilan 2020'!$K$26:$K$32)/SUM('Bilan 2020'!$J$26:$J$32))+'Bilan 2020'!$G$45</f>
        <v>30.335955603051914</v>
      </c>
      <c r="AH17" s="365">
        <f>IF('Bilan 2025'!$G$24&gt;0,'Bilan 2025'!$G$24-'Bilan 2025'!$O$23-'Bilan 2025'!$N$23)+'Bilan 2025'!$G$32*(1-SUM('Bilan 2025'!$K$26:$K$32)/SUM('Bilan 2025'!$J$26:$J$32))+'Bilan 2025'!$G$45</f>
        <v>26.600901731642203</v>
      </c>
      <c r="AI17" s="365">
        <f>IF('Bilan 2030'!$G$24&gt;0,'Bilan 2030'!$G$24-'Bilan 2030'!$O$23-'Bilan 2030'!$N$23)+'Bilan 2030'!$G$32*(1-SUM('Bilan 2030'!$K$26:$K$32)/SUM('Bilan 2030'!$J$26:$J$32))+'Bilan 2030'!$G$45</f>
        <v>22.4566130352176</v>
      </c>
      <c r="AJ17" s="365">
        <f>IF('Bilan 2050'!$G$24&gt;0,'Bilan 2050'!$G$24-'Bilan 2050'!$O$23-'Bilan 2050'!$E$32)+'Bilan 2050'!$G$45</f>
        <v>2.0057786941476836</v>
      </c>
      <c r="AM17" s="367" t="s">
        <v>332</v>
      </c>
      <c r="AN17" s="361">
        <f t="shared" si="51"/>
        <v>0.25</v>
      </c>
      <c r="AO17" s="361">
        <f t="shared" si="44"/>
        <v>0.25</v>
      </c>
      <c r="AP17" s="361">
        <f t="shared" si="44"/>
        <v>0.25</v>
      </c>
      <c r="AQ17" s="361">
        <f t="shared" si="44"/>
        <v>0.15606827899950321</v>
      </c>
      <c r="AR17" s="361">
        <f t="shared" si="45"/>
        <v>9.5131020130895014E-2</v>
      </c>
      <c r="AS17" s="361">
        <f t="shared" si="45"/>
        <v>1.2749413999961623E-2</v>
      </c>
      <c r="AU17" s="368" t="s">
        <v>333</v>
      </c>
      <c r="AV17" s="369">
        <f>'Bilan 2006'!$E27</f>
        <v>0.14799999999999999</v>
      </c>
      <c r="AW17" s="369">
        <f>'Bilan 2010'!$E27</f>
        <v>0.11457589285714283</v>
      </c>
      <c r="AX17" s="369">
        <f>'Bilan 2015'!$E27</f>
        <v>0.12</v>
      </c>
      <c r="AY17" s="369">
        <f>'Bilan 2020'!$E27</f>
        <v>6.6000000000000003E-2</v>
      </c>
      <c r="AZ17" s="369">
        <f>'Bilan 2030'!$E27</f>
        <v>4.2000000000000003E-2</v>
      </c>
      <c r="BA17" s="369">
        <f>'Bilan 2050'!$E27</f>
        <v>6.0000000000000001E-3</v>
      </c>
      <c r="BB17" s="370"/>
      <c r="BD17" s="368" t="s">
        <v>334</v>
      </c>
      <c r="BE17" s="361">
        <f>BO17/U20</f>
        <v>0</v>
      </c>
      <c r="BF17" s="361">
        <f>BP17/V20</f>
        <v>0</v>
      </c>
      <c r="BG17" s="361">
        <f t="shared" si="58"/>
        <v>0</v>
      </c>
      <c r="BH17" s="361">
        <f t="shared" si="59"/>
        <v>0</v>
      </c>
      <c r="BI17" s="361">
        <f t="shared" si="41"/>
        <v>0</v>
      </c>
      <c r="BJ17" s="361">
        <f t="shared" si="42"/>
        <v>0</v>
      </c>
      <c r="BK17" s="366"/>
      <c r="BL17" s="366"/>
      <c r="BM17" s="366"/>
      <c r="BN17" s="368" t="s">
        <v>335</v>
      </c>
      <c r="BO17" s="361">
        <f>BQ17</f>
        <v>0</v>
      </c>
      <c r="BP17" s="361">
        <f>$BQ$17</f>
        <v>0</v>
      </c>
      <c r="BQ17" s="361">
        <f t="shared" si="19"/>
        <v>0</v>
      </c>
      <c r="BR17" s="361">
        <f t="shared" si="19"/>
        <v>0</v>
      </c>
      <c r="BS17" s="361">
        <f t="shared" si="49"/>
        <v>0</v>
      </c>
      <c r="BT17" s="361">
        <f t="shared" si="50"/>
        <v>0</v>
      </c>
    </row>
    <row r="18" spans="1:72" ht="15">
      <c r="A18" s="362" t="s">
        <v>18</v>
      </c>
      <c r="B18" s="363">
        <f>'Bilan 2006'!$C8</f>
        <v>5.0084526066881994</v>
      </c>
      <c r="C18" s="363">
        <f>'Bilan 2010'!$C8</f>
        <v>5.3923660559972344</v>
      </c>
      <c r="D18" s="363">
        <f>'Bilan 2015'!$C8</f>
        <v>5.0472914875322665</v>
      </c>
      <c r="E18" s="363">
        <f>'Bilan 2020'!$C8</f>
        <v>5.2450558899397892</v>
      </c>
      <c r="F18" s="363">
        <f>'Bilan 2025'!$C8</f>
        <v>5.3310404127257307</v>
      </c>
      <c r="G18" s="365">
        <f>'Bilan 2030'!$C8</f>
        <v>5.503009458297524</v>
      </c>
      <c r="H18" s="363">
        <f>'Bilan 2050'!$C8</f>
        <v>5.5030094582975071</v>
      </c>
      <c r="I18" s="377"/>
      <c r="K18" s="365" t="s">
        <v>336</v>
      </c>
      <c r="L18" s="365">
        <f t="shared" si="60"/>
        <v>1.6000000000000008</v>
      </c>
      <c r="M18" s="365">
        <f t="shared" si="60"/>
        <v>2.1679017857142857</v>
      </c>
      <c r="N18" s="365">
        <f t="shared" si="60"/>
        <v>3.5886198676444905</v>
      </c>
      <c r="O18" s="365">
        <f t="shared" si="60"/>
        <v>4.6689911132378423</v>
      </c>
      <c r="P18" s="365">
        <f t="shared" si="60"/>
        <v>5.6762949876062256</v>
      </c>
      <c r="Q18" s="365">
        <f t="shared" si="60"/>
        <v>6.311644048854717</v>
      </c>
      <c r="R18" s="365">
        <f t="shared" si="60"/>
        <v>5.8802273107045089</v>
      </c>
      <c r="S18" s="352">
        <f>S17+1</f>
        <v>2402</v>
      </c>
      <c r="T18" s="365" t="s">
        <v>336</v>
      </c>
      <c r="U18" s="365">
        <f>'Bilan 2006'!$G$29+'Bilan 2006'!$G$37</f>
        <v>1.6000000000000008</v>
      </c>
      <c r="V18" s="365">
        <f>'Bilan 2010'!$G$29+'Bilan 2010'!$G$37</f>
        <v>2.1679017857142857</v>
      </c>
      <c r="W18" s="365">
        <f>'Bilan 2015'!$G$29+'Bilan 2015'!$G$37</f>
        <v>3.2476583696030268</v>
      </c>
      <c r="X18" s="365">
        <f>'Bilan 2020'!$G$29*(1-SUM('Bilan 2020'!$K$26:$K$32)/SUM('Bilan 2020'!$G$26:$G$34))+'Bilan 2020'!$G$37</f>
        <v>4.0875312350441853</v>
      </c>
      <c r="Y18" s="365">
        <f>'Bilan 2025'!$G$29*(1-SUM('Bilan 2025'!$K$26:$O$32)/SUM('Bilan 2025'!$G$26:$G$34))+'Bilan 2025'!$G$37</f>
        <v>4.9541172265753168</v>
      </c>
      <c r="Z18" s="365">
        <f>'Bilan 2030'!$G$29*(1-SUM('Bilan 2030'!$K$26:$O$32)/SUM('Bilan 2030'!$G$26:$G$34))+'Bilan 2030'!$G$37</f>
        <v>5.6268318784128599</v>
      </c>
      <c r="AA18" s="365">
        <f>'Bilan 2050'!$G$29*(1-SUM('Bilan 2050'!$K$26:$O$32)/SUM('Bilan 2050'!$G$26:$G$34))+'Bilan 2050'!$G$37</f>
        <v>5.4358270785614975</v>
      </c>
      <c r="AB18" s="366"/>
      <c r="AC18" s="365" t="s">
        <v>336</v>
      </c>
      <c r="AD18" s="365">
        <f>'Bilan 2006'!$G$29+'Bilan 2006'!$G$37</f>
        <v>1.6000000000000008</v>
      </c>
      <c r="AE18" s="365">
        <f>'Bilan 2010'!$G$29+'Bilan 2010'!$G$37</f>
        <v>2.1679017857142857</v>
      </c>
      <c r="AF18" s="365">
        <f>'Bilan 2015'!$G$29*(1-SUM('Bilan 2015'!$K$26:$K$32)/SUM('Bilan 2015'!$J$26:$J$32))+'Bilan 2015'!$G$37</f>
        <v>3.0024631041727972</v>
      </c>
      <c r="AG18" s="365">
        <f>'Bilan 2020'!$G$29*(1-SUM('Bilan 2020'!$K$26:$K$32)/SUM('Bilan 2020'!$J$26:$J$32))+'Bilan 2020'!$G$37</f>
        <v>4.0875312350441853</v>
      </c>
      <c r="AH18" s="365">
        <f>'Bilan 2025'!$G$29*(1-SUM('Bilan 2025'!$K$26:$K$32)/SUM('Bilan 2025'!$J$26:$J$32))+'Bilan 2025'!$G$37</f>
        <v>4.9541172265753168</v>
      </c>
      <c r="AI18" s="365">
        <f>'Bilan 2030'!$G$29*(1-SUM('Bilan 2030'!$K$26:$K$32)/SUM('Bilan 2030'!$J$26:$J$32))+'Bilan 2030'!$G$37</f>
        <v>5.6268318784128599</v>
      </c>
      <c r="AJ18" s="365">
        <f>'Bilan 2050'!$G$29*(1-SUM('Bilan 2050'!$K$26:$K$32)/SUM('Bilan 2050'!$J$26:$J$32))+'Bilan 2050'!$G$37</f>
        <v>5.4358270785614975</v>
      </c>
      <c r="AM18" s="367" t="s">
        <v>337</v>
      </c>
      <c r="AN18" s="361">
        <f t="shared" si="51"/>
        <v>0</v>
      </c>
      <c r="AO18" s="361">
        <f t="shared" si="44"/>
        <v>0.11266629464285714</v>
      </c>
      <c r="AP18" s="361">
        <f t="shared" si="44"/>
        <v>0.18114265848526004</v>
      </c>
      <c r="AQ18" s="361">
        <f t="shared" si="44"/>
        <v>6.9399705339990528E-2</v>
      </c>
      <c r="AR18" s="361">
        <f t="shared" si="45"/>
        <v>2.4577060578843544E-2</v>
      </c>
      <c r="AS18" s="361">
        <f t="shared" si="45"/>
        <v>2.9614009900521712E-3</v>
      </c>
      <c r="AU18" s="368" t="s">
        <v>338</v>
      </c>
      <c r="AV18" s="369">
        <f>'Bilan 2006'!$E$39+'Bilan 2006'!$E$30+'Bilan 2006'!$E$31</f>
        <v>0</v>
      </c>
      <c r="AW18" s="369">
        <f>'Bilan 2010'!$E$39+'Bilan 2010'!$E$30+'Bilan 2010'!$E$31</f>
        <v>1.1266629464285714E-2</v>
      </c>
      <c r="AX18" s="369">
        <f>'Bilan 2015'!$E$39+'Bilan 2015'!$E$30+'Bilan 2015'!$E$31</f>
        <v>4.8409286328460872E-2</v>
      </c>
      <c r="AY18" s="369">
        <f>'Bilan 2020'!$E$39+'Bilan 2020'!$E$30+'Bilan 2020'!$E$31</f>
        <v>2.378337881881179E-2</v>
      </c>
      <c r="AZ18" s="369">
        <f>'Bilan 2030'!$E$39+'Bilan 2030'!$E$30+'Bilan 2030'!$E$31</f>
        <v>2.96232003765916E-2</v>
      </c>
      <c r="BA18" s="369">
        <f>'Bilan 2050'!$E$39+'Bilan 2050'!$E$30+'Bilan 2050'!$E$31</f>
        <v>9.7944518123549013E-3</v>
      </c>
      <c r="BB18" s="370"/>
      <c r="BD18" s="368" t="s">
        <v>339</v>
      </c>
      <c r="BE18" s="361">
        <v>0</v>
      </c>
      <c r="BF18" s="361">
        <v>0</v>
      </c>
      <c r="BG18" s="361">
        <f t="shared" si="58"/>
        <v>0</v>
      </c>
      <c r="BH18" s="361">
        <f t="shared" si="59"/>
        <v>0</v>
      </c>
      <c r="BI18" s="361">
        <f t="shared" si="41"/>
        <v>0</v>
      </c>
      <c r="BJ18" s="361">
        <f t="shared" si="42"/>
        <v>0</v>
      </c>
      <c r="BK18" s="366"/>
      <c r="BL18" s="366"/>
      <c r="BM18" s="366"/>
      <c r="BN18" s="368" t="s">
        <v>340</v>
      </c>
      <c r="BO18" s="361">
        <v>0</v>
      </c>
      <c r="BP18" s="361">
        <v>0</v>
      </c>
      <c r="BQ18" s="361">
        <v>0</v>
      </c>
      <c r="BR18" s="361">
        <v>0</v>
      </c>
      <c r="BS18" s="361">
        <f>BR18</f>
        <v>0</v>
      </c>
      <c r="BT18" s="361">
        <f>BS18</f>
        <v>0</v>
      </c>
    </row>
    <row r="19" spans="1:72" ht="15">
      <c r="A19" s="362" t="s">
        <v>320</v>
      </c>
      <c r="B19" s="363">
        <f>'Bilan 2006'!$C$12+'Bilan 2006'!$C$13+'Bilan 2006'!$C$14+'Bilan 2006'!$C$16</f>
        <v>1.46</v>
      </c>
      <c r="C19" s="364">
        <f>'Bilan 2010'!$C$12+'Bilan 2010'!$C$13+'Bilan 2010'!$C$14+'Bilan 2010'!$C$16</f>
        <v>1.8</v>
      </c>
      <c r="D19" s="363">
        <f>'Bilan 2015'!$C$12+'Bilan 2015'!$C$13+'Bilan 2015'!$C$14+'Bilan 2015'!$C$16</f>
        <v>2.1609897773956241</v>
      </c>
      <c r="E19" s="363">
        <f>'Bilan 2020'!$C$12+'Bilan 2020'!$C$13+'Bilan 2020'!$C$14+'Bilan 2020'!$C$16</f>
        <v>2.7631806275096817</v>
      </c>
      <c r="F19" s="363">
        <f>'Bilan 2025'!$C$12+'Bilan 2025'!$C$13+'Bilan 2025'!$C$14+'Bilan 2025'!$C$16</f>
        <v>2.4180820758374684</v>
      </c>
      <c r="G19" s="365">
        <f>'Bilan 2030'!$C$12+'Bilan 2030'!$C$13+'Bilan 2030'!$C$14+'Bilan 2030'!$C$16</f>
        <v>2.3645743766122096</v>
      </c>
      <c r="H19" s="363">
        <f>'Bilan 2050'!$C$12+'Bilan 2050'!$C$13+'Bilan 2050'!$C$14+'Bilan 2050'!$C$16+0.1</f>
        <v>0.1</v>
      </c>
      <c r="I19" s="378"/>
      <c r="K19" s="365" t="s">
        <v>341</v>
      </c>
      <c r="L19" s="365">
        <f t="shared" si="60"/>
        <v>0</v>
      </c>
      <c r="M19" s="365">
        <f t="shared" si="60"/>
        <v>0.84000000000000008</v>
      </c>
      <c r="N19" s="365">
        <f t="shared" si="60"/>
        <v>0.29045571797076525</v>
      </c>
      <c r="O19" s="365">
        <f t="shared" si="60"/>
        <v>0.94968567216574373</v>
      </c>
      <c r="P19" s="365">
        <f t="shared" si="60"/>
        <v>2.3221172695407888</v>
      </c>
      <c r="Q19" s="365">
        <f t="shared" si="60"/>
        <v>4.4371490430568556</v>
      </c>
      <c r="R19" s="365">
        <f t="shared" si="60"/>
        <v>14.265950835910552</v>
      </c>
      <c r="S19" s="352">
        <f t="shared" ref="S19:S22" si="61">S18+1</f>
        <v>2403</v>
      </c>
      <c r="T19" s="365" t="s">
        <v>341</v>
      </c>
      <c r="U19" s="365">
        <f>'Bilan 2006'!$G$22+'Bilan 2006'!$G$21+'Bilan 2006'!$G$26+'Bilan 2006'!$G$36</f>
        <v>0.2</v>
      </c>
      <c r="V19" s="365">
        <f>'Bilan 2010'!$G$22+'Bilan 2010'!$G$21+'Bilan 2010'!$G$26+'Bilan 2010'!$G$36</f>
        <v>0.2</v>
      </c>
      <c r="W19" s="365">
        <f>'Bilan 2015'!$G$22+'Bilan 2015'!$G$21+'Bilan 2015'!$G$26+'Bilan 2015'!$G$36</f>
        <v>6.3456577815993124E-3</v>
      </c>
      <c r="X19" s="365">
        <f>'Bilan 2020'!$G$23*(1-SUM('Bilan 2020'!$K$21:$O$24)/SUM('Bilan 2020'!$G$21:$G$24))+'Bilan 2020'!$G$21*(1-SUM('Bilan 2020'!$K$21:$O$24)/SUM('Bilan 2020'!$G$21:$G$24))+'Bilan 2020'!$G$22++'Bilan 2020'!$G$26+'Bilan 2020'!$G$36</f>
        <v>0.61570511071299594</v>
      </c>
      <c r="Y19" s="365">
        <f>'Bilan 2025'!$G$23*(1-SUM('Bilan 2025'!$K$21:$O$24)/SUM('Bilan 2025'!$G$21:$G$24))+'Bilan 2025'!$G$21*(1-SUM('Bilan 2025'!$K$21:$O$24)/SUM('Bilan 2025'!$G$21:$G$24))+'Bilan 2025'!$G$22++'Bilan 2025'!$G$26+'Bilan 2025'!$G$36</f>
        <v>1.3920433077261551</v>
      </c>
      <c r="Z19" s="365">
        <f>'Bilan 2030'!$G$23*(1-SUM('Bilan 2030'!$K$21:$O$24)/SUM('Bilan 2030'!$G$21:$G$24))+'Bilan 2030'!$G$21*(1-SUM('Bilan 2030'!$K$21:$O$24)/SUM('Bilan 2030'!$G$21:$G$24))+'Bilan 2030'!$G$22++'Bilan 2030'!$G$26+'Bilan 2030'!$G$36</f>
        <v>2.4291140704276488</v>
      </c>
      <c r="AA19" s="365">
        <f>'Bilan 2050'!$G$23*(1-SUM('Bilan 2050'!$K$21:$O$24)/SUM('Bilan 2050'!$G$21:$G$24))+'Bilan 2050'!$G$21*(1-SUM('Bilan 2050'!$K$21:$O$24)/SUM('Bilan 2050'!$G$21:$G$24))+'Bilan 2050'!$G$22++'Bilan 2050'!$G$26+'Bilan 2050'!$G$36</f>
        <v>10.214529062691906</v>
      </c>
      <c r="AB19" s="366"/>
      <c r="AC19" s="365" t="s">
        <v>341</v>
      </c>
      <c r="AD19" s="365">
        <f>'Bilan 2006'!$G$22+'Bilan 2006'!$G$21+'Bilan 2006'!$G$26+'Bilan 2006'!$G$36</f>
        <v>0.2</v>
      </c>
      <c r="AE19" s="365">
        <f>'Bilan 2010'!$G$22+'Bilan 2010'!$G$21+'Bilan 2010'!$G$26+'Bilan 2010'!$G$36</f>
        <v>0.2</v>
      </c>
      <c r="AF19" s="365">
        <f>'Bilan 2015'!$G$22+'Bilan 2015'!$G$21+'Bilan 2015'!$G$26*(1-SUM('Bilan 2015'!$K$26:$K$32)/SUM('Bilan 2015'!$J$26:$J$32))+'Bilan 2015'!$G$36</f>
        <v>6.3456577815993124E-3</v>
      </c>
      <c r="AG19" s="365">
        <f>'Bilan 2020'!$G$22+'Bilan 2020'!$G$21+'Bilan 2020'!$G$26*(1-SUM('Bilan 2020'!$K$26:$K$32)/SUM('Bilan 2020'!$J$26:$J$32))+'Bilan 2020'!$G$36</f>
        <v>0.74956562451533659</v>
      </c>
      <c r="AH19" s="365">
        <f>'Bilan 2025'!$G$22+'Bilan 2025'!$G$21+'Bilan 2025'!$G$26*(1-SUM('Bilan 2025'!$K$26:$K$32)/SUM('Bilan 2025'!$J$26:$J$32))+'Bilan 2025'!$G$36</f>
        <v>1.7065743144940571</v>
      </c>
      <c r="AI19" s="365">
        <f>'Bilan 2030'!$G$22+'Bilan 2030'!$G$21+'Bilan 2030'!$G$26*(1-SUM('Bilan 2030'!$K$26:$K$32)/SUM('Bilan 2030'!$J$26:$J$32))+'Bilan 2030'!$G$36</f>
        <v>3.0305707441718415</v>
      </c>
      <c r="AJ19" s="365">
        <f>('Bilan 2050'!$G$22+'Bilan 2050'!$G$21+'Bilan 2050'!$G$23)*(1-SUM('Bilan 2050'!$K$21:$O$24)/SUM('Bilan 2050'!$J$21:$J$24))+'Bilan 2050'!$G$26*(1-SUM('Bilan 2050'!$K$26:$K$32)/SUM('Bilan 2050'!$J$26:$J$32))+'Bilan 2050'!$G$36+'Bilan 2050'!$G$32*(1-SUM('Bilan 2050'!$K$26:$K$32)/SUM('Bilan 2050'!$H$26:$H$32))</f>
        <v>10.884749497298186</v>
      </c>
      <c r="AM19" s="367" t="s">
        <v>342</v>
      </c>
      <c r="AN19" s="361">
        <f t="shared" si="51"/>
        <v>0</v>
      </c>
      <c r="AO19" s="361">
        <f t="shared" si="44"/>
        <v>0.37505487427446932</v>
      </c>
      <c r="AP19" s="361">
        <f t="shared" si="44"/>
        <v>8.6272729294999181E-3</v>
      </c>
      <c r="AQ19" s="361">
        <f t="shared" si="44"/>
        <v>6.6590784589442616E-3</v>
      </c>
      <c r="AR19" s="361">
        <f t="shared" si="45"/>
        <v>1.5507067732564359E-2</v>
      </c>
      <c r="AS19" s="361">
        <f t="shared" si="45"/>
        <v>1.9552574563027479E-3</v>
      </c>
      <c r="AU19" s="368" t="s">
        <v>343</v>
      </c>
      <c r="AV19" s="369">
        <f>'Bilan 2006'!$E$28</f>
        <v>0</v>
      </c>
      <c r="AW19" s="369">
        <f>'Bilan 2010'!$E$28</f>
        <v>0.64</v>
      </c>
      <c r="AX19" s="369">
        <f>'Bilan 2015'!$E$28</f>
        <v>9.6818572656921752E-3</v>
      </c>
      <c r="AY19" s="369">
        <f>'Bilan 2020'!$E$28</f>
        <v>1.1891689409405895E-2</v>
      </c>
      <c r="AZ19" s="369">
        <f>'Bilan 2030'!$E$28</f>
        <v>5.9246400753183201E-2</v>
      </c>
      <c r="BA19" s="369">
        <f>'Bilan 2050'!$E$28</f>
        <v>9.7944518123549013E-3</v>
      </c>
      <c r="BB19" s="370"/>
      <c r="BD19" s="368" t="s">
        <v>344</v>
      </c>
      <c r="BE19" s="361">
        <f>BO19/U22</f>
        <v>0</v>
      </c>
      <c r="BF19" s="361">
        <f>BP19/V22</f>
        <v>0</v>
      </c>
      <c r="BG19" s="361">
        <f t="shared" si="58"/>
        <v>0</v>
      </c>
      <c r="BH19" s="361">
        <f t="shared" si="59"/>
        <v>0</v>
      </c>
      <c r="BI19" s="361">
        <f t="shared" si="41"/>
        <v>0</v>
      </c>
      <c r="BJ19" s="361">
        <f t="shared" si="42"/>
        <v>0</v>
      </c>
      <c r="BK19" s="366"/>
      <c r="BL19" s="366"/>
      <c r="BM19" s="366"/>
      <c r="BN19" s="368" t="s">
        <v>345</v>
      </c>
      <c r="BO19" s="361">
        <f>BQ19</f>
        <v>0</v>
      </c>
      <c r="BP19" s="361">
        <f>$BQ$19</f>
        <v>0</v>
      </c>
      <c r="BQ19" s="361">
        <f t="shared" si="19"/>
        <v>0</v>
      </c>
      <c r="BR19" s="361">
        <f t="shared" si="19"/>
        <v>0</v>
      </c>
      <c r="BS19" s="361">
        <f t="shared" ref="BS19:BS20" si="62">BT19</f>
        <v>0</v>
      </c>
      <c r="BT19" s="361">
        <f t="shared" ref="BT19:BT20" si="63">BU19</f>
        <v>0</v>
      </c>
    </row>
    <row r="20" spans="1:72" ht="12.75">
      <c r="A20" s="373" t="s">
        <v>21</v>
      </c>
      <c r="B20" s="374"/>
      <c r="C20" s="374"/>
      <c r="D20" s="374"/>
      <c r="E20" s="374"/>
      <c r="F20" s="374"/>
      <c r="G20" s="379"/>
      <c r="H20" s="374"/>
      <c r="I20" s="355"/>
      <c r="K20" s="365" t="s">
        <v>346</v>
      </c>
      <c r="L20" s="365">
        <f t="shared" si="60"/>
        <v>0.74</v>
      </c>
      <c r="M20" s="365">
        <f t="shared" si="60"/>
        <v>0.57287946428571412</v>
      </c>
      <c r="N20" s="365">
        <f t="shared" si="60"/>
        <v>0.6</v>
      </c>
      <c r="O20" s="365">
        <f t="shared" si="60"/>
        <v>0.6</v>
      </c>
      <c r="P20" s="365">
        <f t="shared" si="60"/>
        <v>0.6</v>
      </c>
      <c r="Q20" s="365">
        <f t="shared" si="60"/>
        <v>0.6</v>
      </c>
      <c r="R20" s="365">
        <f t="shared" si="60"/>
        <v>0.6</v>
      </c>
      <c r="S20" s="352">
        <f t="shared" si="61"/>
        <v>2404</v>
      </c>
      <c r="T20" s="365" t="s">
        <v>346</v>
      </c>
      <c r="U20" s="365">
        <f>'Bilan 2006'!$G$27+'Bilan 2006'!$G$44</f>
        <v>0.59199999999999997</v>
      </c>
      <c r="V20" s="365">
        <f>'Bilan 2010'!$G$27+'Bilan 2010'!$G$44</f>
        <v>0.45830357142857131</v>
      </c>
      <c r="W20" s="365">
        <f>'Bilan 2015'!$G$27+'Bilan 2015'!$G$44</f>
        <v>0.48</v>
      </c>
      <c r="X20" s="365">
        <f>'Bilan 2020'!$G$27*(1-SUM('Bilan 2020'!K26:K32)/SUM('Bilan 2020'!$G$26:$G$34))+'Bilan 2020'!$G$44</f>
        <v>0.42289182928844943</v>
      </c>
      <c r="Y20" s="365">
        <f>'Bilan 2025'!$G$27*(1-SUM('Bilan 2025'!$K$26:$O$32)/SUM('Bilan 2025'!$G$26:$G$34))+'Bilan 2025'!$G$44</f>
        <v>0.43239585457862251</v>
      </c>
      <c r="Z20" s="365">
        <f>'Bilan 2030'!$G$27*(1-SUM('Bilan 2030'!$K$26:$O$32)/SUM('Bilan 2030'!$G$26:$G$34))+'Bilan 2030'!$G$44</f>
        <v>0.44149636934630082</v>
      </c>
      <c r="AA20" s="365">
        <f>'Bilan 2050'!$G$27*(1-SUM('Bilan 2050'!$K$26:$O$32)/SUM('Bilan 2050'!$G$26:$G$34))+'Bilan 2050'!$G$44</f>
        <v>0.47060986489403045</v>
      </c>
      <c r="AB20" s="366"/>
      <c r="AC20" s="365" t="s">
        <v>346</v>
      </c>
      <c r="AD20" s="365">
        <f>'Bilan 2006'!$G$27+'Bilan 2006'!$G$44</f>
        <v>0.59199999999999997</v>
      </c>
      <c r="AE20" s="365">
        <f>'Bilan 2010'!$G$27+'Bilan 2010'!$G$44</f>
        <v>0.45830357142857131</v>
      </c>
      <c r="AF20" s="365">
        <f>'Bilan 2015'!$G$27*(1-SUM('Bilan 2015'!$K$26:$K$32)/SUM('Bilan 2015'!$J$26:$J$32))+'Bilan 2015'!$G$44</f>
        <v>0.37852029916826502</v>
      </c>
      <c r="AG20" s="365">
        <f>'Bilan 2020'!$G$27*(1-SUM('Bilan 2020'!$K$26:$K$32)/SUM('Bilan 2020'!$J$26:$J$32))+'Bilan 2020'!$G$44</f>
        <v>0.42289182928844943</v>
      </c>
      <c r="AH20" s="365">
        <f>'Bilan 2025'!$G$27*(1-SUM('Bilan 2025'!$K$26:$K$32)/SUM('Bilan 2025'!$J$26:$J$32))+'Bilan 2025'!$G$44</f>
        <v>0.43239585457862251</v>
      </c>
      <c r="AI20" s="365">
        <f>'Bilan 2030'!$G$27*(1-SUM('Bilan 2030'!$K$26:$K$32)/SUM('Bilan 2030'!$J$26:$J$32))+'Bilan 2030'!$G$44</f>
        <v>0.44149636934630082</v>
      </c>
      <c r="AJ20" s="365">
        <f>'Bilan 2050'!$G$27*(1-SUM('Bilan 2050'!$K$26:$K$32)/SUM('Bilan 2050'!$J$26:$J$32))+'Bilan 2050'!$G$44</f>
        <v>0.47060986489403045</v>
      </c>
      <c r="AM20" s="381" t="s">
        <v>347</v>
      </c>
      <c r="AN20" s="361">
        <f t="shared" si="51"/>
        <v>0</v>
      </c>
      <c r="AO20" s="361">
        <f t="shared" si="44"/>
        <v>0</v>
      </c>
      <c r="AP20" s="361">
        <f t="shared" si="44"/>
        <v>0</v>
      </c>
      <c r="AQ20" s="361">
        <f t="shared" si="44"/>
        <v>0</v>
      </c>
      <c r="AR20" s="361">
        <f t="shared" si="45"/>
        <v>0</v>
      </c>
      <c r="AS20" s="361">
        <f t="shared" si="45"/>
        <v>0</v>
      </c>
      <c r="AU20" s="371" t="s">
        <v>348</v>
      </c>
      <c r="AV20" s="361">
        <f>+'Bilan 2006'!$E46</f>
        <v>0</v>
      </c>
      <c r="AW20" s="361">
        <f>+'Bilan 2010'!$E46</f>
        <v>0</v>
      </c>
      <c r="AX20" s="369">
        <f>+'Bilan 2015'!$E46</f>
        <v>0</v>
      </c>
      <c r="AY20" s="361">
        <f>+'Bilan 2020'!$E46</f>
        <v>0</v>
      </c>
      <c r="AZ20" s="361">
        <f>+'Bilan 2030'!$E46</f>
        <v>0</v>
      </c>
      <c r="BA20" s="361">
        <f>+'Bilan 2050'!$E46</f>
        <v>0</v>
      </c>
      <c r="BB20" s="370"/>
      <c r="BD20" s="371" t="s">
        <v>349</v>
      </c>
      <c r="BE20" s="361">
        <f>BO20/U23</f>
        <v>0</v>
      </c>
      <c r="BF20" s="361">
        <f>BP20/V23</f>
        <v>0</v>
      </c>
      <c r="BG20" s="361">
        <f t="shared" si="58"/>
        <v>0</v>
      </c>
      <c r="BH20" s="361">
        <f t="shared" si="59"/>
        <v>0</v>
      </c>
      <c r="BI20" s="361">
        <f t="shared" si="41"/>
        <v>0</v>
      </c>
      <c r="BJ20" s="361">
        <f t="shared" si="42"/>
        <v>0</v>
      </c>
      <c r="BM20" s="366"/>
      <c r="BN20" s="371" t="s">
        <v>350</v>
      </c>
      <c r="BO20" s="361">
        <f>BQ20</f>
        <v>0</v>
      </c>
      <c r="BP20" s="361">
        <f>$BQ$20</f>
        <v>0</v>
      </c>
      <c r="BQ20" s="361">
        <f t="shared" ref="BQ20:BR20" si="64">BR20</f>
        <v>0</v>
      </c>
      <c r="BR20" s="361">
        <f t="shared" si="64"/>
        <v>0</v>
      </c>
      <c r="BS20" s="361">
        <f t="shared" si="62"/>
        <v>0</v>
      </c>
      <c r="BT20" s="361">
        <f t="shared" si="63"/>
        <v>0</v>
      </c>
    </row>
    <row r="21" spans="1:72" ht="12.75">
      <c r="A21" s="375" t="s">
        <v>22</v>
      </c>
      <c r="B21" s="376"/>
      <c r="C21" s="376"/>
      <c r="D21" s="376"/>
      <c r="E21" s="376"/>
      <c r="F21" s="376"/>
      <c r="G21" s="380"/>
      <c r="H21" s="376"/>
      <c r="I21" s="355"/>
      <c r="K21" s="365" t="s">
        <v>351</v>
      </c>
      <c r="L21" s="365">
        <f t="shared" si="60"/>
        <v>0</v>
      </c>
      <c r="M21" s="365">
        <f t="shared" si="60"/>
        <v>0</v>
      </c>
      <c r="N21" s="365">
        <f t="shared" si="60"/>
        <v>0.24204643164230435</v>
      </c>
      <c r="O21" s="365">
        <f t="shared" si="60"/>
        <v>0.21621253471647081</v>
      </c>
      <c r="P21" s="365">
        <f t="shared" si="60"/>
        <v>0.31342550780940392</v>
      </c>
      <c r="Q21" s="365">
        <f t="shared" si="60"/>
        <v>0.4231885768084514</v>
      </c>
      <c r="R21" s="365">
        <f t="shared" si="60"/>
        <v>0.97944518123549007</v>
      </c>
      <c r="S21" s="352">
        <f t="shared" si="61"/>
        <v>2405</v>
      </c>
      <c r="T21" s="365" t="s">
        <v>352</v>
      </c>
      <c r="U21" s="365">
        <f>'Bilan 2006'!$G$39+'Bilan 2006'!$G$30</f>
        <v>0.2</v>
      </c>
      <c r="V21" s="365">
        <f>'Bilan 2010'!$G$39+'Bilan 2010'!$G$30</f>
        <v>0.1</v>
      </c>
      <c r="W21" s="365">
        <f>'Bilan 2015'!$G$39+'Bilan 2015'!$G$30</f>
        <v>0.26724398732615506</v>
      </c>
      <c r="X21" s="365">
        <f>'Bilan 2020'!$G$39+'Bilan 2020'!$G$30*(1-SUM('Bilan 2020'!$K$21:$O$24)/SUM('Bilan 2020'!$G$21:$G$24))</f>
        <v>0.34270143802911768</v>
      </c>
      <c r="Y21" s="365">
        <f>'Bilan 2025'!$G$39+'Bilan 2025'!$G$30*(1-SUM('Bilan 2025'!$K$21:$O$24)/SUM('Bilan 2025'!$G$21:$G$24))</f>
        <v>0.61219401939992557</v>
      </c>
      <c r="Z21" s="365">
        <f>'Bilan 2030'!$G$39+'Bilan 2030'!$G$30*(1-SUM('Bilan 2030'!$K$21:$O$24)/SUM('Bilan 2030'!$G$21:$G$24))</f>
        <v>1.2053190934513902</v>
      </c>
      <c r="AA21" s="365">
        <f>'Bilan 2050'!$G$39+'Bilan 2050'!$G$30*(1-SUM('Bilan 2050'!$K$21:$O$24)/SUM('Bilan 2050'!$G$21:$G$24))</f>
        <v>3.3073710197491195</v>
      </c>
      <c r="AB21" s="366"/>
      <c r="AC21" s="365" t="s">
        <v>352</v>
      </c>
      <c r="AD21" s="365">
        <f>'Bilan 2006'!$G$39+'Bilan 2006'!$G$30</f>
        <v>0.2</v>
      </c>
      <c r="AE21" s="365">
        <f>'Bilan 2010'!$G$39+'Bilan 2010'!$G$30</f>
        <v>0.1</v>
      </c>
      <c r="AF21" s="365">
        <f>'Bilan 2015'!$G$39+'Bilan 2015'!$G$30*(1-SUM('Bilan 2015'!$K$26:$K$32)/SUM('Bilan 2015'!$J$26:$J$32))</f>
        <v>0.22630598820873837</v>
      </c>
      <c r="AG21" s="365">
        <f>'Bilan 2020'!$G$39+'Bilan 2020'!$G$30*(1-SUM('Bilan 2020'!$K$26:$K$32)/SUM('Bilan 2020'!$J$26:$J$32))</f>
        <v>0.33702792986910057</v>
      </c>
      <c r="AH21" s="365">
        <f>'Bilan 2025'!$G$39+'Bilan 2025'!$G$30*(1-SUM('Bilan 2025'!$K$26:$K$32)/SUM('Bilan 2025'!$J$26:$J$32))</f>
        <v>0.6054170544021017</v>
      </c>
      <c r="AI21" s="365">
        <f>'Bilan 2030'!$G$39+'Bilan 2030'!$G$30*(1-SUM('Bilan 2030'!$K$26:$K$32)/SUM('Bilan 2030'!$J$26:$J$32))</f>
        <v>1.2012556491815083</v>
      </c>
      <c r="AJ21" s="365">
        <f>'Bilan 2050'!$G$39+'Bilan 2050'!$G$30*(1-SUM('Bilan 2050'!$K$26:$K$32)/SUM('Bilan 2050'!$J$26:$J$32))</f>
        <v>3.3352157777544704</v>
      </c>
      <c r="AV21" s="382">
        <f>SUM(AV4:AV20)-SUM('Bilan 2006'!$E$7:$E$46)</f>
        <v>-7.5336018312555098E-8</v>
      </c>
      <c r="AW21" s="382">
        <f>SUM(AW4:AW20)-SUM('Bilan 2010'!$E$7:$E$46)</f>
        <v>0</v>
      </c>
      <c r="AX21" s="382">
        <f>SUM(AX4:AX20)-SUM('Bilan 2015'!$E$7:$E$46)</f>
        <v>-0.10373581861392722</v>
      </c>
      <c r="AY21" s="382">
        <f>SUM(AY4:AY20)-SUM('Bilan 2020'!$E$7:$E$46)</f>
        <v>-3.0915299183519096E-2</v>
      </c>
      <c r="AZ21" s="382">
        <f>SUM(AZ4:AZ20)-SUM('Bilan 2030'!$E$7:$E$46)</f>
        <v>-0.85984522785899742</v>
      </c>
      <c r="BA21" s="382">
        <f>SUM(BA4:BA20)-SUM('Bilan 2050'!$E$7:$E$46)</f>
        <v>-2.493551160791057</v>
      </c>
      <c r="BO21" s="383">
        <f>SUM(BO4:BO20)-SUM('Bilan 2006'!K12,'Bilan 2006'!I13)</f>
        <v>0</v>
      </c>
      <c r="BP21" s="383">
        <f>SUM(BP4:BP20)-SUM('Bilan 2010'!$K$12,'Bilan 2010'!$I$13)</f>
        <v>0</v>
      </c>
      <c r="BQ21" s="383">
        <f>SUM(BQ4:BQ20)-SUM('Bilan 2015'!$K$12,'Bilan 2015'!$I$13)</f>
        <v>0</v>
      </c>
      <c r="BR21" s="383">
        <f>SUM(BR4:BR20)-SUM('Bilan 2020'!$K$12,'Bilan 2020'!$I$13)</f>
        <v>0</v>
      </c>
      <c r="BS21" s="383">
        <f>SUM(BS4:BS20)-SUM('Bilan 2030'!$K$12,'Bilan 2030'!$I$13)</f>
        <v>0</v>
      </c>
      <c r="BT21" s="383">
        <f>SUM(BT4:BT20)-SUM('Bilan 2050'!$K$12,'Bilan 2050'!$I$13,'Bilan 2050'!$M$12)</f>
        <v>0</v>
      </c>
    </row>
    <row r="22" spans="1:72" ht="12.75">
      <c r="A22" s="373" t="s">
        <v>353</v>
      </c>
      <c r="B22" s="374"/>
      <c r="C22" s="374"/>
      <c r="D22" s="374"/>
      <c r="E22" s="374"/>
      <c r="F22" s="374"/>
      <c r="G22" s="379"/>
      <c r="H22" s="374"/>
      <c r="I22" s="355"/>
      <c r="K22" s="365" t="s">
        <v>354</v>
      </c>
      <c r="L22" s="365">
        <f t="shared" si="60"/>
        <v>0.60000000000000009</v>
      </c>
      <c r="M22" s="365">
        <f t="shared" si="60"/>
        <v>1.7222036830357141</v>
      </c>
      <c r="N22" s="365">
        <f t="shared" si="60"/>
        <v>0.97360684201231162</v>
      </c>
      <c r="O22" s="365">
        <f t="shared" si="60"/>
        <v>1.8913909387194594</v>
      </c>
      <c r="P22" s="365">
        <f t="shared" si="60"/>
        <v>2.9657739325964223</v>
      </c>
      <c r="Q22" s="365">
        <f t="shared" si="60"/>
        <v>4.0795539647274506</v>
      </c>
      <c r="R22" s="365">
        <f t="shared" si="60"/>
        <v>6.8358954177513525</v>
      </c>
      <c r="S22" s="352">
        <f t="shared" si="61"/>
        <v>2406</v>
      </c>
      <c r="T22" s="365" t="s">
        <v>355</v>
      </c>
      <c r="U22" s="365">
        <f>'Bilan 2006'!$G$40+'Bilan 2006'!$G$38+'Bilan 2006'!$G$31+'Bilan 2006'!$G$28</f>
        <v>0.4</v>
      </c>
      <c r="V22" s="365">
        <f>'Bilan 2010'!$G$40+'Bilan 2010'!$G$38+'Bilan 2010'!$G$31+'Bilan 2010'!$G$28</f>
        <v>1.7064169642857139</v>
      </c>
      <c r="W22" s="365">
        <f>'Bilan 2015'!$G$40+'Bilan 2015'!$G$38+'Bilan 2015'!$G$31+'Bilan 2015'!$G$28</f>
        <v>1.1222384344172343</v>
      </c>
      <c r="X22" s="365">
        <f>'Bilan 2020'!$G$40+'Bilan 2020'!$G$38+'Bilan 2020'!$G$31*(1-SUM('Bilan 2020'!$K$21:$O$24)/SUM('Bilan 2020'!$G$21:$G$24))+'Bilan 2020'!$G$28*(1-SUM('Bilan 2020'!$K$21:$O$24)/SUM('Bilan 2020'!$G$21:$G$24))</f>
        <v>1.7857860487337189</v>
      </c>
      <c r="Y22" s="365">
        <f>'Bilan 2025'!$G$40+'Bilan 2025'!$G$38+'Bilan 2025'!$G$31*(1-SUM('Bilan 2025'!$K$21:$O$24)/SUM('Bilan 2025'!$G$21:$G$24))+'Bilan 2025'!$G$28*(1-SUM('Bilan 2025'!$K$21:$O$24)/SUM('Bilan 2025'!$G$21:$G$24))</f>
        <v>2.9352052019243313</v>
      </c>
      <c r="Z22" s="365">
        <f>'Bilan 2030'!$G$40+'Bilan 2030'!$G$38+'Bilan 2030'!$G$31*(1-SUM('Bilan 2030'!$K$21:$O$24)/SUM('Bilan 2030'!$G$21:$G$24))+'Bilan 2030'!$G$28*(1-SUM('Bilan 2030'!$K$21:$O$24)/SUM('Bilan 2030'!$G$21:$G$24))</f>
        <v>3.8206063051345036</v>
      </c>
      <c r="AA22" s="365">
        <f>'Bilan 2050'!$G$40+'Bilan 2050'!$G$38+'Bilan 2050'!$G$31*(1-SUM('Bilan 2050'!$K$21:$O$24)/SUM('Bilan 2050'!$G$21:$G$24))+'Bilan 2050'!$G$28*(1-SUM('Bilan 2050'!$K$21:$O$24)/SUM('Bilan 2050'!$G$21:$G$24))</f>
        <v>5.0092900966993419</v>
      </c>
      <c r="AB22" s="366"/>
      <c r="AC22" s="365" t="s">
        <v>355</v>
      </c>
      <c r="AD22" s="365">
        <f>'Bilan 2006'!$G$40+'Bilan 2006'!$G$38+'Bilan 2006'!$G$31+'Bilan 2006'!$G$28</f>
        <v>0.4</v>
      </c>
      <c r="AE22" s="365">
        <f>'Bilan 2010'!$G$40+'Bilan 2010'!$G$38+'Bilan 2010'!$G$31+'Bilan 2010'!$G$28</f>
        <v>1.7064169642857139</v>
      </c>
      <c r="AF22" s="365">
        <f>'Bilan 2015'!$G$40+'Bilan 2015'!$G$38+('Bilan 2015'!$G$31+'Bilan 2015'!$G$28)*(1-SUM('Bilan 2015'!$K$26:$K$32)/SUM('Bilan 2015'!$J$26:$J$32))</f>
        <v>1.114050834593751</v>
      </c>
      <c r="AG22" s="365">
        <f>'Bilan 2020'!$G$40+'Bilan 2020'!$G$38+('Bilan 2020'!$G$31+'Bilan 2020'!$G$28)*(1-SUM('Bilan 2020'!$K$26:$K$32)/SUM('Bilan 2020'!$J$26:$J$32))</f>
        <v>1.7829492946537104</v>
      </c>
      <c r="AH22" s="365">
        <f>'Bilan 2025'!$G$40+'Bilan 2025'!$G$38+('Bilan 2025'!$G$31+'Bilan 2025'!$G$28)*(1-SUM('Bilan 2025'!$K$26:$K$32)/SUM('Bilan 2025'!$J$26:$J$32))</f>
        <v>2.9250397544275955</v>
      </c>
      <c r="AI22" s="365">
        <f>'Bilan 2030'!$G$40+'Bilan 2030'!$G$38+('Bilan 2030'!$G$31+'Bilan 2030'!$G$28)*(1-SUM('Bilan 2030'!$K$26:$K$32)/SUM('Bilan 2030'!$J$26:$J$32))</f>
        <v>3.8124794165947398</v>
      </c>
      <c r="AJ22" s="365">
        <f>'Bilan 2050'!$G$40+'Bilan 2050'!$G$38+('Bilan 2050'!$G$31+'Bilan 2050'!$G$28)*(1-SUM('Bilan 2050'!$K$26:$K$32)/SUM('Bilan 2050'!$J$26:$J$32))</f>
        <v>5.0371348547046928</v>
      </c>
      <c r="AK22" s="366"/>
      <c r="AL22" s="366"/>
      <c r="BT22" s="384"/>
    </row>
    <row r="23" spans="1:72" ht="12.75">
      <c r="A23" s="375" t="s">
        <v>356</v>
      </c>
      <c r="B23" s="376"/>
      <c r="C23" s="376"/>
      <c r="D23" s="376"/>
      <c r="E23" s="376"/>
      <c r="F23" s="376"/>
      <c r="G23" s="380"/>
      <c r="H23" s="376"/>
      <c r="I23" s="355"/>
      <c r="K23" s="360" t="s">
        <v>42</v>
      </c>
      <c r="L23" s="360">
        <f>B37</f>
        <v>7.2</v>
      </c>
      <c r="M23" s="360">
        <f t="shared" ref="M23" si="65">C37</f>
        <v>6.7799999999999994</v>
      </c>
      <c r="N23" s="360">
        <f>D37</f>
        <v>5.6188711803771971</v>
      </c>
      <c r="O23" s="360">
        <f>E37</f>
        <v>3.2863683234402234</v>
      </c>
      <c r="P23" s="360">
        <f>F37</f>
        <v>2.5954014747714647</v>
      </c>
      <c r="Q23" s="360">
        <f>G37</f>
        <v>2.1426447253399448</v>
      </c>
      <c r="R23" s="360">
        <f>H37</f>
        <v>0.74697394369004599</v>
      </c>
      <c r="S23" s="352"/>
      <c r="T23" s="360" t="s">
        <v>42</v>
      </c>
      <c r="U23" s="360">
        <f>SUM('Bilan 2006'!$S$46:$W$46)</f>
        <v>5.7508898214426036</v>
      </c>
      <c r="V23" s="360">
        <f>SUM('Bilan 2010'!$S$46:$W$46)</f>
        <v>5.58</v>
      </c>
      <c r="W23" s="360">
        <f>SUM('Bilan 2015'!$S$46:$W$46)</f>
        <v>1.1313605731176026</v>
      </c>
      <c r="X23" s="360">
        <f>SUM('Bilan 2020'!$S$46:$W$46)</f>
        <v>0.32432046758625277</v>
      </c>
      <c r="Y23" s="360">
        <f>SUM('Bilan 2025'!$S$46:$W$46)+0.1</f>
        <v>0.10221371927049744</v>
      </c>
      <c r="Z23" s="360">
        <f>SUM('Bilan 2030'!$S$46:$W$46)+0.1</f>
        <v>0.10221371927049744</v>
      </c>
      <c r="AA23" s="467">
        <f>SUM('Bilan 2050'!$S$46:$W$46)+0.1</f>
        <v>0.10221371927049744</v>
      </c>
      <c r="AB23" s="366"/>
      <c r="AC23" s="360" t="s">
        <v>42</v>
      </c>
      <c r="AD23" s="360">
        <f>SUM('Bilan 2006'!S46:W46)+'Bilan 2006'!$E$51</f>
        <v>6.9799999999999986</v>
      </c>
      <c r="AE23" s="360">
        <f>SUM('Bilan 2010'!S46:W46)+'Bilan 2010'!$E$51</f>
        <v>6.9038752271736241</v>
      </c>
      <c r="AF23" s="360">
        <f>SUM('Bilan 2015'!S46:W46)+'Bilan 2015'!$E$51</f>
        <v>5.3831781844824551</v>
      </c>
      <c r="AG23" s="360">
        <f>SUM('Bilan 2020'!S46:W46)+'Bilan 2020'!$E$51</f>
        <v>3.2863683234402234</v>
      </c>
      <c r="AH23" s="360">
        <f>SUM('Bilan 2025'!S46:W46)+'Bilan 2025'!$E$51</f>
        <v>2.5954014747714651</v>
      </c>
      <c r="AI23" s="360">
        <f>SUM('Bilan 2030'!S46:W46)+'Bilan 2030'!$E$51</f>
        <v>2.1426447253399448</v>
      </c>
      <c r="AJ23" s="360">
        <f>SUM('Bilan 2050'!S46:W46)+'Bilan 2050'!$E$51</f>
        <v>0.74697394369004599</v>
      </c>
      <c r="AK23" s="366"/>
      <c r="AL23" s="366"/>
      <c r="AU23" s="385"/>
      <c r="AV23" s="385"/>
      <c r="AW23" s="385"/>
      <c r="AX23" s="385"/>
      <c r="AY23" s="385"/>
    </row>
    <row r="24" spans="1:72" ht="12.75">
      <c r="A24" s="373" t="s">
        <v>357</v>
      </c>
      <c r="B24" s="374"/>
      <c r="C24" s="374"/>
      <c r="D24" s="374"/>
      <c r="E24" s="374"/>
      <c r="F24" s="374"/>
      <c r="G24" s="379"/>
      <c r="H24" s="374"/>
      <c r="I24" s="355"/>
      <c r="L24" s="386">
        <f>L2-'Bilan 2006'!C5</f>
        <v>-0.19999999999993179</v>
      </c>
      <c r="M24" s="386">
        <f>M2-'Bilan 2010'!$C$5</f>
        <v>-9.5479910714232119E-2</v>
      </c>
      <c r="N24" s="386">
        <f>N2-'Bilan 2015'!$C$5</f>
        <v>-0.24288932456340717</v>
      </c>
      <c r="O24" s="386">
        <f>O2-'Bilan 2020'!$C$5</f>
        <v>-4.4096008491749217E-2</v>
      </c>
      <c r="P24" s="386">
        <f>P2-'Bilan 2025'!$C$5</f>
        <v>0.14151200782535511</v>
      </c>
      <c r="Q24" s="386">
        <f>Q2-'Bilan 2030'!$C$5</f>
        <v>-0.22299031011530701</v>
      </c>
      <c r="R24" s="386">
        <f>R2-'Bilan 2050'!$C$5</f>
        <v>-0.13490535711055429</v>
      </c>
      <c r="U24" s="366">
        <f>U2-'Bilan 2006'!R5</f>
        <v>4.2000000000030013E-2</v>
      </c>
      <c r="V24" s="366">
        <f>V2-'Bilan 2010'!R5</f>
        <v>3.2622321428618761E-2</v>
      </c>
      <c r="W24" s="366">
        <f>W2-'Bilan 2015'!R5</f>
        <v>0.24149660430140329</v>
      </c>
      <c r="X24" s="387">
        <f>X2-'Bilan 2020'!$R$5</f>
        <v>0.20260238696724286</v>
      </c>
      <c r="Y24" s="387">
        <f>Y2-'Bilan 2025'!$R$5</f>
        <v>0.46682059842747492</v>
      </c>
      <c r="Z24" s="387">
        <f>Z2-'Bilan 2030'!$R$5</f>
        <v>0.31355738462518445</v>
      </c>
      <c r="AA24" s="387">
        <f>AA2-'Bilan 2050'!$R$5</f>
        <v>0.4740289376604494</v>
      </c>
      <c r="AD24" s="366"/>
      <c r="AE24" s="366"/>
      <c r="AF24" s="387">
        <f>AF2-'Bilan 2015'!$P$5-SUM('Bilan 2015'!$E$51:$E$53)</f>
        <v>4.4061377739609497E-2</v>
      </c>
      <c r="AG24" s="387">
        <f>AG2-'Bilan 2020'!$P$5-SUM('Bilan 2020'!$E$51:$E$53)</f>
        <v>0.30094730981945972</v>
      </c>
      <c r="AH24" s="387">
        <f>AH2-'Bilan 2025'!$P$5-SUM('Bilan 2025'!$E$51:$E$53)</f>
        <v>0.54152519165905844</v>
      </c>
      <c r="AI24" s="387">
        <f>AI2-'Bilan 2030'!$P$5-SUM('Bilan 2030'!$E$51:$E$53)</f>
        <v>0.69783944936451903</v>
      </c>
      <c r="AJ24" s="387">
        <f>AJ2-'Bilan 2050'!$P$5-SUM('Bilan 2050'!$E$51:$E$53)</f>
        <v>0.52726475711443399</v>
      </c>
    </row>
    <row r="25" spans="1:72">
      <c r="A25" s="375" t="s">
        <v>358</v>
      </c>
      <c r="B25" s="376"/>
      <c r="C25" s="376"/>
      <c r="D25" s="376"/>
      <c r="E25" s="376"/>
      <c r="F25" s="376"/>
      <c r="G25" s="380"/>
      <c r="H25" s="376"/>
      <c r="I25" s="355"/>
      <c r="Z25" s="388"/>
      <c r="AA25" s="366"/>
      <c r="AI25" s="388"/>
      <c r="AJ25" s="366"/>
    </row>
    <row r="26" spans="1:72" ht="12.75">
      <c r="A26" s="373" t="s">
        <v>30</v>
      </c>
      <c r="B26" s="374"/>
      <c r="C26" s="374"/>
      <c r="D26" s="374"/>
      <c r="E26" s="374"/>
      <c r="F26" s="374"/>
      <c r="G26" s="379"/>
      <c r="H26" s="374"/>
      <c r="I26" s="355"/>
      <c r="L26" s="349">
        <v>2006</v>
      </c>
      <c r="N26" s="349">
        <v>2015</v>
      </c>
      <c r="O26" s="350">
        <v>2020</v>
      </c>
      <c r="P26" s="351">
        <v>2025</v>
      </c>
      <c r="Q26" s="351">
        <v>2030</v>
      </c>
      <c r="R26" s="351">
        <v>2050</v>
      </c>
      <c r="V26" s="349">
        <v>2010</v>
      </c>
      <c r="W26" s="349">
        <v>2015</v>
      </c>
      <c r="X26" s="350">
        <v>2020</v>
      </c>
      <c r="Y26" s="351">
        <v>2025</v>
      </c>
      <c r="Z26" s="351">
        <v>2030</v>
      </c>
      <c r="AA26" s="351">
        <v>2050</v>
      </c>
      <c r="AE26" s="349">
        <v>2010</v>
      </c>
      <c r="AF26" s="349">
        <v>2015</v>
      </c>
      <c r="AG26" s="350">
        <v>2020</v>
      </c>
      <c r="AH26" s="351">
        <v>2025</v>
      </c>
      <c r="AI26" s="351">
        <v>2030</v>
      </c>
      <c r="AJ26" s="351">
        <v>2050</v>
      </c>
    </row>
    <row r="27" spans="1:72" ht="105">
      <c r="A27" s="357" t="s">
        <v>326</v>
      </c>
      <c r="B27" s="358">
        <f t="shared" ref="B27:H27" si="66">SUM(B28:B33)</f>
        <v>39.730000000000011</v>
      </c>
      <c r="C27" s="359">
        <f t="shared" ref="C27" si="67">SUM(C28:C33)</f>
        <v>41.672984933035721</v>
      </c>
      <c r="D27" s="358">
        <f t="shared" si="66"/>
        <v>39.839810059979754</v>
      </c>
      <c r="E27" s="358">
        <f t="shared" si="66"/>
        <v>40.870720455492403</v>
      </c>
      <c r="F27" s="358">
        <f t="shared" si="66"/>
        <v>40.483126295450447</v>
      </c>
      <c r="G27" s="358">
        <f t="shared" si="66"/>
        <v>40.055340301741893</v>
      </c>
      <c r="H27" s="358">
        <f t="shared" si="66"/>
        <v>30.567397439749591</v>
      </c>
      <c r="I27" s="378"/>
      <c r="K27" s="389" t="s">
        <v>359</v>
      </c>
      <c r="L27" s="356"/>
      <c r="M27" s="356"/>
      <c r="N27" s="356"/>
      <c r="O27" s="356"/>
      <c r="P27" s="356"/>
      <c r="Q27" s="356"/>
      <c r="R27" s="356"/>
      <c r="T27" s="389" t="s">
        <v>360</v>
      </c>
      <c r="U27" s="389"/>
      <c r="V27" s="389"/>
      <c r="W27" s="356"/>
      <c r="X27" s="356"/>
      <c r="Y27" s="356"/>
      <c r="Z27" s="356"/>
      <c r="AA27" s="356"/>
      <c r="AC27" s="389" t="s">
        <v>361</v>
      </c>
      <c r="AD27" s="389"/>
      <c r="AE27" s="389"/>
      <c r="AF27" s="356"/>
      <c r="AG27" s="356"/>
      <c r="AH27" s="356"/>
      <c r="AI27" s="356"/>
      <c r="AJ27" s="356"/>
    </row>
    <row r="28" spans="1:72" ht="12.75">
      <c r="A28" s="362" t="s">
        <v>331</v>
      </c>
      <c r="B28" s="363">
        <f>'Bilan 2006'!C24-'Bilan 2006'!$O$23+'Bilan 2006'!$C$45</f>
        <v>36.790000000000006</v>
      </c>
      <c r="C28" s="364">
        <f>'Bilan 2010'!$C$24-'Bilan 2010'!$O$23+'Bilan 2010'!$C$45</f>
        <v>36.370000000000005</v>
      </c>
      <c r="D28" s="363">
        <f>'Bilan 2015'!$C$24-'Bilan 2015'!$O$23+'Bilan 2015'!$C$45</f>
        <v>34.145081200709882</v>
      </c>
      <c r="E28" s="363">
        <f>'Bilan 2020'!$C$24-'Bilan 2020'!$O$23+'Bilan 2020'!$C$45</f>
        <v>32.544440196652886</v>
      </c>
      <c r="F28" s="363">
        <f>'Bilan 2025'!$C$24-'Bilan 2025'!$O$23+'Bilan 2025'!$C$45</f>
        <v>28.605514597897603</v>
      </c>
      <c r="G28" s="363">
        <f>'Bilan 2030'!$C$24-'Bilan 2025'!$O$23+'Bilan 2030'!$C$45</f>
        <v>24.203804668294417</v>
      </c>
      <c r="H28" s="363">
        <f>'Bilan 2050'!$C$24+'Bilan 2050'!$C$45+0.0001</f>
        <v>2.0058786941476838</v>
      </c>
      <c r="I28" s="378"/>
      <c r="K28" s="360" t="s">
        <v>266</v>
      </c>
      <c r="L28" s="360"/>
      <c r="M28" s="360"/>
      <c r="N28" s="360"/>
      <c r="O28" s="360"/>
      <c r="P28" s="360"/>
      <c r="Q28" s="360"/>
      <c r="R28" s="360"/>
      <c r="T28" s="360" t="s">
        <v>266</v>
      </c>
      <c r="U28" s="360"/>
      <c r="V28" s="360"/>
      <c r="W28" s="360"/>
      <c r="X28" s="360"/>
      <c r="Y28" s="360"/>
      <c r="Z28" s="360"/>
      <c r="AA28" s="360"/>
      <c r="AC28" s="360" t="s">
        <v>266</v>
      </c>
      <c r="AD28" s="360"/>
      <c r="AE28" s="360"/>
      <c r="AF28" s="360"/>
      <c r="AG28" s="360"/>
      <c r="AH28" s="360"/>
      <c r="AI28" s="360"/>
      <c r="AJ28" s="360"/>
    </row>
    <row r="29" spans="1:72" ht="12.75">
      <c r="A29" s="362" t="s">
        <v>362</v>
      </c>
      <c r="B29" s="365">
        <f>'Bilan 2006'!C29+'Bilan 2006'!C37</f>
        <v>1.6000000000000008</v>
      </c>
      <c r="C29" s="365">
        <f>'Bilan 2010'!$C$29+'Bilan 2010'!$C$37</f>
        <v>2.1679017857142857</v>
      </c>
      <c r="D29" s="363">
        <f>'Bilan 2015'!$C$29+'Bilan 2015'!$C$37</f>
        <v>3.5886198676444905</v>
      </c>
      <c r="E29" s="363">
        <f>'Bilan 2020'!$C$29+'Bilan 2020'!$C$37</f>
        <v>4.6689911132378423</v>
      </c>
      <c r="F29" s="363">
        <f>'Bilan 2025'!$C$29+'Bilan 2025'!$C$37</f>
        <v>5.6762949876062256</v>
      </c>
      <c r="G29" s="363">
        <f>'Bilan 2030'!$C$29+'Bilan 2030'!$C$37</f>
        <v>6.311644048854717</v>
      </c>
      <c r="H29" s="363">
        <f>'Bilan 2050'!$C$29+'Bilan 2050'!$C$37</f>
        <v>5.8802273107045089</v>
      </c>
      <c r="I29" s="378"/>
      <c r="K29" s="365" t="s">
        <v>270</v>
      </c>
      <c r="L29" s="390">
        <f>L4/L$3</f>
        <v>0.99232540291634685</v>
      </c>
      <c r="M29" s="390">
        <f t="shared" ref="M29:M30" si="68">M4/M$3</f>
        <v>0.96673730049184481</v>
      </c>
      <c r="N29" s="390">
        <f>N4/N$3</f>
        <v>0.96008191192744297</v>
      </c>
      <c r="O29" s="390">
        <f t="shared" ref="O29:R30" si="69">O4/O$3</f>
        <v>0.95544009034056254</v>
      </c>
      <c r="P29" s="390">
        <f t="shared" si="69"/>
        <v>0.94645018335265896</v>
      </c>
      <c r="Q29" s="390">
        <f t="shared" si="69"/>
        <v>0.93022169646409525</v>
      </c>
      <c r="R29" s="390">
        <f t="shared" si="69"/>
        <v>0.50468225541841283</v>
      </c>
      <c r="T29" s="365" t="s">
        <v>270</v>
      </c>
      <c r="U29" s="390">
        <f>U4/U$3</f>
        <v>0.99172610111270254</v>
      </c>
      <c r="V29" s="390">
        <f t="shared" ref="V29:V30" si="70">V4/V$3</f>
        <v>0.96469886651885206</v>
      </c>
      <c r="W29" s="390">
        <f>W4/W$3</f>
        <v>0.94932135581836274</v>
      </c>
      <c r="X29" s="390">
        <f t="shared" ref="X29:AA30" si="71">X4/X$3</f>
        <v>0.94439486466167488</v>
      </c>
      <c r="Y29" s="390">
        <f t="shared" si="71"/>
        <v>0.93307747163048538</v>
      </c>
      <c r="Z29" s="390">
        <f t="shared" si="71"/>
        <v>0.9118703657326247</v>
      </c>
      <c r="AA29" s="390">
        <f>AA4/AA$3</f>
        <v>0.21309700681548779</v>
      </c>
      <c r="AC29" s="365" t="s">
        <v>270</v>
      </c>
      <c r="AD29" s="390">
        <f>AD4/AD$3</f>
        <v>0.99189533402801899</v>
      </c>
      <c r="AE29" s="390">
        <f t="shared" ref="AE29:AE30" si="72">AE4/AE$3</f>
        <v>0.96469886651885206</v>
      </c>
      <c r="AF29" s="390">
        <f>AF4/AF$3</f>
        <v>0.95906101949488243</v>
      </c>
      <c r="AG29" s="390">
        <f t="shared" ref="AG29:AJ30" si="73">AG4/AG$3</f>
        <v>0.95428520661307836</v>
      </c>
      <c r="AH29" s="390">
        <f t="shared" si="73"/>
        <v>0.94542203969330529</v>
      </c>
      <c r="AI29" s="390">
        <f t="shared" si="73"/>
        <v>0.92855162895021603</v>
      </c>
      <c r="AJ29" s="390">
        <f>AJ4/AJ$3</f>
        <v>0.50468225541841283</v>
      </c>
    </row>
    <row r="30" spans="1:72" ht="12.75">
      <c r="A30" s="362" t="s">
        <v>363</v>
      </c>
      <c r="B30" s="365">
        <f>'Bilan 2006'!$C$26+'Bilan 2006'!$C$28+'Bilan 2006'!$C$30+'Bilan 2006'!$C$36</f>
        <v>0</v>
      </c>
      <c r="C30" s="365">
        <f>'Bilan 2010'!C22+'Bilan 2010'!$C$26+'Bilan 2010'!$C$28+'Bilan 2010'!$C$30+'Bilan 2010'!$C$36</f>
        <v>0.84000000000000008</v>
      </c>
      <c r="D30" s="363">
        <f>'Bilan 2015'!$C$26+'Bilan 2015'!$C$28+'Bilan 2015'!$C$30+'Bilan 2015'!$C$36</f>
        <v>0.29045571797076525</v>
      </c>
      <c r="E30" s="363">
        <f>('Bilan 2020'!$C$21+'Bilan 2020'!$C$23)*(1-SUM('Bilan 2020'!$M$21:$O$24)/SUM('Bilan 2020'!$G$21:$G$24))+'Bilan 2020'!$C$26+'Bilan 2020'!$C$28+'Bilan 2020'!$C$30+'Bilan 2020'!$C$36</f>
        <v>0.94968567216574373</v>
      </c>
      <c r="F30" s="363">
        <f>('Bilan 2025'!$C$21+'Bilan 2025'!$C$23)*(1-SUM('Bilan 2025'!$M$21:$O$24)/SUM('Bilan 2025'!$G$21:$G$24))+'Bilan 2025'!$C$26+'Bilan 2025'!$C$28+'Bilan 2025'!$C$30+'Bilan 2025'!$C$36</f>
        <v>2.3221172695407888</v>
      </c>
      <c r="G30" s="363">
        <f>('Bilan 2030'!$C$21+'Bilan 2030'!$C$23)*(1-SUM('Bilan 2030'!$M$21:$O$24)/SUM('Bilan 2030'!$G$21:$G$24))+'Bilan 2030'!$C$26+'Bilan 2030'!$C$28+'Bilan 2030'!$C$30+'Bilan 2030'!$C$36</f>
        <v>4.4371490430568556</v>
      </c>
      <c r="H30" s="363">
        <f>('Bilan 2050'!$C$21+'Bilan 2050'!$C$23)*(1-SUM('Bilan 2050'!$M$21:$O$24)/SUM('Bilan 2050'!$G$21:$G$24))+'Bilan 2050'!$C$26+'Bilan 2050'!$C$28+'Bilan 2050'!$C$30+'Bilan 2050'!$C$36</f>
        <v>14.265950835910552</v>
      </c>
      <c r="I30" s="391"/>
      <c r="K30" s="365" t="s">
        <v>275</v>
      </c>
      <c r="L30" s="390">
        <f>L5/L$3</f>
        <v>7.6745970836531079E-3</v>
      </c>
      <c r="M30" s="390">
        <f t="shared" si="68"/>
        <v>3.3262699508155288E-2</v>
      </c>
      <c r="N30" s="390">
        <f>N5/N$3</f>
        <v>3.9918088072556999E-2</v>
      </c>
      <c r="O30" s="390">
        <f t="shared" si="69"/>
        <v>4.4559909659437541E-2</v>
      </c>
      <c r="P30" s="390">
        <f t="shared" si="69"/>
        <v>5.3549816647341042E-2</v>
      </c>
      <c r="Q30" s="390">
        <f t="shared" si="69"/>
        <v>6.9778303535904654E-2</v>
      </c>
      <c r="R30" s="390">
        <f t="shared" si="69"/>
        <v>0.49531774458158717</v>
      </c>
      <c r="T30" s="365" t="s">
        <v>275</v>
      </c>
      <c r="U30" s="390">
        <f>U5/U$3</f>
        <v>8.273898887297397E-3</v>
      </c>
      <c r="V30" s="390">
        <f t="shared" si="70"/>
        <v>3.5301133481147974E-2</v>
      </c>
      <c r="W30" s="390">
        <f>W5/W$3</f>
        <v>5.0678644181637263E-2</v>
      </c>
      <c r="X30" s="390">
        <f t="shared" si="71"/>
        <v>5.5605135338325069E-2</v>
      </c>
      <c r="Y30" s="390">
        <f t="shared" si="71"/>
        <v>6.6922528369514622E-2</v>
      </c>
      <c r="Z30" s="390">
        <f t="shared" si="71"/>
        <v>8.8129634267375218E-2</v>
      </c>
      <c r="AA30" s="390">
        <f t="shared" si="71"/>
        <v>0.78690299318451218</v>
      </c>
      <c r="AC30" s="365" t="s">
        <v>275</v>
      </c>
      <c r="AD30" s="390">
        <f>AD5/AD$3</f>
        <v>8.1046659719810118E-3</v>
      </c>
      <c r="AE30" s="390">
        <f t="shared" si="72"/>
        <v>3.5301133481147974E-2</v>
      </c>
      <c r="AF30" s="390">
        <f>AF5/AF$3</f>
        <v>4.0938980505117552E-2</v>
      </c>
      <c r="AG30" s="390">
        <f t="shared" si="73"/>
        <v>4.5714793386921686E-2</v>
      </c>
      <c r="AH30" s="390">
        <f t="shared" si="73"/>
        <v>5.4577960306694699E-2</v>
      </c>
      <c r="AI30" s="390">
        <f t="shared" si="73"/>
        <v>7.1448371049783882E-2</v>
      </c>
      <c r="AJ30" s="390">
        <f t="shared" si="73"/>
        <v>0.49531774458158717</v>
      </c>
    </row>
    <row r="31" spans="1:72" ht="12.75">
      <c r="A31" s="362" t="s">
        <v>346</v>
      </c>
      <c r="B31" s="365">
        <f>'Bilan 2006'!$C$27+'Bilan 2006'!$C$44</f>
        <v>0.74</v>
      </c>
      <c r="C31" s="365">
        <f>'Bilan 2010'!$C$27+'Bilan 2010'!$C$44</f>
        <v>0.57287946428571412</v>
      </c>
      <c r="D31" s="363">
        <f>'Bilan 2015'!$C$27+'Bilan 2015'!$C$44</f>
        <v>0.6</v>
      </c>
      <c r="E31" s="363">
        <f>'Bilan 2020'!$C$27+'Bilan 2020'!$C$44</f>
        <v>0.6</v>
      </c>
      <c r="F31" s="363">
        <f>'Bilan 2025'!$C$27+'Bilan 2025'!$C$44</f>
        <v>0.6</v>
      </c>
      <c r="G31" s="363">
        <f>'Bilan 2030'!$C$27+'Bilan 2030'!$C$44</f>
        <v>0.6</v>
      </c>
      <c r="H31" s="363">
        <f>'Bilan 2050'!$C$27+'Bilan 2050'!$C$44</f>
        <v>0.6</v>
      </c>
      <c r="I31" s="391"/>
      <c r="K31" s="365" t="s">
        <v>181</v>
      </c>
      <c r="L31" s="365"/>
      <c r="M31" s="365"/>
      <c r="N31" s="365"/>
      <c r="O31" s="365"/>
      <c r="P31" s="365"/>
      <c r="Q31" s="365"/>
      <c r="R31" s="365"/>
      <c r="T31" s="365" t="s">
        <v>181</v>
      </c>
      <c r="U31" s="365"/>
      <c r="V31" s="365"/>
      <c r="W31" s="365"/>
      <c r="X31" s="365"/>
      <c r="Y31" s="365"/>
      <c r="Z31" s="365"/>
      <c r="AA31" s="365"/>
      <c r="AC31" s="365" t="s">
        <v>181</v>
      </c>
      <c r="AD31" s="365"/>
      <c r="AE31" s="365"/>
      <c r="AF31" s="365"/>
      <c r="AG31" s="365"/>
      <c r="AH31" s="365"/>
      <c r="AI31" s="365"/>
      <c r="AJ31" s="365"/>
    </row>
    <row r="32" spans="1:72" ht="12.75">
      <c r="A32" s="362" t="s">
        <v>356</v>
      </c>
      <c r="B32" s="365">
        <f>'Bilan 2006'!$C$30</f>
        <v>0</v>
      </c>
      <c r="C32" s="365">
        <f>'Bilan 2010'!$C$30</f>
        <v>0</v>
      </c>
      <c r="D32" s="365">
        <f>'Bilan 2015'!$C$30</f>
        <v>0.24204643164230435</v>
      </c>
      <c r="E32" s="365">
        <f>'Bilan 2020'!$C$30</f>
        <v>0.21621253471647081</v>
      </c>
      <c r="F32" s="365">
        <f>'Bilan 2025'!$C$30</f>
        <v>0.31342550780940392</v>
      </c>
      <c r="G32" s="365">
        <f>'Bilan 2030'!$C$30</f>
        <v>0.4231885768084514</v>
      </c>
      <c r="H32" s="365">
        <f>'Bilan 2050'!$C$30</f>
        <v>0.97944518123549007</v>
      </c>
      <c r="I32" s="391"/>
      <c r="K32" s="360" t="s">
        <v>104</v>
      </c>
      <c r="L32" s="360"/>
      <c r="M32" s="360"/>
      <c r="N32" s="360"/>
      <c r="O32" s="360"/>
      <c r="P32" s="360"/>
      <c r="Q32" s="360"/>
      <c r="R32" s="360"/>
      <c r="T32" s="360" t="s">
        <v>104</v>
      </c>
      <c r="U32" s="360"/>
      <c r="V32" s="360"/>
      <c r="W32" s="360"/>
      <c r="X32" s="360"/>
      <c r="Y32" s="360"/>
      <c r="Z32" s="360"/>
      <c r="AA32" s="360"/>
      <c r="AC32" s="360" t="s">
        <v>104</v>
      </c>
      <c r="AD32" s="360"/>
      <c r="AE32" s="360"/>
      <c r="AF32" s="360"/>
      <c r="AG32" s="360"/>
      <c r="AH32" s="360"/>
      <c r="AI32" s="360"/>
      <c r="AJ32" s="360"/>
    </row>
    <row r="33" spans="1:36" ht="12.75">
      <c r="A33" s="362" t="s">
        <v>364</v>
      </c>
      <c r="B33" s="392">
        <f>'Bilan 2006'!$C$31+'Bilan 2006'!$C$39+'Bilan 2006'!$C$40</f>
        <v>0.60000000000000009</v>
      </c>
      <c r="C33" s="392">
        <f>'Bilan 2010'!$C$31+'Bilan 2010'!$C$39+'Bilan 2010'!$C$40</f>
        <v>1.7222036830357141</v>
      </c>
      <c r="D33" s="393">
        <f>'Bilan 2015'!$C$31+'Bilan 2015'!$C$39+'Bilan 2015'!$C$40</f>
        <v>0.97360684201231162</v>
      </c>
      <c r="E33" s="393">
        <f>'Bilan 2020'!$C$31+'Bilan 2020'!$C$38+'Bilan 2020'!$C$39+'Bilan 2020'!$C$40</f>
        <v>1.8913909387194594</v>
      </c>
      <c r="F33" s="393">
        <f>'Bilan 2025'!$C$31+'Bilan 2025'!$C$38+'Bilan 2025'!$C$39+'Bilan 2025'!$C$40</f>
        <v>2.9657739325964223</v>
      </c>
      <c r="G33" s="393">
        <f>'Bilan 2030'!$C$31+'Bilan 2030'!$C$38+'Bilan 2030'!$C$39+'Bilan 2030'!$C$40</f>
        <v>4.0795539647274506</v>
      </c>
      <c r="H33" s="393">
        <f>'Bilan 2050'!$C$31+'Bilan 2050'!$C$38+'Bilan 2050'!$C$39+'Bilan 2050'!$C$40</f>
        <v>6.8358954177513525</v>
      </c>
      <c r="I33" s="391"/>
      <c r="K33" s="365" t="s">
        <v>20</v>
      </c>
      <c r="L33" s="390">
        <f>L8/L$7</f>
        <v>0.87338787094829851</v>
      </c>
      <c r="M33" s="390">
        <f>M8/M$7</f>
        <v>0.86442176920466329</v>
      </c>
      <c r="N33" s="390">
        <f>N8/N$7</f>
        <v>0.87968958834079192</v>
      </c>
      <c r="O33" s="390">
        <f t="shared" ref="O33:R33" si="74">O8/O$7</f>
        <v>0.8458399528102214</v>
      </c>
      <c r="P33" s="390">
        <f t="shared" si="74"/>
        <v>0.82668270762384</v>
      </c>
      <c r="Q33" s="390">
        <f t="shared" si="74"/>
        <v>0.76922815476677453</v>
      </c>
      <c r="R33" s="390">
        <f t="shared" si="74"/>
        <v>0.33612461860569781</v>
      </c>
      <c r="T33" s="365" t="s">
        <v>20</v>
      </c>
      <c r="U33" s="390">
        <f>U8/U$7</f>
        <v>0.79896379760487013</v>
      </c>
      <c r="V33" s="390">
        <f>V8/V$7</f>
        <v>0.78055101662724413</v>
      </c>
      <c r="W33" s="390">
        <f>W8/W$7</f>
        <v>0.79518129028083173</v>
      </c>
      <c r="X33" s="390">
        <f t="shared" ref="X33:AA33" si="75">X8/X$7</f>
        <v>0.72086513541840702</v>
      </c>
      <c r="Y33" s="390">
        <f t="shared" si="75"/>
        <v>0.65167905660147907</v>
      </c>
      <c r="Z33" s="390">
        <f t="shared" si="75"/>
        <v>0.5534121182034295</v>
      </c>
      <c r="AA33" s="390">
        <f t="shared" si="75"/>
        <v>0.13803779088493934</v>
      </c>
      <c r="AC33" s="365" t="s">
        <v>20</v>
      </c>
      <c r="AD33" s="390">
        <f>AD8/AD$7</f>
        <v>0.79896379760487013</v>
      </c>
      <c r="AE33" s="390">
        <f>AE8/AE$7</f>
        <v>0.78055101662724413</v>
      </c>
      <c r="AF33" s="390">
        <f>AF8/AF$7</f>
        <v>0.79518129028083173</v>
      </c>
      <c r="AG33" s="390">
        <f t="shared" ref="AG33:AJ33" si="76">AG8/AG$7</f>
        <v>0.72086513541840702</v>
      </c>
      <c r="AH33" s="390">
        <f t="shared" si="76"/>
        <v>0.65167905660147907</v>
      </c>
      <c r="AI33" s="390">
        <f t="shared" si="76"/>
        <v>0.5534121182034295</v>
      </c>
      <c r="AJ33" s="390">
        <f t="shared" si="76"/>
        <v>0.13773732953968593</v>
      </c>
    </row>
    <row r="34" spans="1:36" ht="12.75">
      <c r="A34" s="373" t="s">
        <v>33</v>
      </c>
      <c r="B34" s="374"/>
      <c r="C34" s="374"/>
      <c r="D34" s="374"/>
      <c r="E34" s="374"/>
      <c r="F34" s="374"/>
      <c r="G34" s="379"/>
      <c r="H34" s="374"/>
      <c r="I34" s="355"/>
      <c r="K34" s="365" t="s">
        <v>365</v>
      </c>
      <c r="L34" s="390">
        <f t="shared" ref="L34:R40" si="77">L9/L$7</f>
        <v>9.7340381217393829E-3</v>
      </c>
      <c r="M34" s="390">
        <f t="shared" si="77"/>
        <v>7.8576301689487361E-3</v>
      </c>
      <c r="N34" s="390">
        <f t="shared" si="77"/>
        <v>4.23266574619702E-3</v>
      </c>
      <c r="O34" s="390">
        <f t="shared" si="77"/>
        <v>7.732910603335273E-4</v>
      </c>
      <c r="P34" s="390">
        <f t="shared" si="77"/>
        <v>7.9555469393586685E-4</v>
      </c>
      <c r="Q34" s="390">
        <f t="shared" si="77"/>
        <v>8.7906295609132743E-4</v>
      </c>
      <c r="R34" s="390">
        <f t="shared" si="77"/>
        <v>1.3486496134625693E-3</v>
      </c>
      <c r="T34" s="365" t="s">
        <v>365</v>
      </c>
      <c r="U34" s="390">
        <f t="shared" ref="U34:AA40" si="78">U9/U$7</f>
        <v>1.0253748103039214E-2</v>
      </c>
      <c r="V34" s="390">
        <f t="shared" si="78"/>
        <v>8.170278099287458E-3</v>
      </c>
      <c r="W34" s="390">
        <f t="shared" si="78"/>
        <v>4.2142003254392775E-3</v>
      </c>
      <c r="X34" s="390">
        <f t="shared" si="78"/>
        <v>2.6138916278776081E-3</v>
      </c>
      <c r="Y34" s="390">
        <f t="shared" si="78"/>
        <v>2.6386268172049533E-3</v>
      </c>
      <c r="Z34" s="390">
        <f t="shared" si="78"/>
        <v>2.6613344470606398E-3</v>
      </c>
      <c r="AA34" s="390">
        <f t="shared" si="78"/>
        <v>2.1816264000256618E-7</v>
      </c>
      <c r="AC34" s="365" t="s">
        <v>365</v>
      </c>
      <c r="AD34" s="390">
        <f t="shared" ref="AD34:AJ40" si="79">AD9/AD$7</f>
        <v>1.0253748103039214E-2</v>
      </c>
      <c r="AE34" s="390">
        <f t="shared" si="79"/>
        <v>8.170278099287458E-3</v>
      </c>
      <c r="AF34" s="390">
        <f t="shared" si="79"/>
        <v>4.2142003254392775E-3</v>
      </c>
      <c r="AG34" s="390">
        <f t="shared" si="79"/>
        <v>2.6138916278776081E-3</v>
      </c>
      <c r="AH34" s="390">
        <f t="shared" si="79"/>
        <v>2.6386268172049533E-3</v>
      </c>
      <c r="AI34" s="390">
        <f t="shared" si="79"/>
        <v>2.6613344470606398E-3</v>
      </c>
      <c r="AJ34" s="390">
        <f t="shared" si="79"/>
        <v>2.1768777409896848E-3</v>
      </c>
    </row>
    <row r="35" spans="1:36" ht="12.75">
      <c r="A35" s="375" t="s">
        <v>26</v>
      </c>
      <c r="B35" s="376"/>
      <c r="C35" s="376"/>
      <c r="D35" s="376"/>
      <c r="E35" s="376"/>
      <c r="F35" s="376"/>
      <c r="G35" s="380"/>
      <c r="H35" s="376"/>
      <c r="I35" s="355"/>
      <c r="K35" s="365" t="s">
        <v>366</v>
      </c>
      <c r="L35" s="390">
        <f t="shared" si="77"/>
        <v>2.6378500253568554E-2</v>
      </c>
      <c r="M35" s="390">
        <f t="shared" si="77"/>
        <v>2.8707579528139442E-2</v>
      </c>
      <c r="N35" s="390">
        <f t="shared" si="77"/>
        <v>1.9292343715637643E-2</v>
      </c>
      <c r="O35" s="390">
        <f t="shared" si="77"/>
        <v>3.2356627643495492E-2</v>
      </c>
      <c r="P35" s="390">
        <f t="shared" si="77"/>
        <v>3.3463637698547995E-2</v>
      </c>
      <c r="Q35" s="390">
        <f t="shared" si="77"/>
        <v>3.5891977892552475E-2</v>
      </c>
      <c r="R35" s="390">
        <f t="shared" si="77"/>
        <v>2.8990748354741382E-2</v>
      </c>
      <c r="T35" s="365" t="s">
        <v>366</v>
      </c>
      <c r="U35" s="390">
        <f t="shared" si="78"/>
        <v>4.0949078402655603E-2</v>
      </c>
      <c r="V35" s="390">
        <f t="shared" si="78"/>
        <v>4.3989220073912462E-2</v>
      </c>
      <c r="W35" s="390">
        <f t="shared" si="78"/>
        <v>2.8306790058192637E-2</v>
      </c>
      <c r="X35" s="390">
        <f t="shared" si="78"/>
        <v>4.3949028093733584E-2</v>
      </c>
      <c r="Y35" s="390">
        <f t="shared" si="78"/>
        <v>4.3691197858118362E-2</v>
      </c>
      <c r="Z35" s="390">
        <f t="shared" si="78"/>
        <v>4.5995544249842792E-2</v>
      </c>
      <c r="AA35" s="390">
        <f t="shared" si="78"/>
        <v>2.189123514316392E-2</v>
      </c>
      <c r="AC35" s="365" t="s">
        <v>366</v>
      </c>
      <c r="AD35" s="390">
        <f t="shared" si="79"/>
        <v>4.0949078402655603E-2</v>
      </c>
      <c r="AE35" s="390">
        <f t="shared" si="79"/>
        <v>4.3989220073912462E-2</v>
      </c>
      <c r="AF35" s="390">
        <f t="shared" si="79"/>
        <v>2.8306790058192637E-2</v>
      </c>
      <c r="AG35" s="390">
        <f t="shared" si="79"/>
        <v>4.3949028093733584E-2</v>
      </c>
      <c r="AH35" s="390">
        <f t="shared" si="79"/>
        <v>4.3691197858118362E-2</v>
      </c>
      <c r="AI35" s="390">
        <f t="shared" si="79"/>
        <v>4.5995544249842792E-2</v>
      </c>
      <c r="AJ35" s="390">
        <f t="shared" si="79"/>
        <v>2.1843585366112243E-2</v>
      </c>
    </row>
    <row r="36" spans="1:36" ht="12.75">
      <c r="A36" s="373" t="s">
        <v>367</v>
      </c>
      <c r="B36" s="374"/>
      <c r="C36" s="374"/>
      <c r="D36" s="374"/>
      <c r="E36" s="374"/>
      <c r="F36" s="374"/>
      <c r="G36" s="379"/>
      <c r="H36" s="374"/>
      <c r="I36" s="355"/>
      <c r="K36" s="365" t="s">
        <v>368</v>
      </c>
      <c r="L36" s="390">
        <f t="shared" si="77"/>
        <v>3.8787541217923334E-2</v>
      </c>
      <c r="M36" s="390">
        <f t="shared" si="77"/>
        <v>3.6254016423070412E-2</v>
      </c>
      <c r="N36" s="390">
        <f t="shared" si="77"/>
        <v>2.2236456333889463E-2</v>
      </c>
      <c r="O36" s="390">
        <f t="shared" si="77"/>
        <v>1.9873424355693808E-2</v>
      </c>
      <c r="P36" s="390">
        <f t="shared" si="77"/>
        <v>7.9555469393586685E-4</v>
      </c>
      <c r="Q36" s="390">
        <f t="shared" si="77"/>
        <v>8.7906295609132743E-4</v>
      </c>
      <c r="R36" s="390">
        <f t="shared" si="77"/>
        <v>1.3486496134625693E-3</v>
      </c>
      <c r="T36" s="365" t="s">
        <v>368</v>
      </c>
      <c r="U36" s="390">
        <f t="shared" si="78"/>
        <v>4.0858446639591373E-2</v>
      </c>
      <c r="V36" s="390">
        <f t="shared" si="78"/>
        <v>3.7696530636316394E-2</v>
      </c>
      <c r="W36" s="390">
        <f t="shared" si="78"/>
        <v>2.2139447605351109E-2</v>
      </c>
      <c r="X36" s="390">
        <f t="shared" si="78"/>
        <v>1.3232093557376881E-2</v>
      </c>
      <c r="Y36" s="390">
        <f t="shared" si="78"/>
        <v>2.6386268172049533E-3</v>
      </c>
      <c r="Z36" s="390">
        <f t="shared" si="78"/>
        <v>2.6613344470606398E-3</v>
      </c>
      <c r="AA36" s="390">
        <f t="shared" si="78"/>
        <v>2.1816264000256618E-3</v>
      </c>
      <c r="AC36" s="365" t="s">
        <v>368</v>
      </c>
      <c r="AD36" s="390">
        <f t="shared" si="79"/>
        <v>4.0858446639591373E-2</v>
      </c>
      <c r="AE36" s="390">
        <f t="shared" si="79"/>
        <v>3.7696530636316394E-2</v>
      </c>
      <c r="AF36" s="390">
        <f t="shared" si="79"/>
        <v>2.2139447605351109E-2</v>
      </c>
      <c r="AG36" s="390">
        <f t="shared" si="79"/>
        <v>1.3232093557376881E-2</v>
      </c>
      <c r="AH36" s="390">
        <f t="shared" si="79"/>
        <v>2.6386268172049533E-3</v>
      </c>
      <c r="AI36" s="390">
        <f t="shared" si="79"/>
        <v>2.6613344470606398E-3</v>
      </c>
      <c r="AJ36" s="390">
        <f t="shared" si="79"/>
        <v>2.1768777409896848E-3</v>
      </c>
    </row>
    <row r="37" spans="1:36" ht="12.75">
      <c r="A37" s="357" t="s">
        <v>42</v>
      </c>
      <c r="B37" s="358">
        <f>'Bilan 2006'!$C$46</f>
        <v>7.2</v>
      </c>
      <c r="C37" s="360">
        <f>'Bilan 2010'!$C$46</f>
        <v>6.7799999999999994</v>
      </c>
      <c r="D37" s="358">
        <f>'Bilan 2015'!$C$46</f>
        <v>5.6188711803771971</v>
      </c>
      <c r="E37" s="358">
        <f>'Bilan 2020'!$C$46</f>
        <v>3.2863683234402234</v>
      </c>
      <c r="F37" s="358">
        <f>'Bilan 2025'!$C$46</f>
        <v>2.5954014747714647</v>
      </c>
      <c r="G37" s="360">
        <f>'Bilan 2030'!$C$46</f>
        <v>2.1426447253399448</v>
      </c>
      <c r="H37" s="358">
        <f>'Bilan 2050'!$C$46</f>
        <v>0.74697394369004599</v>
      </c>
      <c r="I37" s="391"/>
      <c r="K37" s="365" t="s">
        <v>306</v>
      </c>
      <c r="L37" s="390">
        <f t="shared" si="77"/>
        <v>2.9777975967759528E-3</v>
      </c>
      <c r="M37" s="390">
        <f t="shared" si="77"/>
        <v>6.4243380053713335E-3</v>
      </c>
      <c r="N37" s="390">
        <f t="shared" si="77"/>
        <v>1.4002941292319937E-2</v>
      </c>
      <c r="O37" s="390">
        <f t="shared" si="77"/>
        <v>2.7926246374899523E-2</v>
      </c>
      <c r="P37" s="390">
        <f t="shared" si="77"/>
        <v>5.3356204752362621E-2</v>
      </c>
      <c r="Q37" s="390">
        <f t="shared" si="77"/>
        <v>8.5411963919449704E-2</v>
      </c>
      <c r="R37" s="390">
        <f t="shared" si="77"/>
        <v>0.26671488486362094</v>
      </c>
      <c r="T37" s="365" t="s">
        <v>306</v>
      </c>
      <c r="U37" s="390">
        <f t="shared" si="78"/>
        <v>8.2546962733871625E-3</v>
      </c>
      <c r="V37" s="390">
        <f t="shared" si="78"/>
        <v>1.7578833024024604E-2</v>
      </c>
      <c r="W37" s="390">
        <f t="shared" si="78"/>
        <v>3.6689084429533107E-2</v>
      </c>
      <c r="X37" s="390">
        <f t="shared" si="78"/>
        <v>7.4375245679923888E-2</v>
      </c>
      <c r="Y37" s="390">
        <f t="shared" si="78"/>
        <v>0.13144069989076712</v>
      </c>
      <c r="Z37" s="390">
        <f t="shared" si="78"/>
        <v>0.19202696714421535</v>
      </c>
      <c r="AA37" s="390">
        <f t="shared" si="78"/>
        <v>0.35333221634580392</v>
      </c>
      <c r="AC37" s="365" t="s">
        <v>306</v>
      </c>
      <c r="AD37" s="390">
        <f t="shared" si="79"/>
        <v>8.2546962733871625E-3</v>
      </c>
      <c r="AE37" s="390">
        <f t="shared" si="79"/>
        <v>1.7578833024024604E-2</v>
      </c>
      <c r="AF37" s="390">
        <f t="shared" si="79"/>
        <v>3.6689084429533107E-2</v>
      </c>
      <c r="AG37" s="390">
        <f t="shared" si="79"/>
        <v>7.4375245679923888E-2</v>
      </c>
      <c r="AH37" s="390">
        <f t="shared" si="79"/>
        <v>0.13144069989076712</v>
      </c>
      <c r="AI37" s="390">
        <f t="shared" si="79"/>
        <v>0.19202696714421535</v>
      </c>
      <c r="AJ37" s="390">
        <f t="shared" si="79"/>
        <v>0.35256313222496982</v>
      </c>
    </row>
    <row r="38" spans="1:36" ht="12.75">
      <c r="B38" s="394">
        <f>B2-'Bilan 2006'!C5</f>
        <v>-0.19999999999993179</v>
      </c>
      <c r="C38" s="394">
        <f>C2-'Bilan 2010'!C5</f>
        <v>-9.5479910714232119E-2</v>
      </c>
      <c r="D38" s="394">
        <f>D2-'Bilan 2015'!C5</f>
        <v>-0.24288932456340717</v>
      </c>
      <c r="E38" s="394">
        <f>E2-'Bilan 2020'!C5</f>
        <v>-4.4096008491749217E-2</v>
      </c>
      <c r="F38" s="394">
        <f>F2-'Bilan 2025'!C5</f>
        <v>0.14151200782535511</v>
      </c>
      <c r="G38" s="386">
        <f>G2-'Bilan 2030'!C5</f>
        <v>-0.22299031011530701</v>
      </c>
      <c r="H38" s="394">
        <f>H2-'Bilan 2050'!C5</f>
        <v>-0.13490535711055429</v>
      </c>
      <c r="K38" s="365" t="s">
        <v>311</v>
      </c>
      <c r="L38" s="390">
        <f t="shared" si="77"/>
        <v>6.7000433332208389E-4</v>
      </c>
      <c r="M38" s="390">
        <f t="shared" si="77"/>
        <v>3.7926814730505464E-4</v>
      </c>
      <c r="N38" s="390">
        <f t="shared" si="77"/>
        <v>4.9109841499131775E-3</v>
      </c>
      <c r="O38" s="390">
        <f t="shared" si="77"/>
        <v>1.1303480675554584E-2</v>
      </c>
      <c r="P38" s="390">
        <f t="shared" si="77"/>
        <v>2.3257832840773394E-2</v>
      </c>
      <c r="Q38" s="390">
        <f t="shared" si="77"/>
        <v>3.8548762476919775E-2</v>
      </c>
      <c r="R38" s="390">
        <f t="shared" si="77"/>
        <v>0.28990748354741397</v>
      </c>
      <c r="T38" s="365" t="s">
        <v>311</v>
      </c>
      <c r="U38" s="390">
        <f t="shared" si="78"/>
        <v>1.8573066615121116E-3</v>
      </c>
      <c r="V38" s="390">
        <f t="shared" si="78"/>
        <v>1.0377865279243442E-3</v>
      </c>
      <c r="W38" s="390">
        <f t="shared" si="78"/>
        <v>1.2867261837845799E-2</v>
      </c>
      <c r="X38" s="390">
        <f t="shared" si="78"/>
        <v>3.010426610854066E-2</v>
      </c>
      <c r="Y38" s="390">
        <f t="shared" si="78"/>
        <v>5.7294664054949644E-2</v>
      </c>
      <c r="Z38" s="390">
        <f t="shared" si="78"/>
        <v>8.6667038268628163E-2</v>
      </c>
      <c r="AA38" s="390">
        <f t="shared" si="78"/>
        <v>0.38405675689761282</v>
      </c>
      <c r="AC38" s="365" t="s">
        <v>311</v>
      </c>
      <c r="AD38" s="390">
        <f t="shared" si="79"/>
        <v>1.8573066615121116E-3</v>
      </c>
      <c r="AE38" s="390">
        <f t="shared" si="79"/>
        <v>1.0377865279243442E-3</v>
      </c>
      <c r="AF38" s="390">
        <f t="shared" si="79"/>
        <v>1.2867261837845799E-2</v>
      </c>
      <c r="AG38" s="390">
        <f t="shared" si="79"/>
        <v>3.010426610854066E-2</v>
      </c>
      <c r="AH38" s="390">
        <f t="shared" si="79"/>
        <v>5.7294664054949644E-2</v>
      </c>
      <c r="AI38" s="390">
        <f t="shared" si="79"/>
        <v>8.6667038268628163E-2</v>
      </c>
      <c r="AJ38" s="390">
        <f t="shared" si="79"/>
        <v>0.38322079589670621</v>
      </c>
    </row>
    <row r="39" spans="1:36" ht="12.75">
      <c r="A39" s="349" t="s">
        <v>369</v>
      </c>
      <c r="D39" s="395"/>
      <c r="G39" s="366"/>
      <c r="H39" s="395"/>
      <c r="K39" s="365" t="s">
        <v>18</v>
      </c>
      <c r="L39" s="390">
        <f t="shared" si="77"/>
        <v>3.7215624888876267E-2</v>
      </c>
      <c r="M39" s="390">
        <f t="shared" si="77"/>
        <v>4.1951701191701961E-2</v>
      </c>
      <c r="N39" s="390">
        <f t="shared" si="77"/>
        <v>3.8956049945932943E-2</v>
      </c>
      <c r="O39" s="390">
        <f t="shared" si="77"/>
        <v>4.0559548306401523E-2</v>
      </c>
      <c r="P39" s="390">
        <f t="shared" si="77"/>
        <v>4.2411342239057556E-2</v>
      </c>
      <c r="Q39" s="390">
        <f t="shared" si="77"/>
        <v>4.8374917618095557E-2</v>
      </c>
      <c r="R39" s="390">
        <f t="shared" si="77"/>
        <v>7.4216315788137949E-2</v>
      </c>
      <c r="T39" s="365" t="s">
        <v>18</v>
      </c>
      <c r="U39" s="390">
        <f t="shared" si="78"/>
        <v>9.2848272947954683E-2</v>
      </c>
      <c r="V39" s="390">
        <f t="shared" si="78"/>
        <v>0.10331270782071329</v>
      </c>
      <c r="W39" s="390">
        <f t="shared" si="78"/>
        <v>9.186181660721543E-2</v>
      </c>
      <c r="X39" s="390">
        <f t="shared" si="78"/>
        <v>9.7219071138757246E-2</v>
      </c>
      <c r="Y39" s="390">
        <f t="shared" si="78"/>
        <v>9.4030654537241312E-2</v>
      </c>
      <c r="Z39" s="390">
        <f t="shared" si="78"/>
        <v>9.7882772632803899E-2</v>
      </c>
      <c r="AA39" s="390">
        <f t="shared" si="78"/>
        <v>9.8318529765788851E-2</v>
      </c>
      <c r="AC39" s="365" t="s">
        <v>18</v>
      </c>
      <c r="AD39" s="390">
        <f t="shared" si="79"/>
        <v>9.2848272947954683E-2</v>
      </c>
      <c r="AE39" s="390">
        <f t="shared" si="79"/>
        <v>0.10331270782071329</v>
      </c>
      <c r="AF39" s="390">
        <f t="shared" si="79"/>
        <v>9.186181660721543E-2</v>
      </c>
      <c r="AG39" s="390">
        <f t="shared" si="79"/>
        <v>9.7219071138757246E-2</v>
      </c>
      <c r="AH39" s="390">
        <f t="shared" si="79"/>
        <v>9.4030654537241312E-2</v>
      </c>
      <c r="AI39" s="390">
        <f t="shared" si="79"/>
        <v>9.7882772632803899E-2</v>
      </c>
      <c r="AJ39" s="390">
        <f t="shared" si="79"/>
        <v>9.8104523749556763E-2</v>
      </c>
    </row>
    <row r="40" spans="1:36" ht="12.75">
      <c r="A40" s="349" t="s">
        <v>370</v>
      </c>
      <c r="B40" s="395">
        <f>B2-'Bilan 2006'!$C$43-'Bilan 2006'!$C$45</f>
        <v>257.41929624030638</v>
      </c>
      <c r="C40" s="395"/>
      <c r="D40" s="395">
        <f>D2-'Bilan 2015'!$C$43-'Bilan 2015'!$C$45</f>
        <v>218.69658941740576</v>
      </c>
      <c r="E40" s="395">
        <f>E2-'Bilan 2020'!$C$43-'Bilan 2020'!$C$45</f>
        <v>213.93742732022071</v>
      </c>
      <c r="F40" s="395">
        <f>F2-'Bilan 2025'!$C$43-'Bilan 2025'!$C$45</f>
        <v>204.06471796315776</v>
      </c>
      <c r="G40" s="366">
        <f>G2-'Bilan 2030'!$C$43-'Bilan 2030'!$C$45</f>
        <v>184.97811988702927</v>
      </c>
      <c r="H40" s="395">
        <f>H2-'Bilan 2050'!$C$41-'Bilan 2050'!$C$43</f>
        <v>106.39306616496069</v>
      </c>
      <c r="K40" s="365" t="s">
        <v>320</v>
      </c>
      <c r="L40" s="390">
        <f t="shared" si="77"/>
        <v>1.0848622639495799E-2</v>
      </c>
      <c r="M40" s="390">
        <f t="shared" si="77"/>
        <v>1.4003697330799729E-2</v>
      </c>
      <c r="N40" s="390">
        <f t="shared" si="77"/>
        <v>1.6678970475317981E-2</v>
      </c>
      <c r="O40" s="390">
        <f t="shared" si="77"/>
        <v>2.136742877340023E-2</v>
      </c>
      <c r="P40" s="390">
        <f t="shared" si="77"/>
        <v>1.9237165457546827E-2</v>
      </c>
      <c r="Q40" s="390">
        <f t="shared" si="77"/>
        <v>2.0786097414025366E-2</v>
      </c>
      <c r="R40" s="390">
        <f t="shared" si="77"/>
        <v>1.3486496134625693E-3</v>
      </c>
      <c r="T40" s="365" t="s">
        <v>320</v>
      </c>
      <c r="U40" s="390">
        <f t="shared" si="78"/>
        <v>6.0146533669896548E-3</v>
      </c>
      <c r="V40" s="390">
        <f t="shared" si="78"/>
        <v>7.6636271905770846E-3</v>
      </c>
      <c r="W40" s="390">
        <f t="shared" si="78"/>
        <v>8.7401088555909955E-3</v>
      </c>
      <c r="X40" s="390">
        <f t="shared" si="78"/>
        <v>1.7641268375383178E-2</v>
      </c>
      <c r="Y40" s="390">
        <f t="shared" si="78"/>
        <v>1.6586473423034605E-2</v>
      </c>
      <c r="Z40" s="390">
        <f t="shared" si="78"/>
        <v>1.8692890606959014E-2</v>
      </c>
      <c r="AA40" s="390">
        <f t="shared" si="78"/>
        <v>2.1816264000256618E-3</v>
      </c>
      <c r="AC40" s="365" t="s">
        <v>320</v>
      </c>
      <c r="AD40" s="390">
        <f t="shared" si="79"/>
        <v>6.0146533669896548E-3</v>
      </c>
      <c r="AE40" s="390">
        <f t="shared" si="79"/>
        <v>7.6636271905770846E-3</v>
      </c>
      <c r="AF40" s="390">
        <f t="shared" si="79"/>
        <v>8.7401088555909955E-3</v>
      </c>
      <c r="AG40" s="390">
        <f t="shared" si="79"/>
        <v>1.7641268375383178E-2</v>
      </c>
      <c r="AH40" s="390">
        <f t="shared" si="79"/>
        <v>1.6586473423034605E-2</v>
      </c>
      <c r="AI40" s="390">
        <f t="shared" si="79"/>
        <v>1.8692890606959014E-2</v>
      </c>
      <c r="AJ40" s="390">
        <f t="shared" si="79"/>
        <v>2.1768777409896848E-3</v>
      </c>
    </row>
    <row r="41" spans="1:36" ht="12.75">
      <c r="A41" s="349" t="s">
        <v>371</v>
      </c>
      <c r="D41" s="395">
        <f>('Bilan 2015'!C13)</f>
        <v>0</v>
      </c>
      <c r="E41" s="395">
        <f>('Bilan 2020'!C13)</f>
        <v>0.7</v>
      </c>
      <c r="F41" s="395">
        <f>('Bilan 2025'!C13)</f>
        <v>0.7</v>
      </c>
      <c r="G41" s="366">
        <f>('Bilan 2025'!C13)</f>
        <v>0.7</v>
      </c>
      <c r="H41" s="395">
        <f>('Bilan 2050'!C13)</f>
        <v>0</v>
      </c>
      <c r="K41" s="360" t="s">
        <v>326</v>
      </c>
      <c r="L41" s="360"/>
      <c r="M41" s="360"/>
      <c r="N41" s="360"/>
      <c r="O41" s="360"/>
      <c r="P41" s="360"/>
      <c r="Q41" s="360"/>
      <c r="R41" s="360"/>
      <c r="T41" s="360" t="s">
        <v>326</v>
      </c>
      <c r="U41" s="360"/>
      <c r="V41" s="360"/>
      <c r="W41" s="360"/>
      <c r="X41" s="360"/>
      <c r="Y41" s="360"/>
      <c r="Z41" s="360"/>
      <c r="AA41" s="360"/>
      <c r="AC41" s="360" t="s">
        <v>326</v>
      </c>
      <c r="AD41" s="360"/>
      <c r="AE41" s="360"/>
      <c r="AF41" s="360"/>
      <c r="AG41" s="360"/>
      <c r="AH41" s="360"/>
      <c r="AI41" s="360"/>
      <c r="AJ41" s="360"/>
    </row>
    <row r="42" spans="1:36" ht="12.75">
      <c r="A42" s="349" t="s">
        <v>367</v>
      </c>
      <c r="D42" s="395"/>
      <c r="G42" s="366"/>
      <c r="H42" s="395"/>
      <c r="K42" s="365" t="s">
        <v>331</v>
      </c>
      <c r="L42" s="390">
        <f>L17/L$16</f>
        <v>0.92600050339793594</v>
      </c>
      <c r="M42" s="390">
        <f>M17/M$16</f>
        <v>0.87274765794777898</v>
      </c>
      <c r="N42" s="390">
        <f>N17/N$16</f>
        <v>0.85705933711289473</v>
      </c>
      <c r="O42" s="390">
        <f t="shared" ref="O42:R42" si="80">O17/O$16</f>
        <v>0.79627762451834661</v>
      </c>
      <c r="P42" s="390">
        <f t="shared" si="80"/>
        <v>0.70660339789796156</v>
      </c>
      <c r="Q42" s="390">
        <f t="shared" si="80"/>
        <v>0.60425911965705759</v>
      </c>
      <c r="R42" s="390">
        <f t="shared" si="80"/>
        <v>6.562150729715889E-2</v>
      </c>
      <c r="T42" s="365" t="s">
        <v>331</v>
      </c>
      <c r="U42" s="390">
        <f>U17/U$16</f>
        <v>0.91950930808135145</v>
      </c>
      <c r="V42" s="390">
        <f>V17/V$16</f>
        <v>0.87780791626196286</v>
      </c>
      <c r="W42" s="390">
        <f>W17/W$16</f>
        <v>0.85774000849601717</v>
      </c>
      <c r="X42" s="390">
        <f t="shared" ref="X42:AA42" si="81">X17/X$16</f>
        <v>0.8014550977120013</v>
      </c>
      <c r="Y42" s="390">
        <f t="shared" si="81"/>
        <v>0.71174543261565482</v>
      </c>
      <c r="Z42" s="390">
        <f t="shared" si="81"/>
        <v>0.6079546800864617</v>
      </c>
      <c r="AA42" s="390">
        <f t="shared" si="81"/>
        <v>3.3458357665179884E-2</v>
      </c>
      <c r="AC42" s="365" t="s">
        <v>331</v>
      </c>
      <c r="AD42" s="390">
        <f>AD17/AD$16</f>
        <v>0.92287069498865737</v>
      </c>
      <c r="AE42" s="390">
        <f>AE17/AE$16</f>
        <v>0.88384358771365168</v>
      </c>
      <c r="AF42" s="390">
        <f>AF17/AF$16</f>
        <v>0.8717056689154169</v>
      </c>
      <c r="AG42" s="390">
        <f t="shared" ref="AG42:AJ42" si="82">AG17/AG$16</f>
        <v>0.80432757263647092</v>
      </c>
      <c r="AH42" s="390">
        <f t="shared" si="82"/>
        <v>0.7146083994719884</v>
      </c>
      <c r="AI42" s="390">
        <f t="shared" si="82"/>
        <v>0.61408464270959362</v>
      </c>
      <c r="AJ42" s="390">
        <f t="shared" si="82"/>
        <v>7.3825145665143865E-2</v>
      </c>
    </row>
    <row r="43" spans="1:36" ht="12.75">
      <c r="A43" s="349" t="s">
        <v>372</v>
      </c>
      <c r="D43" s="395">
        <f>-'Bilan 2015'!$C26</f>
        <v>0</v>
      </c>
      <c r="E43" s="395">
        <f>-'Bilan 2020'!$C26</f>
        <v>0</v>
      </c>
      <c r="F43" s="395">
        <f>-'Bilan 2025'!$C26</f>
        <v>0</v>
      </c>
      <c r="G43" s="366">
        <f>-'Bilan 2030'!$C26</f>
        <v>0</v>
      </c>
      <c r="H43" s="395">
        <f>-'Bilan 2050'!$C26</f>
        <v>0</v>
      </c>
      <c r="K43" s="365" t="s">
        <v>336</v>
      </c>
      <c r="L43" s="390">
        <f t="shared" ref="L43:R47" si="83">L18/L$16</f>
        <v>4.0271834885476976E-2</v>
      </c>
      <c r="M43" s="390">
        <f t="shared" si="83"/>
        <v>5.2021754361917798E-2</v>
      </c>
      <c r="N43" s="390">
        <f t="shared" si="83"/>
        <v>9.0076229335474753E-2</v>
      </c>
      <c r="O43" s="390">
        <f t="shared" si="83"/>
        <v>0.11423804281410462</v>
      </c>
      <c r="P43" s="390">
        <f t="shared" si="83"/>
        <v>0.14021384974519954</v>
      </c>
      <c r="Q43" s="390">
        <f t="shared" si="83"/>
        <v>0.15757309765210611</v>
      </c>
      <c r="R43" s="390">
        <f t="shared" si="83"/>
        <v>0.19236924969797756</v>
      </c>
      <c r="T43" s="365" t="s">
        <v>336</v>
      </c>
      <c r="U43" s="390">
        <f t="shared" ref="U43:AA47" si="84">U18/U$16</f>
        <v>4.3043150758635532E-2</v>
      </c>
      <c r="V43" s="390">
        <f t="shared" si="84"/>
        <v>5.7181530924833093E-2</v>
      </c>
      <c r="W43" s="390">
        <f t="shared" si="84"/>
        <v>9.0175285258380478E-2</v>
      </c>
      <c r="X43" s="390">
        <f t="shared" si="84"/>
        <v>0.11186788211722858</v>
      </c>
      <c r="Y43" s="390">
        <f t="shared" si="84"/>
        <v>0.13829682906118357</v>
      </c>
      <c r="Z43" s="390">
        <f t="shared" si="84"/>
        <v>0.16312305855116638</v>
      </c>
      <c r="AA43" s="390">
        <f t="shared" si="84"/>
        <v>0.21499441028392344</v>
      </c>
      <c r="AC43" s="365" t="s">
        <v>336</v>
      </c>
      <c r="AD43" s="390">
        <f t="shared" ref="AD43:AJ47" si="85">AD18/AD$16</f>
        <v>4.1245617653124358E-2</v>
      </c>
      <c r="AE43" s="390">
        <f t="shared" si="85"/>
        <v>5.435705225805805E-2</v>
      </c>
      <c r="AF43" s="390">
        <f t="shared" si="85"/>
        <v>8.1477281912008009E-2</v>
      </c>
      <c r="AG43" s="390">
        <f t="shared" si="85"/>
        <v>0.10837680933407251</v>
      </c>
      <c r="AH43" s="390">
        <f t="shared" si="85"/>
        <v>0.13308773581417369</v>
      </c>
      <c r="AI43" s="390">
        <f t="shared" si="85"/>
        <v>0.15386786236300443</v>
      </c>
      <c r="AJ43" s="390">
        <f t="shared" si="85"/>
        <v>0.20007228467239299</v>
      </c>
    </row>
    <row r="44" spans="1:36" ht="12.75">
      <c r="A44" s="349" t="s">
        <v>373</v>
      </c>
      <c r="D44" s="395">
        <f>-'Bilan 2015'!$C16</f>
        <v>0</v>
      </c>
      <c r="E44" s="395">
        <f>-'Bilan 2020'!$C16</f>
        <v>0</v>
      </c>
      <c r="F44" s="395">
        <f>-'Bilan 2025'!$C16</f>
        <v>0</v>
      </c>
      <c r="G44" s="366">
        <f>-'Bilan 2030'!$C16</f>
        <v>0</v>
      </c>
      <c r="H44" s="395">
        <f>-'Bilan 2050'!$C16</f>
        <v>0</v>
      </c>
      <c r="K44" s="365" t="s">
        <v>341</v>
      </c>
      <c r="L44" s="390">
        <f t="shared" si="83"/>
        <v>0</v>
      </c>
      <c r="M44" s="390">
        <f t="shared" si="83"/>
        <v>2.0156943433492832E-2</v>
      </c>
      <c r="N44" s="390">
        <f t="shared" si="83"/>
        <v>7.2905899283525061E-3</v>
      </c>
      <c r="O44" s="390">
        <f t="shared" si="83"/>
        <v>2.3236333041888435E-2</v>
      </c>
      <c r="P44" s="390">
        <f t="shared" si="83"/>
        <v>5.7360127095761174E-2</v>
      </c>
      <c r="Q44" s="390">
        <f t="shared" si="83"/>
        <v>0.11077546738165889</v>
      </c>
      <c r="R44" s="390">
        <f t="shared" si="83"/>
        <v>0.4667047910778046</v>
      </c>
      <c r="T44" s="365" t="s">
        <v>341</v>
      </c>
      <c r="U44" s="390">
        <f t="shared" si="84"/>
        <v>5.3803938448294389E-3</v>
      </c>
      <c r="V44" s="390">
        <f t="shared" si="84"/>
        <v>5.2752879583050655E-3</v>
      </c>
      <c r="W44" s="390">
        <f t="shared" si="84"/>
        <v>1.7619510289739143E-4</v>
      </c>
      <c r="X44" s="390">
        <f t="shared" si="84"/>
        <v>1.6850666767680871E-2</v>
      </c>
      <c r="Y44" s="390">
        <f t="shared" si="84"/>
        <v>3.8859632618635183E-2</v>
      </c>
      <c r="Z44" s="390">
        <f t="shared" si="84"/>
        <v>7.0420535978337903E-2</v>
      </c>
      <c r="AA44" s="390">
        <f t="shared" si="84"/>
        <v>0.40399862255047975</v>
      </c>
      <c r="AC44" s="365" t="s">
        <v>341</v>
      </c>
      <c r="AD44" s="390">
        <f t="shared" si="85"/>
        <v>5.1557022066405422E-3</v>
      </c>
      <c r="AE44" s="390">
        <f t="shared" si="85"/>
        <v>5.0147153912831303E-3</v>
      </c>
      <c r="AF44" s="390">
        <f t="shared" si="85"/>
        <v>1.7220093305057936E-4</v>
      </c>
      <c r="AG44" s="390">
        <f t="shared" si="85"/>
        <v>1.9873984099498993E-2</v>
      </c>
      <c r="AH44" s="390">
        <f t="shared" si="85"/>
        <v>4.5845526281913608E-2</v>
      </c>
      <c r="AI44" s="390">
        <f t="shared" si="85"/>
        <v>8.2872112091095643E-2</v>
      </c>
      <c r="AJ44" s="390">
        <f t="shared" si="85"/>
        <v>0.40062655940619646</v>
      </c>
    </row>
    <row r="45" spans="1:36" ht="12.75">
      <c r="D45" s="395"/>
      <c r="G45" s="366"/>
      <c r="H45" s="395"/>
      <c r="K45" s="365" t="s">
        <v>346</v>
      </c>
      <c r="L45" s="390">
        <f t="shared" si="83"/>
        <v>1.8625723634533093E-2</v>
      </c>
      <c r="M45" s="390">
        <f t="shared" si="83"/>
        <v>1.3747022566448589E-2</v>
      </c>
      <c r="N45" s="390">
        <f t="shared" si="83"/>
        <v>1.5060312764962638E-2</v>
      </c>
      <c r="O45" s="390">
        <f t="shared" si="83"/>
        <v>1.4680436099808685E-2</v>
      </c>
      <c r="P45" s="390">
        <f t="shared" si="83"/>
        <v>1.4820989753141394E-2</v>
      </c>
      <c r="Q45" s="390">
        <f t="shared" si="83"/>
        <v>1.4979276058576081E-2</v>
      </c>
      <c r="R45" s="390">
        <f t="shared" si="83"/>
        <v>1.9628756461280046E-2</v>
      </c>
      <c r="T45" s="365" t="s">
        <v>346</v>
      </c>
      <c r="U45" s="390">
        <f t="shared" si="84"/>
        <v>1.5925965780695137E-2</v>
      </c>
      <c r="V45" s="390">
        <f t="shared" si="84"/>
        <v>1.2088416558026737E-2</v>
      </c>
      <c r="W45" s="390">
        <f>W20/W$16</f>
        <v>1.3327798677701869E-2</v>
      </c>
      <c r="X45" s="390">
        <f t="shared" si="84"/>
        <v>1.157373744366458E-2</v>
      </c>
      <c r="Y45" s="390">
        <f t="shared" si="84"/>
        <v>1.2070561283177789E-2</v>
      </c>
      <c r="Z45" s="390">
        <f t="shared" si="84"/>
        <v>1.2799074090572958E-2</v>
      </c>
      <c r="AA45" s="390">
        <f t="shared" si="84"/>
        <v>1.8613265086325038E-2</v>
      </c>
      <c r="AC45" s="365" t="s">
        <v>346</v>
      </c>
      <c r="AD45" s="390">
        <f t="shared" si="85"/>
        <v>1.5260878531656004E-2</v>
      </c>
      <c r="AE45" s="390">
        <f t="shared" si="85"/>
        <v>1.1491309867614419E-2</v>
      </c>
      <c r="AF45" s="390">
        <f>AF20/AF$16</f>
        <v>1.0271834841829716E-2</v>
      </c>
      <c r="AG45" s="390">
        <f t="shared" si="85"/>
        <v>1.1212554599900443E-2</v>
      </c>
      <c r="AH45" s="390">
        <f t="shared" si="85"/>
        <v>1.1615911095645267E-2</v>
      </c>
      <c r="AI45" s="390">
        <f t="shared" si="85"/>
        <v>1.2072886494611981E-2</v>
      </c>
      <c r="AJ45" s="390">
        <f t="shared" si="85"/>
        <v>1.7321373453923723E-2</v>
      </c>
    </row>
    <row r="46" spans="1:36" ht="12.75">
      <c r="A46" s="349" t="s">
        <v>10</v>
      </c>
      <c r="D46" s="395">
        <f>D2</f>
        <v>248.8775461749031</v>
      </c>
      <c r="E46" s="395">
        <f>E2</f>
        <v>240.96334877413645</v>
      </c>
      <c r="F46" s="395">
        <f>F2</f>
        <v>226.01213816072547</v>
      </c>
      <c r="G46" s="366">
        <f>G2</f>
        <v>202.08273736510716</v>
      </c>
      <c r="H46" s="395">
        <f>H2</f>
        <v>113.97932429682874</v>
      </c>
      <c r="K46" s="365" t="s">
        <v>351</v>
      </c>
      <c r="L46" s="390">
        <f t="shared" si="83"/>
        <v>0</v>
      </c>
      <c r="M46" s="390">
        <f t="shared" si="83"/>
        <v>0</v>
      </c>
      <c r="N46" s="390">
        <f t="shared" si="83"/>
        <v>6.0754916069604209E-3</v>
      </c>
      <c r="O46" s="390">
        <f t="shared" si="83"/>
        <v>5.2901571664713621E-3</v>
      </c>
      <c r="P46" s="390">
        <f t="shared" si="83"/>
        <v>7.7421270660271895E-3</v>
      </c>
      <c r="Q46" s="390">
        <f t="shared" si="83"/>
        <v>1.056509752808287E-2</v>
      </c>
      <c r="R46" s="390">
        <f t="shared" si="83"/>
        <v>3.2042151549409557E-2</v>
      </c>
      <c r="T46" s="365" t="s">
        <v>351</v>
      </c>
      <c r="U46" s="390">
        <f t="shared" si="84"/>
        <v>5.3803938448294389E-3</v>
      </c>
      <c r="V46" s="390">
        <f t="shared" si="84"/>
        <v>2.6376439791525328E-3</v>
      </c>
      <c r="W46" s="390">
        <f t="shared" si="84"/>
        <v>7.4203626268943843E-3</v>
      </c>
      <c r="X46" s="390">
        <f t="shared" si="84"/>
        <v>9.3790803950716799E-3</v>
      </c>
      <c r="Y46" s="390">
        <f t="shared" si="84"/>
        <v>1.708972310930908E-2</v>
      </c>
      <c r="Z46" s="390">
        <f t="shared" si="84"/>
        <v>3.4942458083423042E-2</v>
      </c>
      <c r="AA46" s="390">
        <f t="shared" si="84"/>
        <v>0.13081105629454137</v>
      </c>
      <c r="AC46" s="365" t="s">
        <v>351</v>
      </c>
      <c r="AD46" s="390">
        <f t="shared" si="85"/>
        <v>5.1557022066405422E-3</v>
      </c>
      <c r="AE46" s="390">
        <f t="shared" si="85"/>
        <v>2.5073576956415652E-3</v>
      </c>
      <c r="AF46" s="390">
        <f t="shared" si="85"/>
        <v>6.1412234421907991E-3</v>
      </c>
      <c r="AG46" s="390">
        <f t="shared" si="85"/>
        <v>8.935959041126651E-3</v>
      </c>
      <c r="AH46" s="390">
        <f t="shared" si="85"/>
        <v>1.6263964155196438E-2</v>
      </c>
      <c r="AI46" s="390">
        <f t="shared" si="85"/>
        <v>3.28487935813674E-2</v>
      </c>
      <c r="AJ46" s="390">
        <f t="shared" si="85"/>
        <v>0.12275670857199798</v>
      </c>
    </row>
    <row r="47" spans="1:36" ht="12.75">
      <c r="A47" s="349" t="s">
        <v>374</v>
      </c>
      <c r="D47" s="395">
        <f>'Bilan 2015'!$C$5</f>
        <v>249.12043549946651</v>
      </c>
      <c r="E47" s="395">
        <f>'Bilan 2020'!$C$5</f>
        <v>241.0074447826282</v>
      </c>
      <c r="F47" s="395">
        <f>'Bilan 2025'!$C$5</f>
        <v>225.87062615290012</v>
      </c>
      <c r="G47" s="366">
        <f>'Bilan 2030'!$C$5</f>
        <v>202.30572767522247</v>
      </c>
      <c r="H47" s="395">
        <f>'Bilan 2050'!$C$5</f>
        <v>114.11422965393929</v>
      </c>
      <c r="K47" s="365" t="s">
        <v>354</v>
      </c>
      <c r="L47" s="390">
        <f t="shared" si="83"/>
        <v>1.5101938082053861E-2</v>
      </c>
      <c r="M47" s="390">
        <f t="shared" si="83"/>
        <v>4.1326621690361789E-2</v>
      </c>
      <c r="N47" s="390">
        <f t="shared" si="83"/>
        <v>2.4438039251354963E-2</v>
      </c>
      <c r="O47" s="390">
        <f t="shared" si="83"/>
        <v>4.6277406359380317E-2</v>
      </c>
      <c r="P47" s="390">
        <f t="shared" si="83"/>
        <v>7.3259508441909052E-2</v>
      </c>
      <c r="Q47" s="390">
        <f t="shared" si="83"/>
        <v>0.10184794172251839</v>
      </c>
      <c r="R47" s="390">
        <f t="shared" si="83"/>
        <v>0.22363354391636922</v>
      </c>
      <c r="T47" s="365" t="s">
        <v>354</v>
      </c>
      <c r="U47" s="390">
        <f t="shared" si="84"/>
        <v>1.0760787689658878E-2</v>
      </c>
      <c r="V47" s="390">
        <f t="shared" si="84"/>
        <v>4.5009204317719556E-2</v>
      </c>
      <c r="W47" s="390">
        <f t="shared" si="84"/>
        <v>3.1160349838108812E-2</v>
      </c>
      <c r="X47" s="390">
        <f t="shared" si="84"/>
        <v>4.8873535564352838E-2</v>
      </c>
      <c r="Y47" s="390">
        <f t="shared" si="84"/>
        <v>8.1937821312039708E-2</v>
      </c>
      <c r="Z47" s="390">
        <f t="shared" si="84"/>
        <v>0.11076019321003829</v>
      </c>
      <c r="AA47" s="390">
        <f t="shared" si="84"/>
        <v>0.19812428811955055</v>
      </c>
      <c r="AC47" s="365" t="s">
        <v>354</v>
      </c>
      <c r="AD47" s="390">
        <f t="shared" si="85"/>
        <v>1.0311404413281084E-2</v>
      </c>
      <c r="AE47" s="390">
        <f t="shared" si="85"/>
        <v>4.2785977073751022E-2</v>
      </c>
      <c r="AF47" s="390">
        <f t="shared" si="85"/>
        <v>3.0231789955504108E-2</v>
      </c>
      <c r="AG47" s="390">
        <f t="shared" si="85"/>
        <v>4.7273120288930458E-2</v>
      </c>
      <c r="AH47" s="390">
        <f t="shared" si="85"/>
        <v>7.8578463181082553E-2</v>
      </c>
      <c r="AI47" s="390">
        <f t="shared" si="85"/>
        <v>0.10425370276032701</v>
      </c>
      <c r="AJ47" s="390">
        <f t="shared" si="85"/>
        <v>0.18539792823034495</v>
      </c>
    </row>
    <row r="48" spans="1:36" ht="12.75">
      <c r="K48" s="360" t="s">
        <v>42</v>
      </c>
      <c r="L48" s="360"/>
      <c r="M48" s="360"/>
      <c r="N48" s="360"/>
      <c r="O48" s="360"/>
      <c r="P48" s="360"/>
      <c r="Q48" s="360"/>
      <c r="R48" s="360"/>
      <c r="T48" s="360" t="s">
        <v>42</v>
      </c>
      <c r="U48" s="360"/>
      <c r="V48" s="360"/>
      <c r="W48" s="360"/>
      <c r="X48" s="360"/>
      <c r="Y48" s="360"/>
      <c r="Z48" s="360"/>
      <c r="AA48" s="360"/>
      <c r="AC48" s="360" t="s">
        <v>42</v>
      </c>
      <c r="AD48" s="360"/>
      <c r="AE48" s="360"/>
      <c r="AF48" s="360"/>
      <c r="AG48" s="360"/>
      <c r="AH48" s="360"/>
      <c r="AI48" s="360"/>
      <c r="AJ48" s="360"/>
    </row>
    <row r="49" spans="1:29">
      <c r="K49" s="349" t="s">
        <v>375</v>
      </c>
      <c r="T49" s="349" t="s">
        <v>375</v>
      </c>
      <c r="AC49" s="349" t="s">
        <v>375</v>
      </c>
    </row>
    <row r="50" spans="1:29">
      <c r="A50" s="349" t="s">
        <v>376</v>
      </c>
      <c r="E50" s="349"/>
      <c r="F50" s="349"/>
      <c r="G50" s="349"/>
    </row>
  </sheetData>
  <mergeCells count="1">
    <mergeCell ref="H1:I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K25"/>
  <sheetViews>
    <sheetView workbookViewId="0"/>
  </sheetViews>
  <sheetFormatPr baseColWidth="10" defaultRowHeight="15"/>
  <sheetData>
    <row r="1" spans="1:11" ht="21">
      <c r="A1" s="307"/>
      <c r="B1" s="307"/>
      <c r="C1" s="307"/>
      <c r="D1" s="307"/>
      <c r="E1" s="308" t="s">
        <v>219</v>
      </c>
      <c r="F1" s="307"/>
      <c r="G1" s="307"/>
      <c r="H1" s="307"/>
      <c r="I1" s="307"/>
      <c r="J1" s="307"/>
      <c r="K1" s="307"/>
    </row>
    <row r="3" spans="1:11" ht="45">
      <c r="A3" s="300"/>
      <c r="B3" s="301" t="s">
        <v>42</v>
      </c>
      <c r="C3" s="301" t="s">
        <v>52</v>
      </c>
      <c r="D3" s="301" t="s">
        <v>53</v>
      </c>
      <c r="E3" s="302" t="s">
        <v>32</v>
      </c>
      <c r="F3" s="302" t="s">
        <v>20</v>
      </c>
      <c r="G3" s="302" t="s">
        <v>55</v>
      </c>
      <c r="H3" s="301" t="s">
        <v>56</v>
      </c>
      <c r="I3" s="301" t="s">
        <v>57</v>
      </c>
      <c r="J3" s="301" t="s">
        <v>58</v>
      </c>
      <c r="K3" s="301" t="s">
        <v>10</v>
      </c>
    </row>
    <row r="4" spans="1:11">
      <c r="A4" s="300"/>
      <c r="B4" s="309"/>
      <c r="C4" s="309"/>
      <c r="D4" s="309"/>
      <c r="E4" s="310"/>
      <c r="F4" s="310"/>
      <c r="G4" s="310"/>
      <c r="H4" s="309"/>
      <c r="I4" s="309"/>
      <c r="J4" s="309"/>
      <c r="K4" s="309"/>
    </row>
    <row r="5" spans="1:11">
      <c r="A5" s="311" t="s">
        <v>220</v>
      </c>
      <c r="B5" s="300"/>
      <c r="C5" s="300"/>
      <c r="D5" s="300"/>
      <c r="E5" s="300"/>
      <c r="F5" s="300"/>
      <c r="G5" s="300"/>
      <c r="H5" s="300"/>
      <c r="I5" s="300"/>
      <c r="J5" s="300"/>
      <c r="K5" s="300"/>
    </row>
    <row r="6" spans="1:11" ht="15.75">
      <c r="A6" s="306" t="s">
        <v>78</v>
      </c>
      <c r="B6" s="312">
        <v>1.3884902020173964</v>
      </c>
      <c r="C6" s="305"/>
      <c r="D6" s="305">
        <v>3.3110847535138079</v>
      </c>
      <c r="E6" s="305">
        <v>10.494994051790096</v>
      </c>
      <c r="F6" s="305"/>
      <c r="G6" s="305"/>
      <c r="H6" s="305">
        <v>1.8351247425062329</v>
      </c>
      <c r="I6" s="305">
        <v>9.9556529577361133</v>
      </c>
      <c r="J6" s="305">
        <v>1.8103380194101062</v>
      </c>
      <c r="K6" s="305">
        <v>28.795684726973754</v>
      </c>
    </row>
    <row r="7" spans="1:11" ht="15.75">
      <c r="A7" s="306" t="s">
        <v>79</v>
      </c>
      <c r="B7" s="305"/>
      <c r="C7" s="305"/>
      <c r="D7" s="312">
        <v>38.361881676283886</v>
      </c>
      <c r="E7" s="305">
        <v>8.4067737661287986E-2</v>
      </c>
      <c r="F7" s="305"/>
      <c r="G7" s="305"/>
      <c r="H7" s="305">
        <v>2.8949414869669079</v>
      </c>
      <c r="I7" s="305">
        <v>0.89186890806551777</v>
      </c>
      <c r="J7" s="305"/>
      <c r="K7" s="305">
        <v>42.232759808977598</v>
      </c>
    </row>
    <row r="8" spans="1:11">
      <c r="A8" s="303" t="s">
        <v>80</v>
      </c>
      <c r="B8" s="305">
        <v>0</v>
      </c>
      <c r="C8" s="305"/>
      <c r="D8" s="305">
        <v>6.7005679295957643</v>
      </c>
      <c r="E8" s="305">
        <v>14.533749468475101</v>
      </c>
      <c r="F8" s="305"/>
      <c r="G8" s="305"/>
      <c r="H8" s="312">
        <v>4.6160129151116731</v>
      </c>
      <c r="I8" s="305">
        <v>13.873471120627759</v>
      </c>
      <c r="J8" s="305">
        <v>1.3253610960698863</v>
      </c>
      <c r="K8" s="305">
        <v>41.049162529880178</v>
      </c>
    </row>
    <row r="9" spans="1:11">
      <c r="A9" s="303" t="s">
        <v>81</v>
      </c>
      <c r="B9" s="305">
        <v>6.1426658136617469E-2</v>
      </c>
      <c r="C9" s="305"/>
      <c r="D9" s="305">
        <v>2.294081628046909</v>
      </c>
      <c r="E9" s="305">
        <v>5.9093799275223491</v>
      </c>
      <c r="F9" s="305"/>
      <c r="G9" s="305"/>
      <c r="H9" s="312">
        <v>1.2236531460535565</v>
      </c>
      <c r="I9" s="305">
        <v>11.937063274925904</v>
      </c>
      <c r="J9" s="305">
        <v>0.53425976252893026</v>
      </c>
      <c r="K9" s="305">
        <v>21.959864397214265</v>
      </c>
    </row>
    <row r="10" spans="1:11">
      <c r="A10" s="303" t="s">
        <v>82</v>
      </c>
      <c r="B10" s="305"/>
      <c r="C10" s="305"/>
      <c r="D10" s="305">
        <v>3.371</v>
      </c>
      <c r="E10" s="305">
        <v>0.20038837309893262</v>
      </c>
      <c r="F10" s="305"/>
      <c r="G10" s="305"/>
      <c r="H10" s="305">
        <v>0.15947740517817902</v>
      </c>
      <c r="I10" s="305">
        <v>0.74651762682717115</v>
      </c>
      <c r="J10" s="305"/>
      <c r="K10" s="305">
        <v>4.4773834051042822</v>
      </c>
    </row>
    <row r="11" spans="1:11" ht="15.75">
      <c r="A11" s="304" t="s">
        <v>83</v>
      </c>
      <c r="B11" s="313">
        <v>1.4499168601540138</v>
      </c>
      <c r="C11" s="313"/>
      <c r="D11" s="313">
        <v>54.038615987440373</v>
      </c>
      <c r="E11" s="313">
        <v>31.222579558547764</v>
      </c>
      <c r="F11" s="313"/>
      <c r="G11" s="313"/>
      <c r="H11" s="313">
        <v>10.72920969581655</v>
      </c>
      <c r="I11" s="313">
        <v>37.404573888182469</v>
      </c>
      <c r="J11" s="313"/>
      <c r="K11" s="313">
        <v>134.84489599014117</v>
      </c>
    </row>
    <row r="12" spans="1:11">
      <c r="A12" s="303" t="s">
        <v>84</v>
      </c>
      <c r="B12" s="305">
        <v>0.30481003053267108</v>
      </c>
      <c r="C12" s="305"/>
      <c r="D12" s="305">
        <v>12.44809233451895</v>
      </c>
      <c r="E12" s="305">
        <v>1.1015358194081886</v>
      </c>
      <c r="F12" s="305"/>
      <c r="G12" s="305"/>
      <c r="H12" s="305"/>
      <c r="I12" s="305"/>
      <c r="J12" s="305"/>
      <c r="K12" s="305">
        <v>13.854438184459809</v>
      </c>
    </row>
    <row r="13" spans="1:11" ht="15.75">
      <c r="A13" s="304" t="s">
        <v>85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</row>
    <row r="15" spans="1:11" ht="21">
      <c r="A15" s="307"/>
      <c r="B15" s="307"/>
      <c r="C15" s="307"/>
      <c r="D15" s="307"/>
      <c r="E15" s="308" t="s">
        <v>221</v>
      </c>
      <c r="F15" s="307"/>
      <c r="G15" s="307"/>
      <c r="H15" s="307"/>
      <c r="I15" s="307"/>
      <c r="J15" s="307"/>
      <c r="K15" s="307"/>
    </row>
    <row r="17" spans="1:11">
      <c r="A17" s="311" t="s">
        <v>220</v>
      </c>
      <c r="B17" s="300"/>
      <c r="C17" s="300"/>
      <c r="D17" s="300"/>
      <c r="E17" s="300"/>
      <c r="F17" s="300"/>
      <c r="G17" s="300"/>
      <c r="H17" s="300"/>
      <c r="I17" s="300"/>
      <c r="J17" s="300"/>
      <c r="K17" s="300"/>
    </row>
    <row r="18" spans="1:11" ht="15.75">
      <c r="A18" s="306" t="s">
        <v>78</v>
      </c>
      <c r="B18" s="305">
        <v>-0.33918093707456642</v>
      </c>
      <c r="C18" s="305"/>
      <c r="D18" s="305">
        <v>-0.95447529303598744</v>
      </c>
      <c r="E18" s="305">
        <v>-0.29115755854525993</v>
      </c>
      <c r="F18" s="305"/>
      <c r="G18" s="305"/>
      <c r="H18" s="305">
        <v>-0.46957109771785044</v>
      </c>
      <c r="I18" s="305">
        <v>0.11389920249186147</v>
      </c>
      <c r="J18" s="305">
        <v>-0.66880329575923958</v>
      </c>
      <c r="K18" s="305">
        <v>-2.87286801490065</v>
      </c>
    </row>
    <row r="19" spans="1:11" ht="15.75">
      <c r="A19" s="306" t="s">
        <v>79</v>
      </c>
      <c r="B19" s="305">
        <v>0</v>
      </c>
      <c r="C19" s="305"/>
      <c r="D19" s="314">
        <v>1.445118323716116</v>
      </c>
      <c r="E19" s="305">
        <v>-1.7852311566213724E-2</v>
      </c>
      <c r="F19" s="305"/>
      <c r="G19" s="305"/>
      <c r="H19" s="305">
        <v>5.3213934834945409E-2</v>
      </c>
      <c r="I19" s="305">
        <v>5.2843043783149524E-2</v>
      </c>
      <c r="J19" s="305">
        <v>0</v>
      </c>
      <c r="K19" s="305">
        <v>1.5333229907679993</v>
      </c>
    </row>
    <row r="20" spans="1:11">
      <c r="A20" s="303" t="s">
        <v>80</v>
      </c>
      <c r="B20" s="305">
        <v>3.6764196608413298E-2</v>
      </c>
      <c r="C20" s="305"/>
      <c r="D20" s="305">
        <v>-2.527251854115331E-2</v>
      </c>
      <c r="E20" s="305">
        <v>-2.7512058961250272</v>
      </c>
      <c r="F20" s="305"/>
      <c r="G20" s="305"/>
      <c r="H20" s="305">
        <v>4.2224628558600852</v>
      </c>
      <c r="I20" s="305">
        <v>-0.25310406248511974</v>
      </c>
      <c r="J20" s="305">
        <v>-0.11351673306802224</v>
      </c>
      <c r="K20" s="305">
        <v>-1.3152724484181135</v>
      </c>
    </row>
    <row r="21" spans="1:11">
      <c r="A21" s="303" t="s">
        <v>81</v>
      </c>
      <c r="B21" s="305">
        <v>-1.835326584075557E-2</v>
      </c>
      <c r="C21" s="305"/>
      <c r="D21" s="305">
        <v>0.72138401659326323</v>
      </c>
      <c r="E21" s="305">
        <v>1.2293964017069836</v>
      </c>
      <c r="F21" s="305"/>
      <c r="G21" s="305"/>
      <c r="H21" s="305">
        <v>-0.32707070573243202</v>
      </c>
      <c r="I21" s="305">
        <v>0.76430220157386941</v>
      </c>
      <c r="J21" s="305">
        <v>0.17649371251075074</v>
      </c>
      <c r="K21" s="305">
        <v>1.6888670650480151</v>
      </c>
    </row>
    <row r="22" spans="1:11">
      <c r="A22" s="303" t="s">
        <v>82</v>
      </c>
      <c r="B22" s="305">
        <v>2.2137192704974398E-3</v>
      </c>
      <c r="C22" s="305"/>
      <c r="D22" s="305">
        <v>0</v>
      </c>
      <c r="E22" s="305">
        <v>0</v>
      </c>
      <c r="F22" s="305"/>
      <c r="G22" s="305"/>
      <c r="H22" s="305">
        <v>0</v>
      </c>
      <c r="I22" s="305">
        <v>0</v>
      </c>
      <c r="J22" s="305">
        <v>6.4536710533781346E-3</v>
      </c>
      <c r="K22" s="305">
        <v>8.6673903238754235E-3</v>
      </c>
    </row>
    <row r="23" spans="1:11" ht="15.75">
      <c r="A23" s="304" t="s">
        <v>83</v>
      </c>
      <c r="B23" s="313">
        <v>-0.31855628703641115</v>
      </c>
      <c r="C23" s="313"/>
      <c r="D23" s="313">
        <v>1.1867545287322372</v>
      </c>
      <c r="E23" s="313">
        <v>-1.8308193645295177</v>
      </c>
      <c r="F23" s="313"/>
      <c r="G23" s="313"/>
      <c r="H23" s="313">
        <v>3.4790349872447468</v>
      </c>
      <c r="I23" s="313">
        <v>0.67786761383800354</v>
      </c>
      <c r="J23" s="313">
        <v>3.0705862327457898</v>
      </c>
      <c r="K23" s="313">
        <v>2.7126758608300463</v>
      </c>
    </row>
    <row r="24" spans="1:11">
      <c r="A24" s="303" t="s">
        <v>84</v>
      </c>
      <c r="B24" s="305">
        <v>1.9410438238792738E-4</v>
      </c>
      <c r="C24" s="305"/>
      <c r="D24" s="305">
        <v>4.9076654810491505E-3</v>
      </c>
      <c r="E24" s="305">
        <v>5.0421916540477341E-5</v>
      </c>
      <c r="F24" s="305"/>
      <c r="G24" s="305"/>
      <c r="H24" s="305">
        <v>0</v>
      </c>
      <c r="I24" s="305">
        <v>0</v>
      </c>
      <c r="J24" s="305">
        <v>0</v>
      </c>
      <c r="K24" s="305">
        <v>5.1521917799774997E-3</v>
      </c>
    </row>
    <row r="25" spans="1:11" ht="15.75">
      <c r="A25" s="304" t="s">
        <v>85</v>
      </c>
      <c r="B25" s="313">
        <v>1.4363647080326616</v>
      </c>
      <c r="C25" s="313"/>
      <c r="D25" s="313">
        <v>67.678370516172606</v>
      </c>
      <c r="E25" s="313">
        <v>30.493346435342975</v>
      </c>
      <c r="F25" s="313"/>
      <c r="G25" s="313"/>
      <c r="H25" s="313">
        <v>14.208244683061297</v>
      </c>
      <c r="I25" s="313">
        <v>38.082441502020473</v>
      </c>
      <c r="J25" s="313">
        <v>3.0705862327457898</v>
      </c>
      <c r="K25" s="313">
        <v>151.41716222721098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L75"/>
  <sheetViews>
    <sheetView workbookViewId="0"/>
  </sheetViews>
  <sheetFormatPr baseColWidth="10" defaultRowHeight="15"/>
  <sheetData>
    <row r="1" spans="1:12">
      <c r="A1">
        <v>2015</v>
      </c>
    </row>
    <row r="2" spans="1:12">
      <c r="A2" t="s">
        <v>128</v>
      </c>
      <c r="B2" t="s">
        <v>57</v>
      </c>
      <c r="C2" t="s">
        <v>207</v>
      </c>
      <c r="D2" t="s">
        <v>105</v>
      </c>
      <c r="E2" t="s">
        <v>42</v>
      </c>
      <c r="F2" t="s">
        <v>134</v>
      </c>
      <c r="G2" t="s">
        <v>54</v>
      </c>
      <c r="H2" t="s">
        <v>208</v>
      </c>
      <c r="I2" t="s">
        <v>209</v>
      </c>
      <c r="J2" t="s">
        <v>210</v>
      </c>
      <c r="K2" t="s">
        <v>211</v>
      </c>
      <c r="L2" t="s">
        <v>10</v>
      </c>
    </row>
    <row r="3" spans="1:12">
      <c r="A3" t="s">
        <v>138</v>
      </c>
      <c r="B3">
        <v>12.5519328150197</v>
      </c>
      <c r="C3">
        <v>5.2870368800138001</v>
      </c>
      <c r="D3">
        <v>6.0440913051639003</v>
      </c>
      <c r="F3">
        <v>3.9201473744425601</v>
      </c>
      <c r="G3">
        <v>55.1774071232783</v>
      </c>
      <c r="H3">
        <v>21.106295900439498</v>
      </c>
      <c r="I3">
        <v>0.98003684361064003</v>
      </c>
      <c r="J3">
        <v>7.8304431965415997</v>
      </c>
      <c r="K3">
        <v>105.06694824196801</v>
      </c>
      <c r="L3">
        <v>112.89739143851</v>
      </c>
    </row>
    <row r="4" spans="1:12">
      <c r="A4" t="s">
        <v>212</v>
      </c>
      <c r="B4">
        <v>6.9037124632711402</v>
      </c>
      <c r="C4">
        <v>1.0774580144989601</v>
      </c>
      <c r="D4">
        <v>1.2370323236909</v>
      </c>
      <c r="E4">
        <v>1.03281341623395</v>
      </c>
      <c r="F4">
        <v>0</v>
      </c>
      <c r="G4">
        <v>8.0421226086564008</v>
      </c>
      <c r="H4">
        <v>2.3840661307587001</v>
      </c>
      <c r="I4">
        <v>1.03281341623395</v>
      </c>
      <c r="J4">
        <v>1.61618702174845</v>
      </c>
      <c r="K4">
        <v>21.710018373343999</v>
      </c>
      <c r="L4">
        <v>23.326205395092401</v>
      </c>
    </row>
    <row r="5" spans="1:12">
      <c r="A5" t="s">
        <v>140</v>
      </c>
      <c r="B5">
        <v>8.9358473663910996</v>
      </c>
      <c r="C5">
        <v>0</v>
      </c>
      <c r="D5">
        <v>0</v>
      </c>
      <c r="E5">
        <v>0</v>
      </c>
      <c r="F5">
        <v>0</v>
      </c>
      <c r="G5">
        <v>4.1110437237771</v>
      </c>
      <c r="H5">
        <v>1.4519374850925</v>
      </c>
      <c r="I5">
        <v>0</v>
      </c>
      <c r="J5">
        <v>0</v>
      </c>
      <c r="K5">
        <v>14.498828575260699</v>
      </c>
      <c r="L5">
        <v>14.498828575260699</v>
      </c>
    </row>
    <row r="6" spans="1:12">
      <c r="A6" t="s">
        <v>141</v>
      </c>
      <c r="B6">
        <v>24.9401523606955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24.9401523606955</v>
      </c>
      <c r="L6">
        <v>24.9401523606955</v>
      </c>
    </row>
    <row r="7" spans="1:12">
      <c r="A7" t="s">
        <v>213</v>
      </c>
      <c r="B7">
        <v>43.880450716373602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43.880450716373602</v>
      </c>
      <c r="L7">
        <v>43.880450716373602</v>
      </c>
    </row>
    <row r="8" spans="1:12">
      <c r="A8" t="s">
        <v>143</v>
      </c>
      <c r="C8">
        <v>5.9124410470313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11.943759318006499</v>
      </c>
      <c r="K8">
        <v>5.9124410470313</v>
      </c>
      <c r="L8">
        <v>17.8562003650378</v>
      </c>
    </row>
    <row r="9" spans="1:12">
      <c r="A9" t="s">
        <v>214</v>
      </c>
      <c r="B9">
        <v>0</v>
      </c>
      <c r="C9">
        <v>0</v>
      </c>
      <c r="D9">
        <v>0</v>
      </c>
      <c r="E9">
        <v>1.2866889215937001</v>
      </c>
      <c r="F9">
        <v>0</v>
      </c>
      <c r="G9">
        <v>2.5572921097845001</v>
      </c>
      <c r="H9">
        <v>0</v>
      </c>
      <c r="I9">
        <v>0</v>
      </c>
      <c r="J9">
        <v>0</v>
      </c>
      <c r="K9">
        <v>3.8439810313781999</v>
      </c>
      <c r="L9">
        <v>3.8439810313781999</v>
      </c>
    </row>
    <row r="10" spans="1:12">
      <c r="A10" t="s">
        <v>215</v>
      </c>
      <c r="B10">
        <v>97.212095721750998</v>
      </c>
      <c r="C10">
        <v>12.2769359415441</v>
      </c>
      <c r="D10">
        <v>7.2811236288548002</v>
      </c>
      <c r="E10">
        <v>2.3195023378276498</v>
      </c>
      <c r="F10">
        <v>3.9201473744425601</v>
      </c>
      <c r="G10">
        <v>69.887865565496298</v>
      </c>
      <c r="H10">
        <v>24.942299516290699</v>
      </c>
      <c r="I10">
        <v>2.0128502598445901</v>
      </c>
      <c r="J10">
        <v>21.390389536296599</v>
      </c>
      <c r="K10">
        <v>219.852820346052</v>
      </c>
      <c r="L10">
        <v>241.243209882348</v>
      </c>
    </row>
    <row r="11" spans="1:12">
      <c r="A11" t="s">
        <v>216</v>
      </c>
      <c r="B11">
        <v>27.679951884962101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27.679951884962101</v>
      </c>
      <c r="L11">
        <v>27.679951884962101</v>
      </c>
    </row>
    <row r="12" spans="1:12">
      <c r="A12" t="s">
        <v>10</v>
      </c>
      <c r="B12">
        <v>124.89204760671301</v>
      </c>
      <c r="C12">
        <v>12.2769359415441</v>
      </c>
      <c r="D12">
        <v>7.2811236288548002</v>
      </c>
      <c r="E12">
        <v>2.3195023378276498</v>
      </c>
      <c r="F12">
        <v>3.9201473744425601</v>
      </c>
      <c r="G12">
        <v>69.887865565496298</v>
      </c>
      <c r="H12">
        <v>24.942299516290699</v>
      </c>
      <c r="I12">
        <v>2.0128502598445901</v>
      </c>
      <c r="J12">
        <v>21.390389536296599</v>
      </c>
      <c r="K12">
        <v>247.53277223101401</v>
      </c>
      <c r="L12">
        <v>268.92316176730998</v>
      </c>
    </row>
    <row r="13" spans="1:12">
      <c r="A13" t="s">
        <v>217</v>
      </c>
    </row>
    <row r="14" spans="1:12">
      <c r="A14" t="s">
        <v>218</v>
      </c>
    </row>
    <row r="17" spans="1:12">
      <c r="A17">
        <v>2020</v>
      </c>
    </row>
    <row r="18" spans="1:12">
      <c r="A18" t="s">
        <v>128</v>
      </c>
      <c r="B18" t="s">
        <v>57</v>
      </c>
      <c r="C18" t="s">
        <v>207</v>
      </c>
      <c r="D18" t="s">
        <v>105</v>
      </c>
      <c r="E18" t="s">
        <v>42</v>
      </c>
      <c r="F18" t="s">
        <v>134</v>
      </c>
      <c r="G18" t="s">
        <v>54</v>
      </c>
      <c r="H18" t="s">
        <v>208</v>
      </c>
      <c r="I18" t="s">
        <v>209</v>
      </c>
      <c r="J18" t="s">
        <v>210</v>
      </c>
      <c r="K18" t="s">
        <v>211</v>
      </c>
      <c r="L18" t="s">
        <v>10</v>
      </c>
    </row>
    <row r="19" spans="1:12">
      <c r="A19" t="s">
        <v>138</v>
      </c>
      <c r="B19">
        <v>10.3742757878855</v>
      </c>
      <c r="C19">
        <v>6.1002330193981003</v>
      </c>
      <c r="D19">
        <v>4.8012381348690996</v>
      </c>
      <c r="F19">
        <v>4.7207015465331201</v>
      </c>
      <c r="G19">
        <v>48.617576303646601</v>
      </c>
      <c r="H19">
        <v>14.4330293124561</v>
      </c>
      <c r="I19">
        <v>1.18017538663328</v>
      </c>
      <c r="J19">
        <v>9.1571461976879007</v>
      </c>
      <c r="K19">
        <v>90.227229491421795</v>
      </c>
      <c r="L19">
        <v>99.384375689109703</v>
      </c>
    </row>
    <row r="20" spans="1:12">
      <c r="A20" t="s">
        <v>212</v>
      </c>
      <c r="B20">
        <v>6.7699876877453198</v>
      </c>
      <c r="C20">
        <v>2.1378908487616801</v>
      </c>
      <c r="D20">
        <v>1.2322317177116</v>
      </c>
      <c r="E20">
        <v>0.89967193568838</v>
      </c>
      <c r="F20">
        <v>0</v>
      </c>
      <c r="G20">
        <v>6.2169602451413999</v>
      </c>
      <c r="H20">
        <v>1.2070758173613001</v>
      </c>
      <c r="I20">
        <v>2.0992345166062201</v>
      </c>
      <c r="J20">
        <v>3.2068362731425202</v>
      </c>
      <c r="K20">
        <v>20.563052769015901</v>
      </c>
      <c r="L20">
        <v>23.7698890421584</v>
      </c>
    </row>
    <row r="21" spans="1:12">
      <c r="A21" t="s">
        <v>140</v>
      </c>
      <c r="B21">
        <v>10.5272361865745</v>
      </c>
      <c r="C21">
        <v>0</v>
      </c>
      <c r="D21">
        <v>0</v>
      </c>
      <c r="E21">
        <v>0</v>
      </c>
      <c r="F21">
        <v>0</v>
      </c>
      <c r="G21">
        <v>3.609606004083</v>
      </c>
      <c r="H21">
        <v>1.1084107534645</v>
      </c>
      <c r="I21">
        <v>0</v>
      </c>
      <c r="K21">
        <v>15.245252944122001</v>
      </c>
      <c r="L21">
        <v>15.245252944122001</v>
      </c>
    </row>
    <row r="22" spans="1:12">
      <c r="A22" t="s">
        <v>141</v>
      </c>
      <c r="B22">
        <v>23.389235120450699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23.389235120450699</v>
      </c>
      <c r="L22">
        <v>23.389235120450699</v>
      </c>
    </row>
    <row r="23" spans="1:12">
      <c r="A23" t="s">
        <v>213</v>
      </c>
      <c r="B23">
        <v>46.6814996815285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46.6814996815285</v>
      </c>
      <c r="L23">
        <v>46.6814996815285</v>
      </c>
    </row>
    <row r="24" spans="1:12">
      <c r="A24" t="s">
        <v>143</v>
      </c>
      <c r="C24">
        <v>6.1479590102429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15.215325420320401</v>
      </c>
      <c r="K24">
        <v>6.1479590102429</v>
      </c>
      <c r="L24">
        <v>21.363284430563301</v>
      </c>
    </row>
    <row r="25" spans="1:12">
      <c r="A25" t="s">
        <v>214</v>
      </c>
      <c r="B25">
        <v>0.22503356683190001</v>
      </c>
      <c r="C25">
        <v>0</v>
      </c>
      <c r="D25">
        <v>0</v>
      </c>
      <c r="E25">
        <v>0.90013426732760005</v>
      </c>
      <c r="F25">
        <v>0</v>
      </c>
      <c r="G25">
        <v>2.2363983456957999</v>
      </c>
      <c r="H25">
        <v>0</v>
      </c>
      <c r="I25">
        <v>0</v>
      </c>
      <c r="K25">
        <v>3.3615661798552998</v>
      </c>
      <c r="L25">
        <v>3.3615661798552998</v>
      </c>
    </row>
    <row r="26" spans="1:12">
      <c r="A26" t="s">
        <v>215</v>
      </c>
      <c r="B26">
        <v>97.967268031016403</v>
      </c>
      <c r="C26">
        <v>14.3860828784027</v>
      </c>
      <c r="D26">
        <v>6.0334698525806996</v>
      </c>
      <c r="E26">
        <v>1.79980620301598</v>
      </c>
      <c r="F26">
        <v>4.7207015465331201</v>
      </c>
      <c r="G26">
        <v>60.680540898566797</v>
      </c>
      <c r="H26">
        <v>16.7485158832819</v>
      </c>
      <c r="I26">
        <v>3.2794099032394999</v>
      </c>
      <c r="J26">
        <v>27.579307891150801</v>
      </c>
      <c r="K26">
        <v>205.61579519663701</v>
      </c>
      <c r="L26">
        <v>233.195103087788</v>
      </c>
    </row>
    <row r="27" spans="1:12">
      <c r="A27" t="s">
        <v>216</v>
      </c>
      <c r="B27">
        <v>26.994931226968699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v>26.994931226968699</v>
      </c>
      <c r="L27">
        <v>26.994931226968699</v>
      </c>
    </row>
    <row r="28" spans="1:12">
      <c r="A28" t="s">
        <v>10</v>
      </c>
      <c r="B28">
        <v>124.96219925798501</v>
      </c>
      <c r="C28">
        <v>14.3860828784027</v>
      </c>
      <c r="D28">
        <v>6.0334698525806996</v>
      </c>
      <c r="E28">
        <v>1.79980620301598</v>
      </c>
      <c r="F28">
        <v>4.7207015465331201</v>
      </c>
      <c r="G28">
        <v>60.680540898566797</v>
      </c>
      <c r="H28">
        <v>16.7485158832819</v>
      </c>
      <c r="I28">
        <v>3.2794099032394999</v>
      </c>
      <c r="J28">
        <v>27.579307891150801</v>
      </c>
      <c r="K28">
        <v>232.610726423606</v>
      </c>
      <c r="L28">
        <v>260.19003431475699</v>
      </c>
    </row>
    <row r="29" spans="1:12">
      <c r="A29" t="s">
        <v>217</v>
      </c>
    </row>
    <row r="30" spans="1:12">
      <c r="A30" t="s">
        <v>218</v>
      </c>
    </row>
    <row r="32" spans="1:12">
      <c r="A32">
        <v>2025</v>
      </c>
    </row>
    <row r="33" spans="1:12">
      <c r="A33" t="s">
        <v>128</v>
      </c>
      <c r="B33" t="s">
        <v>57</v>
      </c>
      <c r="C33" t="s">
        <v>207</v>
      </c>
      <c r="D33" t="s">
        <v>105</v>
      </c>
      <c r="E33" t="s">
        <v>42</v>
      </c>
      <c r="F33" t="s">
        <v>134</v>
      </c>
      <c r="G33" t="s">
        <v>54</v>
      </c>
      <c r="H33" t="s">
        <v>208</v>
      </c>
      <c r="I33" t="s">
        <v>209</v>
      </c>
      <c r="J33" t="s">
        <v>210</v>
      </c>
      <c r="K33" t="s">
        <v>211</v>
      </c>
      <c r="L33" t="s">
        <v>10</v>
      </c>
    </row>
    <row r="34" spans="1:12">
      <c r="A34" t="s">
        <v>138</v>
      </c>
      <c r="B34">
        <v>8.9718125061079999</v>
      </c>
      <c r="C34">
        <v>7.5244428280336004</v>
      </c>
      <c r="D34">
        <v>4.1448280467982999</v>
      </c>
      <c r="F34">
        <v>5.7574771280624804</v>
      </c>
      <c r="G34">
        <v>39.004453813544799</v>
      </c>
      <c r="H34">
        <v>8.9939273059531999</v>
      </c>
      <c r="I34">
        <v>1.4393692820156201</v>
      </c>
      <c r="J34">
        <v>11.4217194648713</v>
      </c>
      <c r="K34">
        <v>75.836310910516005</v>
      </c>
      <c r="L34">
        <v>87.258030375387307</v>
      </c>
    </row>
    <row r="35" spans="1:12">
      <c r="A35" t="s">
        <v>212</v>
      </c>
      <c r="B35">
        <v>5.2475986366028398</v>
      </c>
      <c r="C35">
        <v>3.4983990910685598</v>
      </c>
      <c r="D35">
        <v>1.1963054104524999</v>
      </c>
      <c r="E35">
        <v>0.73455761130816</v>
      </c>
      <c r="F35">
        <v>0</v>
      </c>
      <c r="G35">
        <v>4.5534877411513</v>
      </c>
      <c r="H35">
        <v>0.30731067968190001</v>
      </c>
      <c r="I35">
        <v>2.93823044523264</v>
      </c>
      <c r="J35">
        <v>5.2475986366028398</v>
      </c>
      <c r="K35">
        <v>18.475889615497898</v>
      </c>
      <c r="L35">
        <v>23.723488252100701</v>
      </c>
    </row>
    <row r="36" spans="1:12">
      <c r="A36" t="s">
        <v>140</v>
      </c>
      <c r="B36">
        <v>11.2851059106452</v>
      </c>
      <c r="C36">
        <v>0</v>
      </c>
      <c r="D36">
        <v>0</v>
      </c>
      <c r="E36">
        <v>0</v>
      </c>
      <c r="F36">
        <v>0</v>
      </c>
      <c r="G36">
        <v>3.0165698263876002</v>
      </c>
      <c r="H36">
        <v>0.82147656588960005</v>
      </c>
      <c r="I36">
        <v>0</v>
      </c>
      <c r="K36">
        <v>15.123152302922399</v>
      </c>
      <c r="L36">
        <v>15.123152302922399</v>
      </c>
    </row>
    <row r="37" spans="1:12">
      <c r="A37" t="s">
        <v>141</v>
      </c>
      <c r="B37">
        <v>19.375331905517701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19.375331905517701</v>
      </c>
      <c r="L37">
        <v>19.375331905517701</v>
      </c>
    </row>
    <row r="38" spans="1:12">
      <c r="A38" t="s">
        <v>213</v>
      </c>
      <c r="B38">
        <v>46.354708094036098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46.354708094036098</v>
      </c>
      <c r="L38">
        <v>46.354708094036098</v>
      </c>
    </row>
    <row r="39" spans="1:12">
      <c r="A39" t="s">
        <v>143</v>
      </c>
      <c r="C39">
        <v>6.0004736135138002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14.8503200092174</v>
      </c>
      <c r="K39">
        <v>6.0004736135138002</v>
      </c>
      <c r="L39">
        <v>20.850793622731199</v>
      </c>
    </row>
    <row r="40" spans="1:12">
      <c r="A40" t="s">
        <v>214</v>
      </c>
      <c r="B40">
        <v>0.57553934335914003</v>
      </c>
      <c r="D40">
        <v>0</v>
      </c>
      <c r="E40">
        <v>0.38369289557275998</v>
      </c>
      <c r="F40">
        <v>0</v>
      </c>
      <c r="G40">
        <v>1.9118461767073001</v>
      </c>
      <c r="H40">
        <v>0</v>
      </c>
      <c r="I40">
        <v>0</v>
      </c>
      <c r="K40">
        <v>2.8710784156392002</v>
      </c>
      <c r="L40">
        <v>2.8710784156392002</v>
      </c>
    </row>
    <row r="41" spans="1:12">
      <c r="A41" t="s">
        <v>215</v>
      </c>
      <c r="B41">
        <v>91.810096396269003</v>
      </c>
      <c r="C41">
        <v>17.023315532616</v>
      </c>
      <c r="D41">
        <v>5.3411334572508</v>
      </c>
      <c r="E41">
        <v>1.1182505068809201</v>
      </c>
      <c r="F41">
        <v>5.7574771280624804</v>
      </c>
      <c r="G41">
        <v>48.486357557791003</v>
      </c>
      <c r="H41">
        <v>10.1227145515247</v>
      </c>
      <c r="I41">
        <v>4.3775997272482599</v>
      </c>
      <c r="J41">
        <v>31.519638110691499</v>
      </c>
      <c r="K41">
        <v>184.03694485764299</v>
      </c>
      <c r="L41">
        <v>215.55658296833499</v>
      </c>
    </row>
    <row r="42" spans="1:12">
      <c r="A42" t="s">
        <v>216</v>
      </c>
      <c r="B42">
        <v>26.309910568975301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26.309910568975301</v>
      </c>
      <c r="L42">
        <v>26.309910568975301</v>
      </c>
    </row>
    <row r="43" spans="1:12">
      <c r="A43" t="s">
        <v>10</v>
      </c>
      <c r="B43">
        <v>118.120006965244</v>
      </c>
      <c r="C43">
        <v>17.023315532616</v>
      </c>
      <c r="D43">
        <v>5.3411334572508</v>
      </c>
      <c r="E43">
        <v>1.1182505068809201</v>
      </c>
      <c r="F43">
        <v>5.7574771280624804</v>
      </c>
      <c r="G43">
        <v>48.486357557791003</v>
      </c>
      <c r="H43">
        <v>10.1227145515247</v>
      </c>
      <c r="I43">
        <v>4.3775997272482599</v>
      </c>
      <c r="J43">
        <v>31.519638110691499</v>
      </c>
      <c r="K43">
        <v>210.34685542661799</v>
      </c>
      <c r="L43">
        <v>241.86649353730999</v>
      </c>
    </row>
    <row r="44" spans="1:12">
      <c r="A44" t="s">
        <v>217</v>
      </c>
    </row>
    <row r="45" spans="1:12">
      <c r="A45" t="s">
        <v>218</v>
      </c>
    </row>
    <row r="47" spans="1:12">
      <c r="A47">
        <v>2030</v>
      </c>
    </row>
    <row r="48" spans="1:12">
      <c r="A48" t="s">
        <v>128</v>
      </c>
      <c r="B48" t="s">
        <v>57</v>
      </c>
      <c r="C48" t="s">
        <v>207</v>
      </c>
      <c r="D48" t="s">
        <v>105</v>
      </c>
      <c r="E48" t="s">
        <v>42</v>
      </c>
      <c r="F48" t="s">
        <v>134</v>
      </c>
      <c r="G48" t="s">
        <v>54</v>
      </c>
      <c r="H48" t="s">
        <v>208</v>
      </c>
      <c r="I48" t="s">
        <v>209</v>
      </c>
      <c r="J48" t="s">
        <v>210</v>
      </c>
      <c r="K48" t="s">
        <v>211</v>
      </c>
      <c r="L48" t="s">
        <v>10</v>
      </c>
    </row>
    <row r="49" spans="1:12">
      <c r="A49" t="s">
        <v>138</v>
      </c>
      <c r="B49">
        <v>7.9865806915524002</v>
      </c>
      <c r="C49">
        <v>9.2211616891774</v>
      </c>
      <c r="D49">
        <v>4.1797717793542999</v>
      </c>
      <c r="F49">
        <v>7.0537868434781599</v>
      </c>
      <c r="G49">
        <v>27.7414380005239</v>
      </c>
      <c r="H49">
        <v>4.0007689276751002</v>
      </c>
      <c r="I49">
        <v>1.76344671086954</v>
      </c>
      <c r="J49">
        <v>14.106786738135799</v>
      </c>
      <c r="K49">
        <v>61.9469546426308</v>
      </c>
      <c r="L49">
        <v>76.053741380766596</v>
      </c>
    </row>
    <row r="50" spans="1:12">
      <c r="A50" t="s">
        <v>212</v>
      </c>
      <c r="B50">
        <v>4.1300172223687497</v>
      </c>
      <c r="C50">
        <v>4.1300172223687497</v>
      </c>
      <c r="D50">
        <v>0.8946934460707</v>
      </c>
      <c r="E50">
        <v>0</v>
      </c>
      <c r="F50">
        <v>0</v>
      </c>
      <c r="G50">
        <v>3.6379629672113998</v>
      </c>
      <c r="H50">
        <v>0.19343554945649999</v>
      </c>
      <c r="I50">
        <v>3.7384479607226</v>
      </c>
      <c r="J50">
        <v>6.1950258335531201</v>
      </c>
      <c r="K50">
        <v>16.724574368198699</v>
      </c>
      <c r="L50">
        <v>22.919600201751798</v>
      </c>
    </row>
    <row r="51" spans="1:12">
      <c r="A51" t="s">
        <v>140</v>
      </c>
      <c r="B51">
        <v>11.8721780932577</v>
      </c>
      <c r="C51">
        <v>0</v>
      </c>
      <c r="D51">
        <v>0</v>
      </c>
      <c r="E51">
        <v>0</v>
      </c>
      <c r="F51">
        <v>0</v>
      </c>
      <c r="G51">
        <v>2.5273881171479</v>
      </c>
      <c r="H51">
        <v>0.61166542466829998</v>
      </c>
      <c r="I51">
        <v>0</v>
      </c>
      <c r="K51">
        <v>15.0112316350739</v>
      </c>
      <c r="L51">
        <v>15.0112316350739</v>
      </c>
    </row>
    <row r="52" spans="1:12">
      <c r="A52" t="s">
        <v>141</v>
      </c>
      <c r="B52">
        <v>15.2848315075233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15.2848315075233</v>
      </c>
      <c r="L52">
        <v>15.2848315075233</v>
      </c>
    </row>
    <row r="53" spans="1:12">
      <c r="A53" t="s">
        <v>213</v>
      </c>
      <c r="B53">
        <v>45.907009040287299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45.907009040287299</v>
      </c>
      <c r="L53">
        <v>45.907009040287299</v>
      </c>
    </row>
    <row r="54" spans="1:12">
      <c r="A54" t="s">
        <v>143</v>
      </c>
      <c r="C54">
        <v>6.0856597961760004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18.776315865322498</v>
      </c>
      <c r="K54">
        <v>6.0856597961760004</v>
      </c>
      <c r="L54">
        <v>24.861975661498501</v>
      </c>
    </row>
    <row r="55" spans="1:12">
      <c r="A55" t="s">
        <v>214</v>
      </c>
      <c r="B55">
        <v>0.81988401876299999</v>
      </c>
      <c r="D55">
        <v>0</v>
      </c>
      <c r="E55">
        <v>0</v>
      </c>
      <c r="F55">
        <v>0</v>
      </c>
      <c r="G55">
        <v>1.6393711123813</v>
      </c>
      <c r="H55">
        <v>0</v>
      </c>
      <c r="I55">
        <v>0</v>
      </c>
      <c r="K55">
        <v>2.4592551311443001</v>
      </c>
      <c r="L55">
        <v>2.4592551311443001</v>
      </c>
    </row>
    <row r="56" spans="1:12">
      <c r="A56" t="s">
        <v>215</v>
      </c>
      <c r="B56">
        <v>86.000500573752504</v>
      </c>
      <c r="C56">
        <v>19.436838707722199</v>
      </c>
      <c r="D56">
        <v>5.0744652254249996</v>
      </c>
      <c r="E56">
        <v>0</v>
      </c>
      <c r="F56">
        <v>7.0537868434781599</v>
      </c>
      <c r="G56">
        <v>35.546160197264498</v>
      </c>
      <c r="H56">
        <v>4.8058699017999</v>
      </c>
      <c r="I56">
        <v>5.5018946715921402</v>
      </c>
      <c r="J56">
        <v>39.078128437011401</v>
      </c>
      <c r="K56">
        <v>163.41951612103401</v>
      </c>
      <c r="L56">
        <v>202.49764455804601</v>
      </c>
    </row>
    <row r="57" spans="1:12">
      <c r="A57" t="s">
        <v>216</v>
      </c>
      <c r="B57">
        <v>25.624889910981899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25.624889910981899</v>
      </c>
      <c r="L57">
        <v>25.624889910981899</v>
      </c>
    </row>
    <row r="58" spans="1:12">
      <c r="A58" t="s">
        <v>10</v>
      </c>
      <c r="B58">
        <v>111.625390484734</v>
      </c>
      <c r="C58">
        <v>19.436838707722199</v>
      </c>
      <c r="D58">
        <v>5.0744652254249996</v>
      </c>
      <c r="E58">
        <v>0</v>
      </c>
      <c r="F58">
        <v>7.0537868434781599</v>
      </c>
      <c r="G58">
        <v>35.546160197264498</v>
      </c>
      <c r="H58">
        <v>4.8058699017999</v>
      </c>
      <c r="I58">
        <v>5.5018946715921402</v>
      </c>
      <c r="J58">
        <v>39.078128437011401</v>
      </c>
      <c r="K58">
        <v>189.04440603201601</v>
      </c>
      <c r="L58">
        <v>228.12253446902801</v>
      </c>
    </row>
    <row r="59" spans="1:12">
      <c r="A59" t="s">
        <v>217</v>
      </c>
      <c r="K59">
        <v>0.93576088486563302</v>
      </c>
    </row>
    <row r="60" spans="1:12">
      <c r="A60" t="s">
        <v>218</v>
      </c>
    </row>
    <row r="62" spans="1:12">
      <c r="A62">
        <v>2050</v>
      </c>
    </row>
    <row r="63" spans="1:12">
      <c r="A63" t="s">
        <v>128</v>
      </c>
      <c r="B63" t="s">
        <v>57</v>
      </c>
      <c r="C63" t="s">
        <v>207</v>
      </c>
      <c r="D63" t="s">
        <v>105</v>
      </c>
      <c r="E63" t="s">
        <v>42</v>
      </c>
      <c r="F63" t="s">
        <v>134</v>
      </c>
      <c r="G63" t="s">
        <v>54</v>
      </c>
      <c r="H63" t="s">
        <v>208</v>
      </c>
      <c r="I63" t="s">
        <v>209</v>
      </c>
      <c r="J63" t="s">
        <v>210</v>
      </c>
      <c r="K63" t="s">
        <v>211</v>
      </c>
      <c r="L63" t="s">
        <v>10</v>
      </c>
    </row>
    <row r="64" spans="1:12">
      <c r="A64" t="s">
        <v>138</v>
      </c>
      <c r="B64">
        <v>5.8523640541175004</v>
      </c>
      <c r="C64">
        <v>9.6916384892280991</v>
      </c>
      <c r="D64">
        <v>12.0940616509414</v>
      </c>
      <c r="F64">
        <v>5.7376992755080796</v>
      </c>
      <c r="G64">
        <v>1.6243612661704001</v>
      </c>
      <c r="H64">
        <v>9.9083878957999996E-3</v>
      </c>
      <c r="I64">
        <v>1.4344248188770199</v>
      </c>
      <c r="J64">
        <v>15.069021727073199</v>
      </c>
      <c r="K64">
        <v>36.444457942738303</v>
      </c>
      <c r="L64">
        <v>51.513479669811503</v>
      </c>
    </row>
    <row r="65" spans="1:12">
      <c r="A65" t="s">
        <v>212</v>
      </c>
      <c r="B65">
        <v>0.11976961531749999</v>
      </c>
      <c r="C65">
        <v>4.1300172223687497</v>
      </c>
      <c r="D65">
        <v>0.8946934460707</v>
      </c>
      <c r="E65">
        <v>0</v>
      </c>
      <c r="F65">
        <v>0</v>
      </c>
      <c r="G65">
        <v>1.689494832574</v>
      </c>
      <c r="H65">
        <v>6.1075926729999997E-3</v>
      </c>
      <c r="I65">
        <v>3.3230107511964002</v>
      </c>
      <c r="J65">
        <v>6.1950258335531201</v>
      </c>
      <c r="K65">
        <v>10.1630934602004</v>
      </c>
      <c r="L65">
        <v>16.3581192937535</v>
      </c>
    </row>
    <row r="66" spans="1:12">
      <c r="A66" t="s">
        <v>140</v>
      </c>
      <c r="B66">
        <v>12.139093722674</v>
      </c>
      <c r="C66">
        <v>0</v>
      </c>
      <c r="D66">
        <v>0</v>
      </c>
      <c r="E66">
        <v>0</v>
      </c>
      <c r="F66">
        <v>0</v>
      </c>
      <c r="G66">
        <v>1.3508680727360001</v>
      </c>
      <c r="H66">
        <v>0.2384320247301</v>
      </c>
      <c r="I66">
        <v>0</v>
      </c>
      <c r="K66">
        <v>13.7283938201401</v>
      </c>
      <c r="L66">
        <v>13.7283938201401</v>
      </c>
    </row>
    <row r="67" spans="1:12">
      <c r="A67" t="s">
        <v>141</v>
      </c>
      <c r="B67">
        <v>9.8452476075075008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9.8452476075075008</v>
      </c>
      <c r="L67">
        <v>9.8452476075075008</v>
      </c>
    </row>
    <row r="68" spans="1:12">
      <c r="A68" t="s">
        <v>213</v>
      </c>
      <c r="B68">
        <v>42.907833391588298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42.907833391588298</v>
      </c>
      <c r="L68">
        <v>42.907833391588298</v>
      </c>
    </row>
    <row r="69" spans="1:12">
      <c r="A69" t="s">
        <v>143</v>
      </c>
      <c r="C69">
        <v>6.3631434451273003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v>6.3631434451273003</v>
      </c>
      <c r="L69">
        <v>6.4</v>
      </c>
    </row>
    <row r="70" spans="1:12">
      <c r="A70" t="s">
        <v>214</v>
      </c>
      <c r="B70">
        <v>0.46133931642010001</v>
      </c>
      <c r="D70">
        <v>0</v>
      </c>
      <c r="E70">
        <v>0</v>
      </c>
      <c r="F70">
        <v>0</v>
      </c>
      <c r="G70">
        <v>0.95264690516810002</v>
      </c>
      <c r="H70">
        <v>0</v>
      </c>
      <c r="I70">
        <v>0</v>
      </c>
      <c r="K70">
        <v>1.4139862215882</v>
      </c>
      <c r="L70">
        <v>1.4139862215882</v>
      </c>
    </row>
    <row r="71" spans="1:12">
      <c r="A71" t="s">
        <v>215</v>
      </c>
      <c r="B71">
        <v>71.325647707624896</v>
      </c>
      <c r="C71">
        <v>20.1847991567241</v>
      </c>
      <c r="D71">
        <v>12.988755097012101</v>
      </c>
      <c r="E71">
        <v>0</v>
      </c>
      <c r="F71">
        <v>5.7376992755080796</v>
      </c>
      <c r="G71">
        <v>5.6173710766485003</v>
      </c>
      <c r="H71">
        <v>0.25444800529889999</v>
      </c>
      <c r="I71">
        <v>4.7574355700734197</v>
      </c>
      <c r="J71">
        <v>44.850389616754001</v>
      </c>
      <c r="K71">
        <v>120.86615588889001</v>
      </c>
      <c r="L71">
        <v>165.71654550564401</v>
      </c>
    </row>
    <row r="72" spans="1:12">
      <c r="A72" t="s">
        <v>216</v>
      </c>
      <c r="B72">
        <v>23.9431583804922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v>23.9431583804922</v>
      </c>
      <c r="L72">
        <v>23.9431583804922</v>
      </c>
    </row>
    <row r="73" spans="1:12">
      <c r="A73" t="s">
        <v>10</v>
      </c>
      <c r="B73">
        <v>95.268806088117103</v>
      </c>
      <c r="C73">
        <v>20.1847991567241</v>
      </c>
      <c r="D73">
        <v>12.988755097012101</v>
      </c>
      <c r="E73">
        <v>0</v>
      </c>
      <c r="F73">
        <v>5.7376992755080796</v>
      </c>
      <c r="G73">
        <v>5.6173710766485003</v>
      </c>
      <c r="H73">
        <v>0.25444800529889999</v>
      </c>
      <c r="I73">
        <v>4.7574355700734197</v>
      </c>
      <c r="J73">
        <v>44.850389616754001</v>
      </c>
      <c r="K73">
        <v>144.80931426938201</v>
      </c>
      <c r="L73">
        <v>166.11021838488099</v>
      </c>
    </row>
    <row r="74" spans="1:12">
      <c r="A74" t="s">
        <v>217</v>
      </c>
    </row>
    <row r="75" spans="1:12">
      <c r="A75" t="s">
        <v>218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L59"/>
  <sheetViews>
    <sheetView workbookViewId="0"/>
  </sheetViews>
  <sheetFormatPr baseColWidth="10" defaultRowHeight="15"/>
  <cols>
    <col min="1" max="16384" width="11.42578125" style="300"/>
  </cols>
  <sheetData>
    <row r="1" spans="1:12">
      <c r="A1" s="300">
        <v>2020</v>
      </c>
    </row>
    <row r="2" spans="1:12">
      <c r="A2" s="300" t="s">
        <v>128</v>
      </c>
      <c r="B2" s="300" t="s">
        <v>57</v>
      </c>
      <c r="C2" s="300" t="s">
        <v>207</v>
      </c>
      <c r="D2" s="300" t="s">
        <v>105</v>
      </c>
      <c r="E2" s="300" t="s">
        <v>42</v>
      </c>
      <c r="F2" s="300" t="s">
        <v>134</v>
      </c>
      <c r="G2" s="300" t="s">
        <v>54</v>
      </c>
      <c r="H2" s="300" t="s">
        <v>208</v>
      </c>
      <c r="I2" s="300" t="s">
        <v>209</v>
      </c>
      <c r="J2" s="300" t="s">
        <v>210</v>
      </c>
      <c r="K2" s="300" t="s">
        <v>211</v>
      </c>
      <c r="L2" s="300" t="s">
        <v>10</v>
      </c>
    </row>
    <row r="3" spans="1:12">
      <c r="A3" s="300" t="s">
        <v>138</v>
      </c>
      <c r="B3" s="300">
        <v>10.3742757878855</v>
      </c>
      <c r="C3" s="300">
        <v>6.1002330193981003</v>
      </c>
      <c r="D3" s="300">
        <v>4.8012381348690996</v>
      </c>
      <c r="F3" s="300">
        <v>4.7207015465331201</v>
      </c>
      <c r="G3" s="300">
        <v>48.617576303646601</v>
      </c>
      <c r="H3" s="300">
        <v>14.4330293124561</v>
      </c>
      <c r="I3" s="300">
        <v>1.18017538663328</v>
      </c>
      <c r="J3" s="300">
        <v>9.1571461976879007</v>
      </c>
      <c r="K3" s="300">
        <v>90.227229491421795</v>
      </c>
      <c r="L3" s="300">
        <v>99.384375689109703</v>
      </c>
    </row>
    <row r="4" spans="1:12">
      <c r="A4" s="300" t="s">
        <v>212</v>
      </c>
      <c r="B4" s="300">
        <v>6.7699876877453198</v>
      </c>
      <c r="C4" s="300">
        <v>2.1378908487616801</v>
      </c>
      <c r="D4" s="300">
        <v>1.2322317177116</v>
      </c>
      <c r="E4" s="300">
        <v>0.89967193568838</v>
      </c>
      <c r="F4" s="300">
        <v>0</v>
      </c>
      <c r="G4" s="300">
        <v>6.2169602451413999</v>
      </c>
      <c r="H4" s="300">
        <v>1.2070758173613001</v>
      </c>
      <c r="I4" s="300">
        <v>2.0992345166062201</v>
      </c>
      <c r="J4" s="300">
        <v>3.2068362731425202</v>
      </c>
      <c r="K4" s="300">
        <v>20.563052769015901</v>
      </c>
      <c r="L4" s="300">
        <v>23.7698890421584</v>
      </c>
    </row>
    <row r="5" spans="1:12">
      <c r="A5" s="300" t="s">
        <v>140</v>
      </c>
      <c r="B5" s="300">
        <v>10.5272361865745</v>
      </c>
      <c r="C5" s="300">
        <v>0</v>
      </c>
      <c r="D5" s="300">
        <v>0</v>
      </c>
      <c r="E5" s="300">
        <v>0</v>
      </c>
      <c r="F5" s="300">
        <v>0</v>
      </c>
      <c r="G5" s="300">
        <v>3.609606004083</v>
      </c>
      <c r="H5" s="300">
        <v>1.1084107534645</v>
      </c>
      <c r="I5" s="300">
        <v>0</v>
      </c>
      <c r="K5" s="300">
        <v>15.245252944122001</v>
      </c>
      <c r="L5" s="300">
        <v>15.245252944122001</v>
      </c>
    </row>
    <row r="6" spans="1:12">
      <c r="A6" s="300" t="s">
        <v>141</v>
      </c>
      <c r="B6" s="300">
        <v>23.389235120450699</v>
      </c>
      <c r="C6" s="300">
        <v>0</v>
      </c>
      <c r="D6" s="300">
        <v>0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K6" s="300">
        <v>23.389235120450699</v>
      </c>
      <c r="L6" s="300">
        <v>23.389235120450699</v>
      </c>
    </row>
    <row r="7" spans="1:12">
      <c r="A7" s="300" t="s">
        <v>213</v>
      </c>
      <c r="B7" s="300">
        <v>46.6814996815285</v>
      </c>
      <c r="C7" s="300">
        <v>0</v>
      </c>
      <c r="D7" s="300">
        <v>0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K7" s="300">
        <v>46.6814996815285</v>
      </c>
      <c r="L7" s="300">
        <v>46.6814996815285</v>
      </c>
    </row>
    <row r="8" spans="1:12">
      <c r="A8" s="300" t="s">
        <v>143</v>
      </c>
      <c r="C8" s="300">
        <v>6.1479590102429</v>
      </c>
      <c r="D8" s="300">
        <v>0</v>
      </c>
      <c r="E8" s="300">
        <v>0</v>
      </c>
      <c r="F8" s="300">
        <v>0</v>
      </c>
      <c r="G8" s="300">
        <v>0</v>
      </c>
      <c r="H8" s="300">
        <v>0</v>
      </c>
      <c r="I8" s="300">
        <v>0</v>
      </c>
      <c r="J8" s="300">
        <v>15.215325420320401</v>
      </c>
      <c r="K8" s="300">
        <v>6.1479590102429</v>
      </c>
      <c r="L8" s="300">
        <v>21.363284430563301</v>
      </c>
    </row>
    <row r="9" spans="1:12">
      <c r="A9" s="300" t="s">
        <v>214</v>
      </c>
      <c r="B9" s="300">
        <v>0.22503356683190001</v>
      </c>
      <c r="C9" s="300">
        <v>0</v>
      </c>
      <c r="D9" s="300">
        <v>0</v>
      </c>
      <c r="E9" s="300">
        <v>0.90013426732760005</v>
      </c>
      <c r="F9" s="300">
        <v>0</v>
      </c>
      <c r="G9" s="300">
        <v>2.2363983456957999</v>
      </c>
      <c r="H9" s="300">
        <v>0</v>
      </c>
      <c r="I9" s="300">
        <v>0</v>
      </c>
      <c r="K9" s="300">
        <v>3.3615661798552998</v>
      </c>
      <c r="L9" s="300">
        <v>3.3615661798552998</v>
      </c>
    </row>
    <row r="10" spans="1:12">
      <c r="A10" s="300" t="s">
        <v>215</v>
      </c>
      <c r="B10" s="300">
        <v>97.967268031016403</v>
      </c>
      <c r="C10" s="300">
        <v>14.3860828784027</v>
      </c>
      <c r="D10" s="300">
        <v>6.0334698525806996</v>
      </c>
      <c r="E10" s="300">
        <v>1.79980620301598</v>
      </c>
      <c r="F10" s="300">
        <v>4.7207015465331201</v>
      </c>
      <c r="G10" s="300">
        <v>60.680540898566797</v>
      </c>
      <c r="H10" s="300">
        <v>16.7485158832819</v>
      </c>
      <c r="I10" s="300">
        <v>3.2794099032394999</v>
      </c>
      <c r="J10" s="300">
        <v>27.579307891150801</v>
      </c>
      <c r="K10" s="300">
        <v>205.61579519663701</v>
      </c>
      <c r="L10" s="300">
        <v>233.195103087788</v>
      </c>
    </row>
    <row r="11" spans="1:12">
      <c r="A11" s="300" t="s">
        <v>216</v>
      </c>
      <c r="B11" s="300">
        <v>26.994931226968699</v>
      </c>
      <c r="C11" s="300">
        <v>0</v>
      </c>
      <c r="D11" s="300">
        <v>0</v>
      </c>
      <c r="E11" s="300">
        <v>0</v>
      </c>
      <c r="F11" s="300">
        <v>0</v>
      </c>
      <c r="G11" s="300">
        <v>0</v>
      </c>
      <c r="H11" s="300">
        <v>0</v>
      </c>
      <c r="I11" s="300">
        <v>0</v>
      </c>
      <c r="K11" s="300">
        <v>26.994931226968699</v>
      </c>
      <c r="L11" s="300">
        <v>26.994931226968699</v>
      </c>
    </row>
    <row r="12" spans="1:12">
      <c r="A12" s="300" t="s">
        <v>10</v>
      </c>
      <c r="B12" s="300">
        <v>124.96219925798501</v>
      </c>
      <c r="C12" s="300">
        <v>14.3860828784027</v>
      </c>
      <c r="D12" s="300">
        <v>6.0334698525806996</v>
      </c>
      <c r="E12" s="300">
        <v>1.79980620301598</v>
      </c>
      <c r="F12" s="300">
        <v>4.7207015465331201</v>
      </c>
      <c r="G12" s="300">
        <v>60.680540898566797</v>
      </c>
      <c r="H12" s="300">
        <v>16.7485158832819</v>
      </c>
      <c r="I12" s="300">
        <v>3.2794099032394999</v>
      </c>
      <c r="J12" s="300">
        <v>27.579307891150801</v>
      </c>
      <c r="K12" s="300">
        <v>232.610726423606</v>
      </c>
      <c r="L12" s="300">
        <v>260.19003431475699</v>
      </c>
    </row>
    <row r="13" spans="1:12">
      <c r="A13" s="300" t="s">
        <v>217</v>
      </c>
    </row>
    <row r="14" spans="1:12">
      <c r="A14" s="300" t="s">
        <v>218</v>
      </c>
    </row>
    <row r="16" spans="1:12">
      <c r="A16" s="300">
        <v>2025</v>
      </c>
    </row>
    <row r="17" spans="1:12">
      <c r="A17" s="300" t="s">
        <v>128</v>
      </c>
      <c r="B17" s="300" t="s">
        <v>57</v>
      </c>
      <c r="C17" s="300" t="s">
        <v>207</v>
      </c>
      <c r="D17" s="300" t="s">
        <v>105</v>
      </c>
      <c r="E17" s="300" t="s">
        <v>42</v>
      </c>
      <c r="F17" s="300" t="s">
        <v>134</v>
      </c>
      <c r="G17" s="300" t="s">
        <v>54</v>
      </c>
      <c r="H17" s="300" t="s">
        <v>208</v>
      </c>
      <c r="I17" s="300" t="s">
        <v>209</v>
      </c>
      <c r="J17" s="300" t="s">
        <v>210</v>
      </c>
      <c r="K17" s="300" t="s">
        <v>211</v>
      </c>
      <c r="L17" s="300" t="s">
        <v>10</v>
      </c>
    </row>
    <row r="18" spans="1:12">
      <c r="A18" s="300" t="s">
        <v>138</v>
      </c>
      <c r="B18" s="300">
        <v>8.9718125061079999</v>
      </c>
      <c r="C18" s="300">
        <v>7.5244428280336004</v>
      </c>
      <c r="D18" s="300">
        <v>4.1448280467982999</v>
      </c>
      <c r="F18" s="300">
        <v>5.7574771280624804</v>
      </c>
      <c r="G18" s="300">
        <v>39.004453813544799</v>
      </c>
      <c r="H18" s="300">
        <v>8.9939273059531999</v>
      </c>
      <c r="I18" s="300">
        <v>1.4393692820156201</v>
      </c>
      <c r="J18" s="300">
        <v>11.4217194648713</v>
      </c>
      <c r="K18" s="300">
        <v>75.836310910516005</v>
      </c>
      <c r="L18" s="300">
        <v>87.258030375387307</v>
      </c>
    </row>
    <row r="19" spans="1:12">
      <c r="A19" s="300" t="s">
        <v>212</v>
      </c>
      <c r="B19" s="300">
        <v>5.2475986366028398</v>
      </c>
      <c r="C19" s="300">
        <v>3.4983990910685598</v>
      </c>
      <c r="D19" s="300">
        <v>1.1963054104524999</v>
      </c>
      <c r="E19" s="300">
        <v>0.73455761130816</v>
      </c>
      <c r="F19" s="300">
        <v>0</v>
      </c>
      <c r="G19" s="300">
        <v>4.5534877411513</v>
      </c>
      <c r="H19" s="300">
        <v>0.30731067968190001</v>
      </c>
      <c r="I19" s="300">
        <v>2.93823044523264</v>
      </c>
      <c r="J19" s="300">
        <v>5.2475986366028398</v>
      </c>
      <c r="K19" s="300">
        <v>18.475889615497898</v>
      </c>
      <c r="L19" s="300">
        <v>23.723488252100701</v>
      </c>
    </row>
    <row r="20" spans="1:12">
      <c r="A20" s="300" t="s">
        <v>140</v>
      </c>
      <c r="B20" s="300">
        <v>11.2851059106452</v>
      </c>
      <c r="C20" s="300">
        <v>0</v>
      </c>
      <c r="D20" s="300">
        <v>0</v>
      </c>
      <c r="E20" s="300">
        <v>0</v>
      </c>
      <c r="F20" s="300">
        <v>0</v>
      </c>
      <c r="G20" s="300">
        <v>3.0165698263876002</v>
      </c>
      <c r="H20" s="300">
        <v>0.82147656588960005</v>
      </c>
      <c r="I20" s="300">
        <v>0</v>
      </c>
      <c r="K20" s="300">
        <v>15.123152302922399</v>
      </c>
      <c r="L20" s="300">
        <v>15.123152302922399</v>
      </c>
    </row>
    <row r="21" spans="1:12">
      <c r="A21" s="300" t="s">
        <v>141</v>
      </c>
      <c r="B21" s="300">
        <v>19.375331905517701</v>
      </c>
      <c r="C21" s="300">
        <v>0</v>
      </c>
      <c r="D21" s="300">
        <v>0</v>
      </c>
      <c r="E21" s="300">
        <v>0</v>
      </c>
      <c r="F21" s="300">
        <v>0</v>
      </c>
      <c r="G21" s="300">
        <v>0</v>
      </c>
      <c r="H21" s="300">
        <v>0</v>
      </c>
      <c r="I21" s="300">
        <v>0</v>
      </c>
      <c r="K21" s="300">
        <v>19.375331905517701</v>
      </c>
      <c r="L21" s="300">
        <v>19.375331905517701</v>
      </c>
    </row>
    <row r="22" spans="1:12">
      <c r="A22" s="300" t="s">
        <v>213</v>
      </c>
      <c r="B22" s="300">
        <v>46.354708094036098</v>
      </c>
      <c r="C22" s="300">
        <v>0</v>
      </c>
      <c r="D22" s="300">
        <v>0</v>
      </c>
      <c r="E22" s="300">
        <v>0</v>
      </c>
      <c r="F22" s="300">
        <v>0</v>
      </c>
      <c r="G22" s="300">
        <v>0</v>
      </c>
      <c r="H22" s="300">
        <v>0</v>
      </c>
      <c r="I22" s="300">
        <v>0</v>
      </c>
      <c r="K22" s="300">
        <v>46.354708094036098</v>
      </c>
      <c r="L22" s="300">
        <v>46.354708094036098</v>
      </c>
    </row>
    <row r="23" spans="1:12">
      <c r="A23" s="300" t="s">
        <v>143</v>
      </c>
      <c r="C23" s="300">
        <v>6.0004736135138002</v>
      </c>
      <c r="D23" s="300">
        <v>0</v>
      </c>
      <c r="E23" s="300">
        <v>0</v>
      </c>
      <c r="F23" s="300">
        <v>0</v>
      </c>
      <c r="G23" s="300">
        <v>0</v>
      </c>
      <c r="H23" s="300">
        <v>0</v>
      </c>
      <c r="I23" s="300">
        <v>0</v>
      </c>
      <c r="J23" s="300">
        <v>14.8503200092174</v>
      </c>
      <c r="K23" s="300">
        <v>6.0004736135138002</v>
      </c>
      <c r="L23" s="300">
        <v>20.850793622731199</v>
      </c>
    </row>
    <row r="24" spans="1:12">
      <c r="A24" s="300" t="s">
        <v>214</v>
      </c>
      <c r="B24" s="300">
        <v>0.57553934335914003</v>
      </c>
      <c r="D24" s="300">
        <v>0</v>
      </c>
      <c r="E24" s="300">
        <v>0.38369289557275998</v>
      </c>
      <c r="F24" s="300">
        <v>0</v>
      </c>
      <c r="G24" s="300">
        <v>1.9118461767073001</v>
      </c>
      <c r="H24" s="300">
        <v>0</v>
      </c>
      <c r="I24" s="300">
        <v>0</v>
      </c>
      <c r="K24" s="300">
        <v>2.8710784156392002</v>
      </c>
      <c r="L24" s="300">
        <v>2.8710784156392002</v>
      </c>
    </row>
    <row r="25" spans="1:12">
      <c r="A25" s="300" t="s">
        <v>215</v>
      </c>
      <c r="B25" s="300">
        <v>91.810096396269003</v>
      </c>
      <c r="C25" s="300">
        <v>17.023315532616</v>
      </c>
      <c r="D25" s="300">
        <v>5.3411334572508</v>
      </c>
      <c r="E25" s="300">
        <v>1.1182505068809201</v>
      </c>
      <c r="F25" s="300">
        <v>5.7574771280624804</v>
      </c>
      <c r="G25" s="300">
        <v>48.486357557791003</v>
      </c>
      <c r="H25" s="300">
        <v>10.1227145515247</v>
      </c>
      <c r="I25" s="300">
        <v>4.3775997272482599</v>
      </c>
      <c r="J25" s="300">
        <v>31.519638110691499</v>
      </c>
      <c r="K25" s="300">
        <v>184.03694485764299</v>
      </c>
      <c r="L25" s="300">
        <v>215.55658296833499</v>
      </c>
    </row>
    <row r="26" spans="1:12">
      <c r="A26" s="300" t="s">
        <v>216</v>
      </c>
      <c r="B26" s="300">
        <v>26.309910568975301</v>
      </c>
      <c r="C26" s="300">
        <v>0</v>
      </c>
      <c r="D26" s="300">
        <v>0</v>
      </c>
      <c r="E26" s="300">
        <v>0</v>
      </c>
      <c r="F26" s="300">
        <v>0</v>
      </c>
      <c r="G26" s="300">
        <v>0</v>
      </c>
      <c r="H26" s="300">
        <v>0</v>
      </c>
      <c r="I26" s="300">
        <v>0</v>
      </c>
      <c r="K26" s="300">
        <v>26.309910568975301</v>
      </c>
      <c r="L26" s="300">
        <v>26.309910568975301</v>
      </c>
    </row>
    <row r="27" spans="1:12">
      <c r="A27" s="300" t="s">
        <v>10</v>
      </c>
      <c r="B27" s="300">
        <v>118.120006965244</v>
      </c>
      <c r="C27" s="300">
        <v>17.023315532616</v>
      </c>
      <c r="D27" s="300">
        <v>5.3411334572508</v>
      </c>
      <c r="E27" s="300">
        <v>1.1182505068809201</v>
      </c>
      <c r="F27" s="300">
        <v>5.7574771280624804</v>
      </c>
      <c r="G27" s="300">
        <v>48.486357557791003</v>
      </c>
      <c r="H27" s="300">
        <v>10.1227145515247</v>
      </c>
      <c r="I27" s="300">
        <v>4.3775997272482599</v>
      </c>
      <c r="J27" s="300">
        <v>31.519638110691499</v>
      </c>
      <c r="K27" s="300">
        <v>210.34685542661799</v>
      </c>
      <c r="L27" s="300">
        <v>241.86649353730999</v>
      </c>
    </row>
    <row r="28" spans="1:12">
      <c r="A28" s="300" t="s">
        <v>217</v>
      </c>
    </row>
    <row r="29" spans="1:12">
      <c r="A29" s="300" t="s">
        <v>218</v>
      </c>
    </row>
    <row r="31" spans="1:12">
      <c r="A31" s="300">
        <v>2030</v>
      </c>
    </row>
    <row r="32" spans="1:12">
      <c r="A32" s="300" t="s">
        <v>128</v>
      </c>
      <c r="B32" s="300" t="s">
        <v>57</v>
      </c>
      <c r="C32" s="300" t="s">
        <v>207</v>
      </c>
      <c r="D32" s="300" t="s">
        <v>105</v>
      </c>
      <c r="E32" s="300" t="s">
        <v>42</v>
      </c>
      <c r="F32" s="300" t="s">
        <v>134</v>
      </c>
      <c r="G32" s="300" t="s">
        <v>54</v>
      </c>
      <c r="H32" s="300" t="s">
        <v>208</v>
      </c>
      <c r="I32" s="300" t="s">
        <v>209</v>
      </c>
      <c r="J32" s="300" t="s">
        <v>210</v>
      </c>
      <c r="K32" s="300" t="s">
        <v>211</v>
      </c>
      <c r="L32" s="300" t="s">
        <v>10</v>
      </c>
    </row>
    <row r="33" spans="1:12">
      <c r="A33" s="300" t="s">
        <v>138</v>
      </c>
      <c r="B33" s="300">
        <v>7.9865806915524002</v>
      </c>
      <c r="C33" s="300">
        <v>9.2211616891774</v>
      </c>
      <c r="D33" s="300">
        <v>4.1797717793542999</v>
      </c>
      <c r="F33" s="300">
        <v>7.0537868434781599</v>
      </c>
      <c r="G33" s="300">
        <v>27.7414380005239</v>
      </c>
      <c r="H33" s="300">
        <v>4.0007689276751002</v>
      </c>
      <c r="I33" s="300">
        <v>1.76344671086954</v>
      </c>
      <c r="J33" s="300">
        <v>14.106786738135799</v>
      </c>
      <c r="K33" s="300">
        <v>61.9469546426308</v>
      </c>
      <c r="L33" s="300">
        <v>76.053741380766596</v>
      </c>
    </row>
    <row r="34" spans="1:12">
      <c r="A34" s="300" t="s">
        <v>212</v>
      </c>
      <c r="B34" s="300">
        <v>4.1300172223687497</v>
      </c>
      <c r="C34" s="300">
        <v>4.1300172223687497</v>
      </c>
      <c r="D34" s="300">
        <v>0.8946934460707</v>
      </c>
      <c r="E34" s="300">
        <v>0</v>
      </c>
      <c r="F34" s="300">
        <v>0</v>
      </c>
      <c r="G34" s="300">
        <v>3.6379629672113998</v>
      </c>
      <c r="H34" s="300">
        <v>0.19343554945649999</v>
      </c>
      <c r="I34" s="300">
        <v>3.7384479607226</v>
      </c>
      <c r="J34" s="300">
        <v>6.1950258335531201</v>
      </c>
      <c r="K34" s="300">
        <v>16.724574368198699</v>
      </c>
      <c r="L34" s="300">
        <v>22.919600201751798</v>
      </c>
    </row>
    <row r="35" spans="1:12">
      <c r="A35" s="300" t="s">
        <v>140</v>
      </c>
      <c r="B35" s="300">
        <v>11.8721780932577</v>
      </c>
      <c r="C35" s="300">
        <v>0</v>
      </c>
      <c r="D35" s="300">
        <v>0</v>
      </c>
      <c r="E35" s="300">
        <v>0</v>
      </c>
      <c r="F35" s="300">
        <v>0</v>
      </c>
      <c r="G35" s="300">
        <v>2.5273881171479</v>
      </c>
      <c r="H35" s="300">
        <v>0.61166542466829998</v>
      </c>
      <c r="I35" s="300">
        <v>0</v>
      </c>
      <c r="K35" s="300">
        <v>15.0112316350739</v>
      </c>
      <c r="L35" s="300">
        <v>15.0112316350739</v>
      </c>
    </row>
    <row r="36" spans="1:12">
      <c r="A36" s="300" t="s">
        <v>141</v>
      </c>
      <c r="B36" s="300">
        <v>15.2848315075233</v>
      </c>
      <c r="C36" s="300">
        <v>0</v>
      </c>
      <c r="D36" s="300">
        <v>0</v>
      </c>
      <c r="E36" s="300">
        <v>0</v>
      </c>
      <c r="F36" s="300">
        <v>0</v>
      </c>
      <c r="G36" s="300">
        <v>0</v>
      </c>
      <c r="H36" s="300">
        <v>0</v>
      </c>
      <c r="I36" s="300">
        <v>0</v>
      </c>
      <c r="K36" s="300">
        <v>15.2848315075233</v>
      </c>
      <c r="L36" s="300">
        <v>15.2848315075233</v>
      </c>
    </row>
    <row r="37" spans="1:12">
      <c r="A37" s="300" t="s">
        <v>213</v>
      </c>
      <c r="B37" s="300">
        <v>45.907009040287299</v>
      </c>
      <c r="C37" s="300">
        <v>0</v>
      </c>
      <c r="D37" s="300">
        <v>0</v>
      </c>
      <c r="E37" s="300">
        <v>0</v>
      </c>
      <c r="F37" s="300">
        <v>0</v>
      </c>
      <c r="G37" s="300">
        <v>0</v>
      </c>
      <c r="H37" s="300">
        <v>0</v>
      </c>
      <c r="I37" s="300">
        <v>0</v>
      </c>
      <c r="K37" s="300">
        <v>45.907009040287299</v>
      </c>
      <c r="L37" s="300">
        <v>45.907009040287299</v>
      </c>
    </row>
    <row r="38" spans="1:12">
      <c r="A38" s="300" t="s">
        <v>143</v>
      </c>
      <c r="C38" s="300">
        <v>6.0856597961760004</v>
      </c>
      <c r="D38" s="300">
        <v>0</v>
      </c>
      <c r="E38" s="300">
        <v>0</v>
      </c>
      <c r="F38" s="300">
        <v>0</v>
      </c>
      <c r="G38" s="300">
        <v>0</v>
      </c>
      <c r="H38" s="300">
        <v>0</v>
      </c>
      <c r="I38" s="300">
        <v>0</v>
      </c>
      <c r="J38" s="300">
        <v>18.776315865322498</v>
      </c>
      <c r="K38" s="300">
        <v>6.0856597961760004</v>
      </c>
      <c r="L38" s="300">
        <v>24.861975661498501</v>
      </c>
    </row>
    <row r="39" spans="1:12">
      <c r="A39" s="300" t="s">
        <v>214</v>
      </c>
      <c r="B39" s="300">
        <v>0.81988401876299999</v>
      </c>
      <c r="D39" s="300">
        <v>0</v>
      </c>
      <c r="E39" s="300">
        <v>0</v>
      </c>
      <c r="F39" s="300">
        <v>0</v>
      </c>
      <c r="G39" s="300">
        <v>1.6393711123813</v>
      </c>
      <c r="H39" s="300">
        <v>0</v>
      </c>
      <c r="I39" s="300">
        <v>0</v>
      </c>
      <c r="K39" s="300">
        <v>2.4592551311443001</v>
      </c>
      <c r="L39" s="300">
        <v>2.4592551311443001</v>
      </c>
    </row>
    <row r="40" spans="1:12">
      <c r="A40" s="300" t="s">
        <v>215</v>
      </c>
      <c r="B40" s="300">
        <v>86.000500573752504</v>
      </c>
      <c r="C40" s="300">
        <v>19.436838707722199</v>
      </c>
      <c r="D40" s="300">
        <v>5.0744652254249996</v>
      </c>
      <c r="E40" s="300">
        <v>0</v>
      </c>
      <c r="F40" s="300">
        <v>7.0537868434781599</v>
      </c>
      <c r="G40" s="300">
        <v>35.546160197264498</v>
      </c>
      <c r="H40" s="300">
        <v>4.8058699017999</v>
      </c>
      <c r="I40" s="300">
        <v>5.5018946715921402</v>
      </c>
      <c r="J40" s="300">
        <v>39.078128437011401</v>
      </c>
      <c r="K40" s="300">
        <v>163.41951612103401</v>
      </c>
      <c r="L40" s="300">
        <v>202.49764455804601</v>
      </c>
    </row>
    <row r="41" spans="1:12">
      <c r="A41" s="300" t="s">
        <v>216</v>
      </c>
      <c r="B41" s="300">
        <v>25.624889910981899</v>
      </c>
      <c r="C41" s="300">
        <v>0</v>
      </c>
      <c r="D41" s="300">
        <v>0</v>
      </c>
      <c r="E41" s="300">
        <v>0</v>
      </c>
      <c r="F41" s="300">
        <v>0</v>
      </c>
      <c r="G41" s="300">
        <v>0</v>
      </c>
      <c r="H41" s="300">
        <v>0</v>
      </c>
      <c r="I41" s="300">
        <v>0</v>
      </c>
      <c r="K41" s="300">
        <v>25.624889910981899</v>
      </c>
      <c r="L41" s="300">
        <v>25.624889910981899</v>
      </c>
    </row>
    <row r="42" spans="1:12">
      <c r="A42" s="300" t="s">
        <v>10</v>
      </c>
      <c r="B42" s="300">
        <v>111.625390484734</v>
      </c>
      <c r="C42" s="300">
        <v>19.436838707722199</v>
      </c>
      <c r="D42" s="300">
        <v>5.0744652254249996</v>
      </c>
      <c r="E42" s="300">
        <v>0</v>
      </c>
      <c r="F42" s="300">
        <v>7.0537868434781599</v>
      </c>
      <c r="G42" s="300">
        <v>35.546160197264498</v>
      </c>
      <c r="H42" s="300">
        <v>4.8058699017999</v>
      </c>
      <c r="I42" s="300">
        <v>5.5018946715921402</v>
      </c>
      <c r="J42" s="300">
        <v>39.078128437011401</v>
      </c>
      <c r="K42" s="300">
        <v>189.04440603201601</v>
      </c>
      <c r="L42" s="300">
        <v>228.12253446902801</v>
      </c>
    </row>
    <row r="43" spans="1:12">
      <c r="A43" s="300" t="s">
        <v>217</v>
      </c>
      <c r="K43" s="300">
        <v>0.93576088486563302</v>
      </c>
    </row>
    <row r="44" spans="1:12">
      <c r="A44" s="300" t="s">
        <v>218</v>
      </c>
    </row>
    <row r="46" spans="1:12">
      <c r="A46" s="300">
        <v>2050</v>
      </c>
    </row>
    <row r="47" spans="1:12">
      <c r="A47" s="300" t="s">
        <v>128</v>
      </c>
      <c r="B47" s="300" t="s">
        <v>57</v>
      </c>
      <c r="C47" s="300" t="s">
        <v>207</v>
      </c>
      <c r="D47" s="300" t="s">
        <v>105</v>
      </c>
      <c r="E47" s="300" t="s">
        <v>42</v>
      </c>
      <c r="F47" s="300" t="s">
        <v>134</v>
      </c>
      <c r="G47" s="300" t="s">
        <v>54</v>
      </c>
      <c r="H47" s="300" t="s">
        <v>208</v>
      </c>
      <c r="I47" s="300" t="s">
        <v>209</v>
      </c>
      <c r="J47" s="300" t="s">
        <v>210</v>
      </c>
      <c r="K47" s="300" t="s">
        <v>211</v>
      </c>
      <c r="L47" s="300" t="s">
        <v>10</v>
      </c>
    </row>
    <row r="48" spans="1:12">
      <c r="A48" s="300" t="s">
        <v>138</v>
      </c>
      <c r="B48" s="300">
        <v>5.8523640541175004</v>
      </c>
      <c r="C48" s="300">
        <v>9.6916384892280991</v>
      </c>
      <c r="D48" s="300">
        <v>12.0940616509414</v>
      </c>
      <c r="F48" s="300">
        <v>5.7376992755080796</v>
      </c>
      <c r="G48" s="300">
        <v>1.6243612661704001</v>
      </c>
      <c r="H48" s="300">
        <v>9.9083878957999996E-3</v>
      </c>
      <c r="I48" s="300">
        <v>1.4344248188770199</v>
      </c>
      <c r="J48" s="300">
        <v>15.069021727073199</v>
      </c>
      <c r="K48" s="300">
        <v>36.444457942738303</v>
      </c>
      <c r="L48" s="300">
        <v>51.513479669811503</v>
      </c>
    </row>
    <row r="49" spans="1:12">
      <c r="A49" s="300" t="s">
        <v>212</v>
      </c>
      <c r="B49" s="300">
        <v>0.11976961531749999</v>
      </c>
      <c r="C49" s="300">
        <v>4.1300172223687497</v>
      </c>
      <c r="D49" s="300">
        <v>0.8946934460707</v>
      </c>
      <c r="E49" s="300">
        <v>0</v>
      </c>
      <c r="F49" s="300">
        <v>0</v>
      </c>
      <c r="G49" s="300">
        <v>1.689494832574</v>
      </c>
      <c r="H49" s="300">
        <v>6.1075926729999997E-3</v>
      </c>
      <c r="I49" s="300">
        <v>3.3230107511964002</v>
      </c>
      <c r="J49" s="300">
        <v>6.1950258335531201</v>
      </c>
      <c r="K49" s="300">
        <v>10.1630934602004</v>
      </c>
      <c r="L49" s="300">
        <v>16.3581192937535</v>
      </c>
    </row>
    <row r="50" spans="1:12">
      <c r="A50" s="300" t="s">
        <v>140</v>
      </c>
      <c r="B50" s="300">
        <v>12.139093722674</v>
      </c>
      <c r="C50" s="300">
        <v>0</v>
      </c>
      <c r="D50" s="300">
        <v>0</v>
      </c>
      <c r="E50" s="300">
        <v>0</v>
      </c>
      <c r="F50" s="300">
        <v>0</v>
      </c>
      <c r="G50" s="300">
        <v>1.3508680727360001</v>
      </c>
      <c r="H50" s="300">
        <v>0.2384320247301</v>
      </c>
      <c r="I50" s="300">
        <v>0</v>
      </c>
      <c r="K50" s="300">
        <v>13.7283938201401</v>
      </c>
      <c r="L50" s="300">
        <v>13.7283938201401</v>
      </c>
    </row>
    <row r="51" spans="1:12">
      <c r="A51" s="300" t="s">
        <v>141</v>
      </c>
      <c r="B51" s="300">
        <v>9.8452476075075008</v>
      </c>
      <c r="C51" s="300">
        <v>0</v>
      </c>
      <c r="D51" s="300">
        <v>0</v>
      </c>
      <c r="E51" s="300">
        <v>0</v>
      </c>
      <c r="F51" s="300">
        <v>0</v>
      </c>
      <c r="G51" s="300">
        <v>0</v>
      </c>
      <c r="H51" s="300">
        <v>0</v>
      </c>
      <c r="I51" s="300">
        <v>0</v>
      </c>
      <c r="K51" s="300">
        <v>9.8452476075075008</v>
      </c>
      <c r="L51" s="300">
        <v>9.8452476075075008</v>
      </c>
    </row>
    <row r="52" spans="1:12">
      <c r="A52" s="300" t="s">
        <v>213</v>
      </c>
      <c r="B52" s="300">
        <v>42.907833391588298</v>
      </c>
      <c r="C52" s="300">
        <v>0</v>
      </c>
      <c r="D52" s="300">
        <v>0</v>
      </c>
      <c r="E52" s="300">
        <v>0</v>
      </c>
      <c r="F52" s="300">
        <v>0</v>
      </c>
      <c r="G52" s="300">
        <v>0</v>
      </c>
      <c r="H52" s="300">
        <v>0</v>
      </c>
      <c r="I52" s="300">
        <v>0</v>
      </c>
      <c r="K52" s="300">
        <v>42.907833391588298</v>
      </c>
      <c r="L52" s="300">
        <v>42.907833391588298</v>
      </c>
    </row>
    <row r="53" spans="1:12">
      <c r="A53" s="300" t="s">
        <v>143</v>
      </c>
      <c r="C53" s="300">
        <v>6.3631434451273003</v>
      </c>
      <c r="D53" s="300">
        <v>0</v>
      </c>
      <c r="E53" s="300">
        <v>0</v>
      </c>
      <c r="F53" s="300">
        <v>0</v>
      </c>
      <c r="G53" s="300">
        <v>0</v>
      </c>
      <c r="H53" s="300">
        <v>0</v>
      </c>
      <c r="I53" s="300">
        <v>0</v>
      </c>
      <c r="K53" s="300">
        <v>6.3631434451273003</v>
      </c>
      <c r="L53" s="300">
        <v>6.4</v>
      </c>
    </row>
    <row r="54" spans="1:12">
      <c r="A54" s="300" t="s">
        <v>214</v>
      </c>
      <c r="B54" s="300">
        <v>0.46133931642010001</v>
      </c>
      <c r="D54" s="300">
        <v>0</v>
      </c>
      <c r="E54" s="300">
        <v>0</v>
      </c>
      <c r="F54" s="300">
        <v>0</v>
      </c>
      <c r="G54" s="300">
        <v>0.95264690516810002</v>
      </c>
      <c r="H54" s="300">
        <v>0</v>
      </c>
      <c r="I54" s="300">
        <v>0</v>
      </c>
      <c r="K54" s="300">
        <v>1.4139862215882</v>
      </c>
      <c r="L54" s="300">
        <v>1.4139862215882</v>
      </c>
    </row>
    <row r="55" spans="1:12">
      <c r="A55" s="300" t="s">
        <v>215</v>
      </c>
      <c r="B55" s="300">
        <v>71.325647707624896</v>
      </c>
      <c r="C55" s="300">
        <v>20.1847991567241</v>
      </c>
      <c r="D55" s="300">
        <v>12.988755097012101</v>
      </c>
      <c r="E55" s="300">
        <v>0</v>
      </c>
      <c r="F55" s="300">
        <v>5.7376992755080796</v>
      </c>
      <c r="G55" s="300">
        <v>5.6173710766485003</v>
      </c>
      <c r="H55" s="300">
        <v>0.25444800529889999</v>
      </c>
      <c r="I55" s="300">
        <v>4.7574355700734197</v>
      </c>
      <c r="J55" s="300">
        <v>44.850389616754001</v>
      </c>
      <c r="K55" s="300">
        <v>120.86615588889001</v>
      </c>
      <c r="L55" s="300">
        <v>165.71654550564401</v>
      </c>
    </row>
    <row r="56" spans="1:12">
      <c r="A56" s="300" t="s">
        <v>216</v>
      </c>
      <c r="B56" s="300">
        <v>23.9431583804922</v>
      </c>
      <c r="C56" s="300">
        <v>0</v>
      </c>
      <c r="D56" s="300">
        <v>0</v>
      </c>
      <c r="E56" s="300">
        <v>0</v>
      </c>
      <c r="F56" s="300">
        <v>0</v>
      </c>
      <c r="G56" s="300">
        <v>0</v>
      </c>
      <c r="H56" s="300">
        <v>0</v>
      </c>
      <c r="I56" s="300">
        <v>0</v>
      </c>
      <c r="K56" s="300">
        <v>23.9431583804922</v>
      </c>
      <c r="L56" s="300">
        <v>23.9431583804922</v>
      </c>
    </row>
    <row r="57" spans="1:12">
      <c r="A57" s="300" t="s">
        <v>10</v>
      </c>
      <c r="B57" s="300">
        <v>95.268806088117103</v>
      </c>
      <c r="C57" s="300">
        <v>20.1847991567241</v>
      </c>
      <c r="D57" s="300">
        <v>12.988755097012101</v>
      </c>
      <c r="E57" s="300">
        <v>0</v>
      </c>
      <c r="F57" s="300">
        <v>5.7376992755080796</v>
      </c>
      <c r="G57" s="300">
        <v>5.6173710766485003</v>
      </c>
      <c r="H57" s="300">
        <v>0.25444800529889999</v>
      </c>
      <c r="I57" s="300">
        <v>4.7574355700734197</v>
      </c>
      <c r="J57" s="300">
        <v>44.850389616754001</v>
      </c>
      <c r="K57" s="300">
        <v>144.80931426938201</v>
      </c>
      <c r="L57" s="300">
        <v>166.11021838488099</v>
      </c>
    </row>
    <row r="58" spans="1:12">
      <c r="A58" s="300" t="s">
        <v>217</v>
      </c>
    </row>
    <row r="59" spans="1:12">
      <c r="A59" s="300" t="s">
        <v>218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L44"/>
  <sheetViews>
    <sheetView workbookViewId="0"/>
  </sheetViews>
  <sheetFormatPr baseColWidth="10" defaultRowHeight="15"/>
  <cols>
    <col min="1" max="16384" width="11.42578125" style="300"/>
  </cols>
  <sheetData>
    <row r="1" spans="1:12">
      <c r="A1" s="300">
        <v>2025</v>
      </c>
    </row>
    <row r="2" spans="1:12">
      <c r="A2" s="300" t="s">
        <v>128</v>
      </c>
      <c r="B2" s="300" t="s">
        <v>57</v>
      </c>
      <c r="C2" s="300" t="s">
        <v>207</v>
      </c>
      <c r="D2" s="300" t="s">
        <v>105</v>
      </c>
      <c r="E2" s="300" t="s">
        <v>42</v>
      </c>
      <c r="F2" s="300" t="s">
        <v>134</v>
      </c>
      <c r="G2" s="300" t="s">
        <v>54</v>
      </c>
      <c r="H2" s="300" t="s">
        <v>208</v>
      </c>
      <c r="I2" s="300" t="s">
        <v>209</v>
      </c>
      <c r="J2" s="300" t="s">
        <v>210</v>
      </c>
      <c r="K2" s="300" t="s">
        <v>211</v>
      </c>
      <c r="L2" s="300" t="s">
        <v>10</v>
      </c>
    </row>
    <row r="3" spans="1:12">
      <c r="A3" s="300" t="s">
        <v>138</v>
      </c>
      <c r="B3" s="300">
        <v>8.9718125061079999</v>
      </c>
      <c r="C3" s="300">
        <v>7.5244428280336004</v>
      </c>
      <c r="D3" s="300">
        <v>4.1448280467982999</v>
      </c>
      <c r="F3" s="300">
        <v>5.7574771280624804</v>
      </c>
      <c r="G3" s="300">
        <v>39.004453813544799</v>
      </c>
      <c r="H3" s="300">
        <v>8.9939273059531999</v>
      </c>
      <c r="I3" s="300">
        <v>1.4393692820156201</v>
      </c>
      <c r="J3" s="300">
        <v>11.4217194648713</v>
      </c>
      <c r="K3" s="300">
        <v>75.836310910516005</v>
      </c>
      <c r="L3" s="300">
        <v>87.258030375387307</v>
      </c>
    </row>
    <row r="4" spans="1:12">
      <c r="A4" s="300" t="s">
        <v>212</v>
      </c>
      <c r="B4" s="300">
        <v>5.2475986366028398</v>
      </c>
      <c r="C4" s="300">
        <v>3.4983990910685598</v>
      </c>
      <c r="D4" s="300">
        <v>1.1963054104524999</v>
      </c>
      <c r="E4" s="300">
        <v>0.73455761130816</v>
      </c>
      <c r="F4" s="300">
        <v>0</v>
      </c>
      <c r="G4" s="300">
        <v>4.5534877411513</v>
      </c>
      <c r="H4" s="300">
        <v>0.30731067968190001</v>
      </c>
      <c r="I4" s="300">
        <v>2.93823044523264</v>
      </c>
      <c r="J4" s="300">
        <v>5.2475986366028398</v>
      </c>
      <c r="K4" s="300">
        <v>18.475889615497898</v>
      </c>
      <c r="L4" s="300">
        <v>23.723488252100701</v>
      </c>
    </row>
    <row r="5" spans="1:12">
      <c r="A5" s="300" t="s">
        <v>140</v>
      </c>
      <c r="B5" s="300">
        <v>11.2851059106452</v>
      </c>
      <c r="C5" s="300">
        <v>0</v>
      </c>
      <c r="D5" s="300">
        <v>0</v>
      </c>
      <c r="E5" s="300">
        <v>0</v>
      </c>
      <c r="F5" s="300">
        <v>0</v>
      </c>
      <c r="G5" s="300">
        <v>3.0165698263876002</v>
      </c>
      <c r="H5" s="300">
        <v>0.82147656588960005</v>
      </c>
      <c r="I5" s="300">
        <v>0</v>
      </c>
      <c r="K5" s="300">
        <v>15.123152302922399</v>
      </c>
      <c r="L5" s="300">
        <v>15.123152302922399</v>
      </c>
    </row>
    <row r="6" spans="1:12">
      <c r="A6" s="300" t="s">
        <v>141</v>
      </c>
      <c r="B6" s="300">
        <v>19.375331905517701</v>
      </c>
      <c r="C6" s="300">
        <v>0</v>
      </c>
      <c r="D6" s="300">
        <v>0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K6" s="300">
        <v>19.375331905517701</v>
      </c>
      <c r="L6" s="300">
        <v>19.375331905517701</v>
      </c>
    </row>
    <row r="7" spans="1:12">
      <c r="A7" s="300" t="s">
        <v>213</v>
      </c>
      <c r="B7" s="300">
        <v>46.354708094036098</v>
      </c>
      <c r="C7" s="300">
        <v>0</v>
      </c>
      <c r="D7" s="300">
        <v>0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K7" s="300">
        <v>46.354708094036098</v>
      </c>
      <c r="L7" s="300">
        <v>46.354708094036098</v>
      </c>
    </row>
    <row r="8" spans="1:12">
      <c r="A8" s="300" t="s">
        <v>143</v>
      </c>
      <c r="C8" s="300">
        <v>6.0004736135138002</v>
      </c>
      <c r="D8" s="300">
        <v>0</v>
      </c>
      <c r="E8" s="300">
        <v>0</v>
      </c>
      <c r="F8" s="300">
        <v>0</v>
      </c>
      <c r="G8" s="300">
        <v>0</v>
      </c>
      <c r="H8" s="300">
        <v>0</v>
      </c>
      <c r="I8" s="300">
        <v>0</v>
      </c>
      <c r="J8" s="300">
        <v>14.8503200092174</v>
      </c>
      <c r="K8" s="300">
        <v>6.0004736135138002</v>
      </c>
      <c r="L8" s="300">
        <v>20.850793622731199</v>
      </c>
    </row>
    <row r="9" spans="1:12">
      <c r="A9" s="300" t="s">
        <v>214</v>
      </c>
      <c r="B9" s="300">
        <v>0.57553934335914003</v>
      </c>
      <c r="D9" s="300">
        <v>0</v>
      </c>
      <c r="E9" s="300">
        <v>0.38369289557275998</v>
      </c>
      <c r="F9" s="300">
        <v>0</v>
      </c>
      <c r="G9" s="300">
        <v>1.9118461767073001</v>
      </c>
      <c r="H9" s="300">
        <v>0</v>
      </c>
      <c r="I9" s="300">
        <v>0</v>
      </c>
      <c r="K9" s="300">
        <v>2.8710784156392002</v>
      </c>
      <c r="L9" s="300">
        <v>2.8710784156392002</v>
      </c>
    </row>
    <row r="10" spans="1:12">
      <c r="A10" s="300" t="s">
        <v>215</v>
      </c>
      <c r="B10" s="300">
        <v>91.810096396269003</v>
      </c>
      <c r="C10" s="300">
        <v>17.023315532616</v>
      </c>
      <c r="D10" s="300">
        <v>5.3411334572508</v>
      </c>
      <c r="E10" s="300">
        <v>1.1182505068809201</v>
      </c>
      <c r="F10" s="300">
        <v>5.7574771280624804</v>
      </c>
      <c r="G10" s="300">
        <v>48.486357557791003</v>
      </c>
      <c r="H10" s="300">
        <v>10.1227145515247</v>
      </c>
      <c r="I10" s="300">
        <v>4.3775997272482599</v>
      </c>
      <c r="J10" s="300">
        <v>31.519638110691499</v>
      </c>
      <c r="K10" s="300">
        <v>184.03694485764299</v>
      </c>
      <c r="L10" s="300">
        <v>215.55658296833499</v>
      </c>
    </row>
    <row r="11" spans="1:12">
      <c r="A11" s="300" t="s">
        <v>216</v>
      </c>
      <c r="B11" s="300">
        <v>26.309910568975301</v>
      </c>
      <c r="C11" s="300">
        <v>0</v>
      </c>
      <c r="D11" s="300">
        <v>0</v>
      </c>
      <c r="E11" s="300">
        <v>0</v>
      </c>
      <c r="F11" s="300">
        <v>0</v>
      </c>
      <c r="G11" s="300">
        <v>0</v>
      </c>
      <c r="H11" s="300">
        <v>0</v>
      </c>
      <c r="I11" s="300">
        <v>0</v>
      </c>
      <c r="K11" s="300">
        <v>26.309910568975301</v>
      </c>
      <c r="L11" s="300">
        <v>26.309910568975301</v>
      </c>
    </row>
    <row r="12" spans="1:12">
      <c r="A12" s="300" t="s">
        <v>10</v>
      </c>
      <c r="B12" s="300">
        <v>118.120006965244</v>
      </c>
      <c r="C12" s="300">
        <v>17.023315532616</v>
      </c>
      <c r="D12" s="300">
        <v>5.3411334572508</v>
      </c>
      <c r="E12" s="300">
        <v>1.1182505068809201</v>
      </c>
      <c r="F12" s="300">
        <v>5.7574771280624804</v>
      </c>
      <c r="G12" s="300">
        <v>48.486357557791003</v>
      </c>
      <c r="H12" s="300">
        <v>10.1227145515247</v>
      </c>
      <c r="I12" s="300">
        <v>4.3775997272482599</v>
      </c>
      <c r="J12" s="300">
        <v>31.519638110691499</v>
      </c>
      <c r="K12" s="300">
        <v>210.34685542661799</v>
      </c>
      <c r="L12" s="300">
        <v>241.86649353730999</v>
      </c>
    </row>
    <row r="13" spans="1:12">
      <c r="A13" s="300" t="s">
        <v>217</v>
      </c>
    </row>
    <row r="14" spans="1:12">
      <c r="A14" s="300" t="s">
        <v>218</v>
      </c>
    </row>
    <row r="16" spans="1:12">
      <c r="A16" s="300">
        <v>2030</v>
      </c>
    </row>
    <row r="17" spans="1:12">
      <c r="A17" s="300" t="s">
        <v>128</v>
      </c>
      <c r="B17" s="300" t="s">
        <v>57</v>
      </c>
      <c r="C17" s="300" t="s">
        <v>207</v>
      </c>
      <c r="D17" s="300" t="s">
        <v>105</v>
      </c>
      <c r="E17" s="300" t="s">
        <v>42</v>
      </c>
      <c r="F17" s="300" t="s">
        <v>134</v>
      </c>
      <c r="G17" s="300" t="s">
        <v>54</v>
      </c>
      <c r="H17" s="300" t="s">
        <v>208</v>
      </c>
      <c r="I17" s="300" t="s">
        <v>209</v>
      </c>
      <c r="J17" s="300" t="s">
        <v>210</v>
      </c>
      <c r="K17" s="300" t="s">
        <v>211</v>
      </c>
      <c r="L17" s="300" t="s">
        <v>10</v>
      </c>
    </row>
    <row r="18" spans="1:12">
      <c r="A18" s="300" t="s">
        <v>138</v>
      </c>
      <c r="B18" s="300">
        <v>7.9865806915524002</v>
      </c>
      <c r="C18" s="300">
        <v>9.2211616891774</v>
      </c>
      <c r="D18" s="300">
        <v>4.1797717793542999</v>
      </c>
      <c r="F18" s="300">
        <v>7.0537868434781599</v>
      </c>
      <c r="G18" s="300">
        <v>27.7414380005239</v>
      </c>
      <c r="H18" s="300">
        <v>4.0007689276751002</v>
      </c>
      <c r="I18" s="300">
        <v>1.76344671086954</v>
      </c>
      <c r="J18" s="300">
        <v>14.106786738135799</v>
      </c>
      <c r="K18" s="300">
        <v>61.9469546426308</v>
      </c>
      <c r="L18" s="300">
        <v>76.053741380766596</v>
      </c>
    </row>
    <row r="19" spans="1:12">
      <c r="A19" s="300" t="s">
        <v>212</v>
      </c>
      <c r="B19" s="300">
        <v>4.1300172223687497</v>
      </c>
      <c r="C19" s="300">
        <v>4.1300172223687497</v>
      </c>
      <c r="D19" s="300">
        <v>0.8946934460707</v>
      </c>
      <c r="E19" s="300">
        <v>0</v>
      </c>
      <c r="F19" s="300">
        <v>0</v>
      </c>
      <c r="G19" s="300">
        <v>3.6379629672113998</v>
      </c>
      <c r="H19" s="300">
        <v>0.19343554945649999</v>
      </c>
      <c r="I19" s="300">
        <v>3.7384479607226</v>
      </c>
      <c r="J19" s="300">
        <v>6.1950258335531201</v>
      </c>
      <c r="K19" s="300">
        <v>16.724574368198699</v>
      </c>
      <c r="L19" s="300">
        <v>22.919600201751798</v>
      </c>
    </row>
    <row r="20" spans="1:12">
      <c r="A20" s="300" t="s">
        <v>140</v>
      </c>
      <c r="B20" s="300">
        <v>11.8721780932577</v>
      </c>
      <c r="C20" s="300">
        <v>0</v>
      </c>
      <c r="D20" s="300">
        <v>0</v>
      </c>
      <c r="E20" s="300">
        <v>0</v>
      </c>
      <c r="F20" s="300">
        <v>0</v>
      </c>
      <c r="G20" s="300">
        <v>2.5273881171479</v>
      </c>
      <c r="H20" s="300">
        <v>0.61166542466829998</v>
      </c>
      <c r="I20" s="300">
        <v>0</v>
      </c>
      <c r="K20" s="300">
        <v>15.0112316350739</v>
      </c>
      <c r="L20" s="300">
        <v>15.0112316350739</v>
      </c>
    </row>
    <row r="21" spans="1:12">
      <c r="A21" s="300" t="s">
        <v>141</v>
      </c>
      <c r="B21" s="300">
        <v>15.2848315075233</v>
      </c>
      <c r="C21" s="300">
        <v>0</v>
      </c>
      <c r="D21" s="300">
        <v>0</v>
      </c>
      <c r="E21" s="300">
        <v>0</v>
      </c>
      <c r="F21" s="300">
        <v>0</v>
      </c>
      <c r="G21" s="300">
        <v>0</v>
      </c>
      <c r="H21" s="300">
        <v>0</v>
      </c>
      <c r="I21" s="300">
        <v>0</v>
      </c>
      <c r="K21" s="300">
        <v>15.2848315075233</v>
      </c>
      <c r="L21" s="300">
        <v>15.2848315075233</v>
      </c>
    </row>
    <row r="22" spans="1:12">
      <c r="A22" s="300" t="s">
        <v>213</v>
      </c>
      <c r="B22" s="300">
        <v>45.907009040287299</v>
      </c>
      <c r="C22" s="300">
        <v>0</v>
      </c>
      <c r="D22" s="300">
        <v>0</v>
      </c>
      <c r="E22" s="300">
        <v>0</v>
      </c>
      <c r="F22" s="300">
        <v>0</v>
      </c>
      <c r="G22" s="300">
        <v>0</v>
      </c>
      <c r="H22" s="300">
        <v>0</v>
      </c>
      <c r="I22" s="300">
        <v>0</v>
      </c>
      <c r="K22" s="300">
        <v>45.907009040287299</v>
      </c>
      <c r="L22" s="300">
        <v>45.907009040287299</v>
      </c>
    </row>
    <row r="23" spans="1:12">
      <c r="A23" s="300" t="s">
        <v>143</v>
      </c>
      <c r="C23" s="300">
        <v>6.0856597961760004</v>
      </c>
      <c r="D23" s="300">
        <v>0</v>
      </c>
      <c r="E23" s="300">
        <v>0</v>
      </c>
      <c r="F23" s="300">
        <v>0</v>
      </c>
      <c r="G23" s="300">
        <v>0</v>
      </c>
      <c r="H23" s="300">
        <v>0</v>
      </c>
      <c r="I23" s="300">
        <v>0</v>
      </c>
      <c r="J23" s="300">
        <v>18.776315865322498</v>
      </c>
      <c r="K23" s="300">
        <v>6.0856597961760004</v>
      </c>
      <c r="L23" s="300">
        <v>24.861975661498501</v>
      </c>
    </row>
    <row r="24" spans="1:12">
      <c r="A24" s="300" t="s">
        <v>214</v>
      </c>
      <c r="B24" s="300">
        <v>0.81988401876299999</v>
      </c>
      <c r="D24" s="300">
        <v>0</v>
      </c>
      <c r="E24" s="300">
        <v>0</v>
      </c>
      <c r="F24" s="300">
        <v>0</v>
      </c>
      <c r="G24" s="300">
        <v>1.6393711123813</v>
      </c>
      <c r="H24" s="300">
        <v>0</v>
      </c>
      <c r="I24" s="300">
        <v>0</v>
      </c>
      <c r="K24" s="300">
        <v>2.4592551311443001</v>
      </c>
      <c r="L24" s="300">
        <v>2.4592551311443001</v>
      </c>
    </row>
    <row r="25" spans="1:12">
      <c r="A25" s="300" t="s">
        <v>215</v>
      </c>
      <c r="B25" s="300">
        <v>86.000500573752504</v>
      </c>
      <c r="C25" s="300">
        <v>19.436838707722199</v>
      </c>
      <c r="D25" s="300">
        <v>5.0744652254249996</v>
      </c>
      <c r="E25" s="300">
        <v>0</v>
      </c>
      <c r="F25" s="300">
        <v>7.0537868434781599</v>
      </c>
      <c r="G25" s="300">
        <v>35.546160197264498</v>
      </c>
      <c r="H25" s="300">
        <v>4.8058699017999</v>
      </c>
      <c r="I25" s="300">
        <v>5.5018946715921402</v>
      </c>
      <c r="J25" s="300">
        <v>39.078128437011401</v>
      </c>
      <c r="K25" s="300">
        <v>163.41951612103401</v>
      </c>
      <c r="L25" s="300">
        <v>202.49764455804601</v>
      </c>
    </row>
    <row r="26" spans="1:12">
      <c r="A26" s="300" t="s">
        <v>216</v>
      </c>
      <c r="B26" s="300">
        <v>25.624889910981899</v>
      </c>
      <c r="C26" s="300">
        <v>0</v>
      </c>
      <c r="D26" s="300">
        <v>0</v>
      </c>
      <c r="E26" s="300">
        <v>0</v>
      </c>
      <c r="F26" s="300">
        <v>0</v>
      </c>
      <c r="G26" s="300">
        <v>0</v>
      </c>
      <c r="H26" s="300">
        <v>0</v>
      </c>
      <c r="I26" s="300">
        <v>0</v>
      </c>
      <c r="K26" s="300">
        <v>25.624889910981899</v>
      </c>
      <c r="L26" s="300">
        <v>25.624889910981899</v>
      </c>
    </row>
    <row r="27" spans="1:12">
      <c r="A27" s="300" t="s">
        <v>10</v>
      </c>
      <c r="B27" s="300">
        <v>111.625390484734</v>
      </c>
      <c r="C27" s="300">
        <v>19.436838707722199</v>
      </c>
      <c r="D27" s="300">
        <v>5.0744652254249996</v>
      </c>
      <c r="E27" s="300">
        <v>0</v>
      </c>
      <c r="F27" s="300">
        <v>7.0537868434781599</v>
      </c>
      <c r="G27" s="300">
        <v>35.546160197264498</v>
      </c>
      <c r="H27" s="300">
        <v>4.8058699017999</v>
      </c>
      <c r="I27" s="300">
        <v>5.5018946715921402</v>
      </c>
      <c r="J27" s="300">
        <v>39.078128437011401</v>
      </c>
      <c r="K27" s="300">
        <v>189.04440603201601</v>
      </c>
      <c r="L27" s="300">
        <v>228.12253446902801</v>
      </c>
    </row>
    <row r="28" spans="1:12">
      <c r="A28" s="300" t="s">
        <v>217</v>
      </c>
      <c r="K28" s="300">
        <v>0.93576088486563302</v>
      </c>
    </row>
    <row r="29" spans="1:12">
      <c r="A29" s="300" t="s">
        <v>218</v>
      </c>
    </row>
    <row r="31" spans="1:12">
      <c r="A31" s="300">
        <v>2050</v>
      </c>
    </row>
    <row r="32" spans="1:12">
      <c r="A32" s="300" t="s">
        <v>128</v>
      </c>
      <c r="B32" s="300" t="s">
        <v>57</v>
      </c>
      <c r="C32" s="300" t="s">
        <v>207</v>
      </c>
      <c r="D32" s="300" t="s">
        <v>105</v>
      </c>
      <c r="E32" s="300" t="s">
        <v>42</v>
      </c>
      <c r="F32" s="300" t="s">
        <v>134</v>
      </c>
      <c r="G32" s="300" t="s">
        <v>54</v>
      </c>
      <c r="H32" s="300" t="s">
        <v>208</v>
      </c>
      <c r="I32" s="300" t="s">
        <v>209</v>
      </c>
      <c r="J32" s="300" t="s">
        <v>210</v>
      </c>
      <c r="K32" s="300" t="s">
        <v>211</v>
      </c>
      <c r="L32" s="300" t="s">
        <v>10</v>
      </c>
    </row>
    <row r="33" spans="1:12">
      <c r="A33" s="300" t="s">
        <v>138</v>
      </c>
      <c r="B33" s="300">
        <v>5.8523640541175004</v>
      </c>
      <c r="C33" s="300">
        <v>9.6916384892280991</v>
      </c>
      <c r="D33" s="300">
        <v>12.0940616509414</v>
      </c>
      <c r="F33" s="300">
        <v>5.7376992755080796</v>
      </c>
      <c r="G33" s="300">
        <v>1.6243612661704001</v>
      </c>
      <c r="H33" s="300">
        <v>9.9083878957999996E-3</v>
      </c>
      <c r="I33" s="300">
        <v>1.4344248188770199</v>
      </c>
      <c r="J33" s="300">
        <v>15.069021727073199</v>
      </c>
      <c r="K33" s="300">
        <v>36.444457942738303</v>
      </c>
      <c r="L33" s="300">
        <v>51.513479669811503</v>
      </c>
    </row>
    <row r="34" spans="1:12">
      <c r="A34" s="300" t="s">
        <v>212</v>
      </c>
      <c r="B34" s="300">
        <v>0.11976961531749999</v>
      </c>
      <c r="C34" s="300">
        <v>4.1300172223687497</v>
      </c>
      <c r="D34" s="300">
        <v>0.8946934460707</v>
      </c>
      <c r="E34" s="300">
        <v>0</v>
      </c>
      <c r="F34" s="300">
        <v>0</v>
      </c>
      <c r="G34" s="300">
        <v>1.689494832574</v>
      </c>
      <c r="H34" s="300">
        <v>6.1075926729999997E-3</v>
      </c>
      <c r="I34" s="300">
        <v>3.3230107511964002</v>
      </c>
      <c r="J34" s="300">
        <v>6.1950258335531201</v>
      </c>
      <c r="K34" s="300">
        <v>10.1630934602004</v>
      </c>
      <c r="L34" s="300">
        <v>16.3581192937535</v>
      </c>
    </row>
    <row r="35" spans="1:12">
      <c r="A35" s="300" t="s">
        <v>140</v>
      </c>
      <c r="B35" s="300">
        <v>12.139093722674</v>
      </c>
      <c r="C35" s="300">
        <v>0</v>
      </c>
      <c r="D35" s="300">
        <v>0</v>
      </c>
      <c r="E35" s="300">
        <v>0</v>
      </c>
      <c r="F35" s="300">
        <v>0</v>
      </c>
      <c r="G35" s="300">
        <v>1.3508680727360001</v>
      </c>
      <c r="H35" s="300">
        <v>0.2384320247301</v>
      </c>
      <c r="I35" s="300">
        <v>0</v>
      </c>
      <c r="K35" s="300">
        <v>13.7283938201401</v>
      </c>
      <c r="L35" s="300">
        <v>13.7283938201401</v>
      </c>
    </row>
    <row r="36" spans="1:12">
      <c r="A36" s="300" t="s">
        <v>141</v>
      </c>
      <c r="B36" s="300">
        <v>9.8452476075075008</v>
      </c>
      <c r="C36" s="300">
        <v>0</v>
      </c>
      <c r="D36" s="300">
        <v>0</v>
      </c>
      <c r="E36" s="300">
        <v>0</v>
      </c>
      <c r="F36" s="300">
        <v>0</v>
      </c>
      <c r="G36" s="300">
        <v>0</v>
      </c>
      <c r="H36" s="300">
        <v>0</v>
      </c>
      <c r="I36" s="300">
        <v>0</v>
      </c>
      <c r="K36" s="300">
        <v>9.8452476075075008</v>
      </c>
      <c r="L36" s="300">
        <v>9.8452476075075008</v>
      </c>
    </row>
    <row r="37" spans="1:12">
      <c r="A37" s="300" t="s">
        <v>213</v>
      </c>
      <c r="B37" s="300">
        <v>42.907833391588298</v>
      </c>
      <c r="C37" s="300">
        <v>0</v>
      </c>
      <c r="D37" s="300">
        <v>0</v>
      </c>
      <c r="E37" s="300">
        <v>0</v>
      </c>
      <c r="F37" s="300">
        <v>0</v>
      </c>
      <c r="G37" s="300">
        <v>0</v>
      </c>
      <c r="H37" s="300">
        <v>0</v>
      </c>
      <c r="I37" s="300">
        <v>0</v>
      </c>
      <c r="K37" s="300">
        <v>42.907833391588298</v>
      </c>
      <c r="L37" s="300">
        <v>42.907833391588298</v>
      </c>
    </row>
    <row r="38" spans="1:12">
      <c r="A38" s="300" t="s">
        <v>143</v>
      </c>
      <c r="C38" s="300">
        <v>6.3631434451273003</v>
      </c>
      <c r="D38" s="300">
        <v>0</v>
      </c>
      <c r="E38" s="300">
        <v>0</v>
      </c>
      <c r="F38" s="300">
        <v>0</v>
      </c>
      <c r="G38" s="300">
        <v>0</v>
      </c>
      <c r="H38" s="300">
        <v>0</v>
      </c>
      <c r="I38" s="300">
        <v>0</v>
      </c>
      <c r="K38" s="300">
        <v>6.3631434451273003</v>
      </c>
      <c r="L38" s="300">
        <v>6.4</v>
      </c>
    </row>
    <row r="39" spans="1:12">
      <c r="A39" s="300" t="s">
        <v>214</v>
      </c>
      <c r="B39" s="300">
        <v>0.46133931642010001</v>
      </c>
      <c r="D39" s="300">
        <v>0</v>
      </c>
      <c r="E39" s="300">
        <v>0</v>
      </c>
      <c r="F39" s="300">
        <v>0</v>
      </c>
      <c r="G39" s="300">
        <v>0.95264690516810002</v>
      </c>
      <c r="H39" s="300">
        <v>0</v>
      </c>
      <c r="I39" s="300">
        <v>0</v>
      </c>
      <c r="K39" s="300">
        <v>1.4139862215882</v>
      </c>
      <c r="L39" s="300">
        <v>1.4139862215882</v>
      </c>
    </row>
    <row r="40" spans="1:12">
      <c r="A40" s="300" t="s">
        <v>215</v>
      </c>
      <c r="B40" s="300">
        <v>71.325647707624896</v>
      </c>
      <c r="C40" s="300">
        <v>20.1847991567241</v>
      </c>
      <c r="D40" s="300">
        <v>12.988755097012101</v>
      </c>
      <c r="E40" s="300">
        <v>0</v>
      </c>
      <c r="F40" s="300">
        <v>5.7376992755080796</v>
      </c>
      <c r="G40" s="300">
        <v>5.6173710766485003</v>
      </c>
      <c r="H40" s="300">
        <v>0.25444800529889999</v>
      </c>
      <c r="I40" s="300">
        <v>4.7574355700734197</v>
      </c>
      <c r="J40" s="300">
        <v>44.850389616754001</v>
      </c>
      <c r="K40" s="300">
        <v>120.86615588889001</v>
      </c>
      <c r="L40" s="300">
        <v>165.71654550564401</v>
      </c>
    </row>
    <row r="41" spans="1:12">
      <c r="A41" s="300" t="s">
        <v>216</v>
      </c>
      <c r="B41" s="300">
        <v>23.9431583804922</v>
      </c>
      <c r="C41" s="300">
        <v>0</v>
      </c>
      <c r="D41" s="300">
        <v>0</v>
      </c>
      <c r="E41" s="300">
        <v>0</v>
      </c>
      <c r="F41" s="300">
        <v>0</v>
      </c>
      <c r="G41" s="300">
        <v>0</v>
      </c>
      <c r="H41" s="300">
        <v>0</v>
      </c>
      <c r="I41" s="300">
        <v>0</v>
      </c>
      <c r="K41" s="300">
        <v>23.9431583804922</v>
      </c>
      <c r="L41" s="300">
        <v>23.9431583804922</v>
      </c>
    </row>
    <row r="42" spans="1:12">
      <c r="A42" s="300" t="s">
        <v>10</v>
      </c>
      <c r="B42" s="300">
        <v>95.268806088117103</v>
      </c>
      <c r="C42" s="300">
        <v>20.1847991567241</v>
      </c>
      <c r="D42" s="300">
        <v>12.988755097012101</v>
      </c>
      <c r="E42" s="300">
        <v>0</v>
      </c>
      <c r="F42" s="300">
        <v>5.7376992755080796</v>
      </c>
      <c r="G42" s="300">
        <v>5.6173710766485003</v>
      </c>
      <c r="H42" s="300">
        <v>0.25444800529889999</v>
      </c>
      <c r="I42" s="300">
        <v>4.7574355700734197</v>
      </c>
      <c r="J42" s="300">
        <v>44.850389616754001</v>
      </c>
      <c r="K42" s="300">
        <v>144.80931426938201</v>
      </c>
      <c r="L42" s="300">
        <v>166.11021838488099</v>
      </c>
    </row>
    <row r="43" spans="1:12">
      <c r="A43" s="300" t="s">
        <v>217</v>
      </c>
    </row>
    <row r="44" spans="1:12">
      <c r="A44" s="300" t="s">
        <v>218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L29"/>
  <sheetViews>
    <sheetView workbookViewId="0"/>
  </sheetViews>
  <sheetFormatPr baseColWidth="10" defaultRowHeight="15"/>
  <cols>
    <col min="1" max="16384" width="11.42578125" style="300"/>
  </cols>
  <sheetData>
    <row r="1" spans="1:12">
      <c r="A1" s="300">
        <v>2030</v>
      </c>
    </row>
    <row r="2" spans="1:12">
      <c r="A2" s="300" t="s">
        <v>128</v>
      </c>
      <c r="B2" s="300" t="s">
        <v>57</v>
      </c>
      <c r="C2" s="300" t="s">
        <v>207</v>
      </c>
      <c r="D2" s="300" t="s">
        <v>105</v>
      </c>
      <c r="E2" s="300" t="s">
        <v>42</v>
      </c>
      <c r="F2" s="300" t="s">
        <v>134</v>
      </c>
      <c r="G2" s="300" t="s">
        <v>54</v>
      </c>
      <c r="H2" s="300" t="s">
        <v>208</v>
      </c>
      <c r="I2" s="300" t="s">
        <v>209</v>
      </c>
      <c r="J2" s="300" t="s">
        <v>210</v>
      </c>
      <c r="K2" s="300" t="s">
        <v>211</v>
      </c>
      <c r="L2" s="300" t="s">
        <v>10</v>
      </c>
    </row>
    <row r="3" spans="1:12">
      <c r="A3" s="300" t="s">
        <v>138</v>
      </c>
      <c r="B3" s="300">
        <v>7.9865806915524002</v>
      </c>
      <c r="C3" s="300">
        <v>9.2211616891774</v>
      </c>
      <c r="D3" s="300">
        <v>4.1797717793542999</v>
      </c>
      <c r="F3" s="300">
        <v>7.0537868434781599</v>
      </c>
      <c r="G3" s="300">
        <v>27.7414380005239</v>
      </c>
      <c r="H3" s="300">
        <v>4.0007689276751002</v>
      </c>
      <c r="I3" s="300">
        <v>1.76344671086954</v>
      </c>
      <c r="J3" s="300">
        <v>14.106786738135799</v>
      </c>
      <c r="K3" s="300">
        <v>61.9469546426308</v>
      </c>
      <c r="L3" s="300">
        <v>76.053741380766596</v>
      </c>
    </row>
    <row r="4" spans="1:12">
      <c r="A4" s="300" t="s">
        <v>212</v>
      </c>
      <c r="B4" s="300">
        <v>4.1300172223687497</v>
      </c>
      <c r="C4" s="300">
        <v>4.1300172223687497</v>
      </c>
      <c r="D4" s="300">
        <v>0.8946934460707</v>
      </c>
      <c r="E4" s="300">
        <v>0</v>
      </c>
      <c r="F4" s="300">
        <v>0</v>
      </c>
      <c r="G4" s="300">
        <v>3.6379629672113998</v>
      </c>
      <c r="H4" s="300">
        <v>0.19343554945649999</v>
      </c>
      <c r="I4" s="300">
        <v>3.7384479607226</v>
      </c>
      <c r="J4" s="300">
        <v>6.1950258335531201</v>
      </c>
      <c r="K4" s="300">
        <v>16.724574368198699</v>
      </c>
      <c r="L4" s="300">
        <v>22.919600201751798</v>
      </c>
    </row>
    <row r="5" spans="1:12">
      <c r="A5" s="300" t="s">
        <v>140</v>
      </c>
      <c r="B5" s="300">
        <v>11.8721780932577</v>
      </c>
      <c r="C5" s="300">
        <v>0</v>
      </c>
      <c r="D5" s="300">
        <v>0</v>
      </c>
      <c r="E5" s="300">
        <v>0</v>
      </c>
      <c r="F5" s="300">
        <v>0</v>
      </c>
      <c r="G5" s="300">
        <v>2.5273881171479</v>
      </c>
      <c r="H5" s="300">
        <v>0.61166542466829998</v>
      </c>
      <c r="I5" s="300">
        <v>0</v>
      </c>
      <c r="K5" s="300">
        <v>15.0112316350739</v>
      </c>
      <c r="L5" s="300">
        <v>15.0112316350739</v>
      </c>
    </row>
    <row r="6" spans="1:12">
      <c r="A6" s="300" t="s">
        <v>141</v>
      </c>
      <c r="B6" s="300">
        <v>15.2848315075233</v>
      </c>
      <c r="C6" s="300">
        <v>0</v>
      </c>
      <c r="D6" s="300">
        <v>0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K6" s="300">
        <v>15.2848315075233</v>
      </c>
      <c r="L6" s="300">
        <v>15.2848315075233</v>
      </c>
    </row>
    <row r="7" spans="1:12">
      <c r="A7" s="300" t="s">
        <v>213</v>
      </c>
      <c r="B7" s="300">
        <v>45.907009040287299</v>
      </c>
      <c r="C7" s="300">
        <v>0</v>
      </c>
      <c r="D7" s="300">
        <v>0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K7" s="300">
        <v>45.907009040287299</v>
      </c>
      <c r="L7" s="300">
        <v>45.907009040287299</v>
      </c>
    </row>
    <row r="8" spans="1:12">
      <c r="A8" s="300" t="s">
        <v>143</v>
      </c>
      <c r="C8" s="300">
        <v>6.0856597961760004</v>
      </c>
      <c r="D8" s="300">
        <v>0</v>
      </c>
      <c r="E8" s="300">
        <v>0</v>
      </c>
      <c r="F8" s="300">
        <v>0</v>
      </c>
      <c r="G8" s="300">
        <v>0</v>
      </c>
      <c r="H8" s="300">
        <v>0</v>
      </c>
      <c r="I8" s="300">
        <v>0</v>
      </c>
      <c r="J8" s="300">
        <v>18.776315865322498</v>
      </c>
      <c r="K8" s="300">
        <v>6.0856597961760004</v>
      </c>
      <c r="L8" s="300">
        <v>24.861975661498501</v>
      </c>
    </row>
    <row r="9" spans="1:12">
      <c r="A9" s="300" t="s">
        <v>214</v>
      </c>
      <c r="B9" s="300">
        <v>0.81988401876299999</v>
      </c>
      <c r="D9" s="300">
        <v>0</v>
      </c>
      <c r="E9" s="300">
        <v>0</v>
      </c>
      <c r="F9" s="300">
        <v>0</v>
      </c>
      <c r="G9" s="300">
        <v>1.6393711123813</v>
      </c>
      <c r="H9" s="300">
        <v>0</v>
      </c>
      <c r="I9" s="300">
        <v>0</v>
      </c>
      <c r="K9" s="300">
        <v>2.4592551311443001</v>
      </c>
      <c r="L9" s="300">
        <v>2.4592551311443001</v>
      </c>
    </row>
    <row r="10" spans="1:12">
      <c r="A10" s="300" t="s">
        <v>215</v>
      </c>
      <c r="B10" s="300">
        <v>86.000500573752504</v>
      </c>
      <c r="C10" s="300">
        <v>19.436838707722199</v>
      </c>
      <c r="D10" s="300">
        <v>5.0744652254249996</v>
      </c>
      <c r="E10" s="300">
        <v>0</v>
      </c>
      <c r="F10" s="300">
        <v>7.0537868434781599</v>
      </c>
      <c r="G10" s="300">
        <v>35.546160197264498</v>
      </c>
      <c r="H10" s="300">
        <v>4.8058699017999</v>
      </c>
      <c r="I10" s="300">
        <v>5.5018946715921402</v>
      </c>
      <c r="J10" s="300">
        <v>39.078128437011401</v>
      </c>
      <c r="K10" s="300">
        <v>163.41951612103401</v>
      </c>
      <c r="L10" s="300">
        <v>202.49764455804601</v>
      </c>
    </row>
    <row r="11" spans="1:12">
      <c r="A11" s="300" t="s">
        <v>216</v>
      </c>
      <c r="B11" s="300">
        <v>25.624889910981899</v>
      </c>
      <c r="C11" s="300">
        <v>0</v>
      </c>
      <c r="D11" s="300">
        <v>0</v>
      </c>
      <c r="E11" s="300">
        <v>0</v>
      </c>
      <c r="F11" s="300">
        <v>0</v>
      </c>
      <c r="G11" s="300">
        <v>0</v>
      </c>
      <c r="H11" s="300">
        <v>0</v>
      </c>
      <c r="I11" s="300">
        <v>0</v>
      </c>
      <c r="K11" s="300">
        <v>25.624889910981899</v>
      </c>
      <c r="L11" s="300">
        <v>25.624889910981899</v>
      </c>
    </row>
    <row r="12" spans="1:12">
      <c r="A12" s="300" t="s">
        <v>10</v>
      </c>
      <c r="B12" s="300">
        <v>111.625390484734</v>
      </c>
      <c r="C12" s="300">
        <v>19.436838707722199</v>
      </c>
      <c r="D12" s="300">
        <v>5.0744652254249996</v>
      </c>
      <c r="E12" s="300">
        <v>0</v>
      </c>
      <c r="F12" s="300">
        <v>7.0537868434781599</v>
      </c>
      <c r="G12" s="300">
        <v>35.546160197264498</v>
      </c>
      <c r="H12" s="300">
        <v>4.8058699017999</v>
      </c>
      <c r="I12" s="300">
        <v>5.5018946715921402</v>
      </c>
      <c r="J12" s="300">
        <v>39.078128437011401</v>
      </c>
      <c r="K12" s="300">
        <v>189.04440603201601</v>
      </c>
      <c r="L12" s="300">
        <v>228.12253446902801</v>
      </c>
    </row>
    <row r="13" spans="1:12">
      <c r="A13" s="300" t="s">
        <v>217</v>
      </c>
      <c r="K13" s="300">
        <v>0.93576088486563302</v>
      </c>
    </row>
    <row r="14" spans="1:12">
      <c r="A14" s="300" t="s">
        <v>218</v>
      </c>
    </row>
    <row r="16" spans="1:12">
      <c r="A16" s="300">
        <v>2050</v>
      </c>
    </row>
    <row r="17" spans="1:12">
      <c r="A17" s="300" t="s">
        <v>128</v>
      </c>
      <c r="B17" s="300" t="s">
        <v>57</v>
      </c>
      <c r="C17" s="300" t="s">
        <v>207</v>
      </c>
      <c r="D17" s="300" t="s">
        <v>105</v>
      </c>
      <c r="E17" s="300" t="s">
        <v>42</v>
      </c>
      <c r="F17" s="300" t="s">
        <v>134</v>
      </c>
      <c r="G17" s="300" t="s">
        <v>54</v>
      </c>
      <c r="H17" s="300" t="s">
        <v>208</v>
      </c>
      <c r="I17" s="300" t="s">
        <v>209</v>
      </c>
      <c r="J17" s="300" t="s">
        <v>210</v>
      </c>
      <c r="K17" s="300" t="s">
        <v>211</v>
      </c>
      <c r="L17" s="300" t="s">
        <v>10</v>
      </c>
    </row>
    <row r="18" spans="1:12">
      <c r="A18" s="300" t="s">
        <v>138</v>
      </c>
      <c r="B18" s="300">
        <v>5.8523640541175004</v>
      </c>
      <c r="C18" s="300">
        <v>9.6916384892280991</v>
      </c>
      <c r="D18" s="300">
        <v>12.0940616509414</v>
      </c>
      <c r="F18" s="300">
        <v>5.7376992755080796</v>
      </c>
      <c r="G18" s="300">
        <v>1.6243612661704001</v>
      </c>
      <c r="H18" s="300">
        <v>9.9083878957999996E-3</v>
      </c>
      <c r="I18" s="300">
        <v>1.4344248188770199</v>
      </c>
      <c r="J18" s="300">
        <v>15.069021727073199</v>
      </c>
      <c r="K18" s="300">
        <v>36.444457942738303</v>
      </c>
      <c r="L18" s="300">
        <v>51.513479669811503</v>
      </c>
    </row>
    <row r="19" spans="1:12">
      <c r="A19" s="300" t="s">
        <v>212</v>
      </c>
      <c r="B19" s="300">
        <v>0.11976961531749999</v>
      </c>
      <c r="C19" s="300">
        <v>4.1300172223687497</v>
      </c>
      <c r="D19" s="300">
        <v>0.8946934460707</v>
      </c>
      <c r="E19" s="300">
        <v>0</v>
      </c>
      <c r="F19" s="300">
        <v>0</v>
      </c>
      <c r="G19" s="300">
        <v>1.689494832574</v>
      </c>
      <c r="H19" s="300">
        <v>6.1075926729999997E-3</v>
      </c>
      <c r="I19" s="300">
        <v>3.3230107511964002</v>
      </c>
      <c r="J19" s="300">
        <v>6.1950258335531201</v>
      </c>
      <c r="K19" s="300">
        <v>10.1630934602004</v>
      </c>
      <c r="L19" s="300">
        <v>16.3581192937535</v>
      </c>
    </row>
    <row r="20" spans="1:12">
      <c r="A20" s="300" t="s">
        <v>140</v>
      </c>
      <c r="B20" s="300">
        <v>12.139093722674</v>
      </c>
      <c r="C20" s="300">
        <v>0</v>
      </c>
      <c r="D20" s="300">
        <v>0</v>
      </c>
      <c r="E20" s="300">
        <v>0</v>
      </c>
      <c r="F20" s="300">
        <v>0</v>
      </c>
      <c r="G20" s="300">
        <v>1.3508680727360001</v>
      </c>
      <c r="H20" s="300">
        <v>0.2384320247301</v>
      </c>
      <c r="I20" s="300">
        <v>0</v>
      </c>
      <c r="K20" s="300">
        <v>13.7283938201401</v>
      </c>
      <c r="L20" s="300">
        <v>13.7283938201401</v>
      </c>
    </row>
    <row r="21" spans="1:12">
      <c r="A21" s="300" t="s">
        <v>141</v>
      </c>
      <c r="B21" s="300">
        <v>9.8452476075075008</v>
      </c>
      <c r="C21" s="300">
        <v>0</v>
      </c>
      <c r="D21" s="300">
        <v>0</v>
      </c>
      <c r="E21" s="300">
        <v>0</v>
      </c>
      <c r="F21" s="300">
        <v>0</v>
      </c>
      <c r="G21" s="300">
        <v>0</v>
      </c>
      <c r="H21" s="300">
        <v>0</v>
      </c>
      <c r="I21" s="300">
        <v>0</v>
      </c>
      <c r="K21" s="300">
        <v>9.8452476075075008</v>
      </c>
      <c r="L21" s="300">
        <v>9.8452476075075008</v>
      </c>
    </row>
    <row r="22" spans="1:12">
      <c r="A22" s="300" t="s">
        <v>213</v>
      </c>
      <c r="B22" s="300">
        <v>42.907833391588298</v>
      </c>
      <c r="C22" s="300">
        <v>0</v>
      </c>
      <c r="D22" s="300">
        <v>0</v>
      </c>
      <c r="E22" s="300">
        <v>0</v>
      </c>
      <c r="F22" s="300">
        <v>0</v>
      </c>
      <c r="G22" s="300">
        <v>0</v>
      </c>
      <c r="H22" s="300">
        <v>0</v>
      </c>
      <c r="I22" s="300">
        <v>0</v>
      </c>
      <c r="K22" s="300">
        <v>42.907833391588298</v>
      </c>
      <c r="L22" s="300">
        <v>42.907833391588298</v>
      </c>
    </row>
    <row r="23" spans="1:12">
      <c r="A23" s="300" t="s">
        <v>143</v>
      </c>
      <c r="C23" s="300">
        <v>6.3631434451273003</v>
      </c>
      <c r="D23" s="300">
        <v>0</v>
      </c>
      <c r="E23" s="300">
        <v>0</v>
      </c>
      <c r="F23" s="300">
        <v>0</v>
      </c>
      <c r="G23" s="300">
        <v>0</v>
      </c>
      <c r="H23" s="300">
        <v>0</v>
      </c>
      <c r="I23" s="300">
        <v>0</v>
      </c>
      <c r="K23" s="300">
        <v>6.3631434451273003</v>
      </c>
      <c r="L23" s="300">
        <v>6.4</v>
      </c>
    </row>
    <row r="24" spans="1:12">
      <c r="A24" s="300" t="s">
        <v>214</v>
      </c>
      <c r="B24" s="300">
        <v>0.46133931642010001</v>
      </c>
      <c r="D24" s="300">
        <v>0</v>
      </c>
      <c r="E24" s="300">
        <v>0</v>
      </c>
      <c r="F24" s="300">
        <v>0</v>
      </c>
      <c r="G24" s="300">
        <v>0.95264690516810002</v>
      </c>
      <c r="H24" s="300">
        <v>0</v>
      </c>
      <c r="I24" s="300">
        <v>0</v>
      </c>
      <c r="K24" s="300">
        <v>1.4139862215882</v>
      </c>
      <c r="L24" s="300">
        <v>1.4139862215882</v>
      </c>
    </row>
    <row r="25" spans="1:12">
      <c r="A25" s="300" t="s">
        <v>215</v>
      </c>
      <c r="B25" s="300">
        <v>71.325647707624896</v>
      </c>
      <c r="C25" s="300">
        <v>20.1847991567241</v>
      </c>
      <c r="D25" s="300">
        <v>12.988755097012101</v>
      </c>
      <c r="E25" s="300">
        <v>0</v>
      </c>
      <c r="F25" s="300">
        <v>5.7376992755080796</v>
      </c>
      <c r="G25" s="300">
        <v>5.6173710766485003</v>
      </c>
      <c r="H25" s="300">
        <v>0.25444800529889999</v>
      </c>
      <c r="I25" s="300">
        <v>4.7574355700734197</v>
      </c>
      <c r="J25" s="300">
        <v>44.850389616754001</v>
      </c>
      <c r="K25" s="300">
        <v>120.86615588889001</v>
      </c>
      <c r="L25" s="300">
        <v>165.71654550564401</v>
      </c>
    </row>
    <row r="26" spans="1:12">
      <c r="A26" s="300" t="s">
        <v>216</v>
      </c>
      <c r="B26" s="300">
        <v>23.9431583804922</v>
      </c>
      <c r="C26" s="300">
        <v>0</v>
      </c>
      <c r="D26" s="300">
        <v>0</v>
      </c>
      <c r="E26" s="300">
        <v>0</v>
      </c>
      <c r="F26" s="300">
        <v>0</v>
      </c>
      <c r="G26" s="300">
        <v>0</v>
      </c>
      <c r="H26" s="300">
        <v>0</v>
      </c>
      <c r="I26" s="300">
        <v>0</v>
      </c>
      <c r="K26" s="300">
        <v>23.9431583804922</v>
      </c>
      <c r="L26" s="300">
        <v>23.9431583804922</v>
      </c>
    </row>
    <row r="27" spans="1:12">
      <c r="A27" s="300" t="s">
        <v>10</v>
      </c>
      <c r="B27" s="300">
        <v>95.268806088117103</v>
      </c>
      <c r="C27" s="300">
        <v>20.1847991567241</v>
      </c>
      <c r="D27" s="300">
        <v>12.988755097012101</v>
      </c>
      <c r="E27" s="300">
        <v>0</v>
      </c>
      <c r="F27" s="300">
        <v>5.7376992755080796</v>
      </c>
      <c r="G27" s="300">
        <v>5.6173710766485003</v>
      </c>
      <c r="H27" s="300">
        <v>0.25444800529889999</v>
      </c>
      <c r="I27" s="300">
        <v>4.7574355700734197</v>
      </c>
      <c r="J27" s="300">
        <v>44.850389616754001</v>
      </c>
      <c r="K27" s="300">
        <v>144.80931426938201</v>
      </c>
      <c r="L27" s="300">
        <v>166.11021838488099</v>
      </c>
    </row>
    <row r="28" spans="1:12">
      <c r="A28" s="300" t="s">
        <v>217</v>
      </c>
    </row>
    <row r="29" spans="1:12">
      <c r="A29" s="300" t="s">
        <v>218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L14"/>
  <sheetViews>
    <sheetView workbookViewId="0"/>
  </sheetViews>
  <sheetFormatPr baseColWidth="10" defaultRowHeight="15"/>
  <cols>
    <col min="1" max="16384" width="11.42578125" style="300"/>
  </cols>
  <sheetData>
    <row r="1" spans="1:12">
      <c r="A1" s="300">
        <v>2050</v>
      </c>
    </row>
    <row r="2" spans="1:12">
      <c r="A2" s="300" t="s">
        <v>128</v>
      </c>
      <c r="B2" s="300" t="s">
        <v>57</v>
      </c>
      <c r="C2" s="300" t="s">
        <v>207</v>
      </c>
      <c r="D2" s="300" t="s">
        <v>105</v>
      </c>
      <c r="E2" s="300" t="s">
        <v>42</v>
      </c>
      <c r="F2" s="300" t="s">
        <v>134</v>
      </c>
      <c r="G2" s="300" t="s">
        <v>54</v>
      </c>
      <c r="H2" s="300" t="s">
        <v>208</v>
      </c>
      <c r="I2" s="300" t="s">
        <v>209</v>
      </c>
      <c r="J2" s="300" t="s">
        <v>210</v>
      </c>
      <c r="K2" s="300" t="s">
        <v>211</v>
      </c>
      <c r="L2" s="300" t="s">
        <v>10</v>
      </c>
    </row>
    <row r="3" spans="1:12">
      <c r="A3" s="300" t="s">
        <v>138</v>
      </c>
      <c r="B3" s="300">
        <v>5.8523640541175004</v>
      </c>
      <c r="C3" s="300">
        <v>9.6916384892280991</v>
      </c>
      <c r="D3" s="300">
        <v>12.0940616509414</v>
      </c>
      <c r="F3" s="300">
        <v>5.7376992755080796</v>
      </c>
      <c r="G3" s="300">
        <v>1.6243612661704001</v>
      </c>
      <c r="H3" s="300">
        <v>9.9083878957999996E-3</v>
      </c>
      <c r="I3" s="300">
        <v>1.4344248188770199</v>
      </c>
      <c r="J3" s="300">
        <v>15.069021727073199</v>
      </c>
      <c r="K3" s="300">
        <v>36.444457942738303</v>
      </c>
      <c r="L3" s="300">
        <v>51.513479669811503</v>
      </c>
    </row>
    <row r="4" spans="1:12">
      <c r="A4" s="300" t="s">
        <v>212</v>
      </c>
      <c r="B4" s="300">
        <v>0.11976961531749999</v>
      </c>
      <c r="C4" s="300">
        <v>4.1300172223687497</v>
      </c>
      <c r="D4" s="300">
        <v>0.8946934460707</v>
      </c>
      <c r="E4" s="300">
        <v>0</v>
      </c>
      <c r="F4" s="300">
        <v>0</v>
      </c>
      <c r="G4" s="300">
        <v>1.689494832574</v>
      </c>
      <c r="H4" s="300">
        <v>6.1075926729999997E-3</v>
      </c>
      <c r="I4" s="300">
        <v>3.3230107511964002</v>
      </c>
      <c r="J4" s="300">
        <v>6.1950258335531201</v>
      </c>
      <c r="K4" s="300">
        <v>10.1630934602004</v>
      </c>
      <c r="L4" s="300">
        <v>16.3581192937535</v>
      </c>
    </row>
    <row r="5" spans="1:12">
      <c r="A5" s="300" t="s">
        <v>140</v>
      </c>
      <c r="B5" s="300">
        <v>12.139093722674</v>
      </c>
      <c r="C5" s="300">
        <v>0</v>
      </c>
      <c r="D5" s="300">
        <v>0</v>
      </c>
      <c r="E5" s="300">
        <v>0</v>
      </c>
      <c r="F5" s="300">
        <v>0</v>
      </c>
      <c r="G5" s="300">
        <v>1.3508680727360001</v>
      </c>
      <c r="H5" s="300">
        <v>0.2384320247301</v>
      </c>
      <c r="I5" s="300">
        <v>0</v>
      </c>
      <c r="K5" s="300">
        <v>13.7283938201401</v>
      </c>
      <c r="L5" s="300">
        <v>13.7283938201401</v>
      </c>
    </row>
    <row r="6" spans="1:12">
      <c r="A6" s="300" t="s">
        <v>141</v>
      </c>
      <c r="B6" s="300">
        <v>9.8452476075075008</v>
      </c>
      <c r="C6" s="300">
        <v>0</v>
      </c>
      <c r="D6" s="300">
        <v>0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K6" s="300">
        <v>9.8452476075075008</v>
      </c>
      <c r="L6" s="300">
        <v>9.8452476075075008</v>
      </c>
    </row>
    <row r="7" spans="1:12">
      <c r="A7" s="300" t="s">
        <v>213</v>
      </c>
      <c r="B7" s="300">
        <v>42.907833391588298</v>
      </c>
      <c r="C7" s="300">
        <v>0</v>
      </c>
      <c r="D7" s="300">
        <v>0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K7" s="300">
        <v>42.907833391588298</v>
      </c>
      <c r="L7" s="300">
        <v>42.907833391588298</v>
      </c>
    </row>
    <row r="8" spans="1:12">
      <c r="A8" s="300" t="s">
        <v>143</v>
      </c>
      <c r="C8" s="300">
        <v>6.3631434451273003</v>
      </c>
      <c r="D8" s="300">
        <v>0</v>
      </c>
      <c r="E8" s="300">
        <v>0</v>
      </c>
      <c r="F8" s="300">
        <v>0</v>
      </c>
      <c r="G8" s="300">
        <v>0</v>
      </c>
      <c r="H8" s="300">
        <v>0</v>
      </c>
      <c r="I8" s="300">
        <v>0</v>
      </c>
      <c r="K8" s="300">
        <v>6.3631434451273003</v>
      </c>
      <c r="L8" s="300">
        <v>6.4</v>
      </c>
    </row>
    <row r="9" spans="1:12">
      <c r="A9" s="300" t="s">
        <v>214</v>
      </c>
      <c r="B9" s="300">
        <v>0.46133931642010001</v>
      </c>
      <c r="D9" s="300">
        <v>0</v>
      </c>
      <c r="E9" s="300">
        <v>0</v>
      </c>
      <c r="F9" s="300">
        <v>0</v>
      </c>
      <c r="G9" s="300">
        <v>0.95264690516810002</v>
      </c>
      <c r="H9" s="300">
        <v>0</v>
      </c>
      <c r="I9" s="300">
        <v>0</v>
      </c>
      <c r="K9" s="300">
        <v>1.4139862215882</v>
      </c>
      <c r="L9" s="300">
        <v>1.4139862215882</v>
      </c>
    </row>
    <row r="10" spans="1:12">
      <c r="A10" s="300" t="s">
        <v>215</v>
      </c>
      <c r="B10" s="300">
        <v>71.325647707624896</v>
      </c>
      <c r="C10" s="300">
        <v>20.1847991567241</v>
      </c>
      <c r="D10" s="300">
        <v>12.988755097012101</v>
      </c>
      <c r="E10" s="300">
        <v>0</v>
      </c>
      <c r="F10" s="300">
        <v>5.7376992755080796</v>
      </c>
      <c r="G10" s="300">
        <v>5.6173710766485003</v>
      </c>
      <c r="H10" s="300">
        <v>0.25444800529889999</v>
      </c>
      <c r="I10" s="300">
        <v>4.7574355700734197</v>
      </c>
      <c r="J10" s="300">
        <v>44.850389616754001</v>
      </c>
      <c r="K10" s="300">
        <v>120.86615588889001</v>
      </c>
      <c r="L10" s="300">
        <v>165.71654550564401</v>
      </c>
    </row>
    <row r="11" spans="1:12">
      <c r="A11" s="300" t="s">
        <v>216</v>
      </c>
      <c r="B11" s="300">
        <v>23.9431583804922</v>
      </c>
      <c r="C11" s="300">
        <v>0</v>
      </c>
      <c r="D11" s="300">
        <v>0</v>
      </c>
      <c r="E11" s="300">
        <v>0</v>
      </c>
      <c r="F11" s="300">
        <v>0</v>
      </c>
      <c r="G11" s="300">
        <v>0</v>
      </c>
      <c r="H11" s="300">
        <v>0</v>
      </c>
      <c r="I11" s="300">
        <v>0</v>
      </c>
      <c r="K11" s="300">
        <v>23.9431583804922</v>
      </c>
      <c r="L11" s="300">
        <v>23.9431583804922</v>
      </c>
    </row>
    <row r="12" spans="1:12">
      <c r="A12" s="300" t="s">
        <v>10</v>
      </c>
      <c r="B12" s="300">
        <v>95.268806088117103</v>
      </c>
      <c r="C12" s="300">
        <v>20.1847991567241</v>
      </c>
      <c r="D12" s="300">
        <v>12.988755097012101</v>
      </c>
      <c r="E12" s="300">
        <v>0</v>
      </c>
      <c r="F12" s="300">
        <v>5.7376992755080796</v>
      </c>
      <c r="G12" s="300">
        <v>5.6173710766485003</v>
      </c>
      <c r="H12" s="300">
        <v>0.25444800529889999</v>
      </c>
      <c r="I12" s="300">
        <v>4.7574355700734197</v>
      </c>
      <c r="J12" s="300">
        <v>44.850389616754001</v>
      </c>
      <c r="K12" s="300">
        <v>144.80931426938201</v>
      </c>
      <c r="L12" s="300">
        <v>166.11021838488099</v>
      </c>
    </row>
    <row r="13" spans="1:12">
      <c r="A13" s="300" t="s">
        <v>217</v>
      </c>
    </row>
    <row r="14" spans="1:12">
      <c r="A14" s="300" t="s">
        <v>218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K50"/>
  <sheetViews>
    <sheetView workbookViewId="0"/>
  </sheetViews>
  <sheetFormatPr baseColWidth="10" defaultRowHeight="15"/>
  <sheetData>
    <row r="1" spans="1:11">
      <c r="A1" t="s">
        <v>222</v>
      </c>
    </row>
    <row r="3" spans="1:11">
      <c r="B3" t="s">
        <v>223</v>
      </c>
    </row>
    <row r="4" spans="1:11">
      <c r="C4" t="s">
        <v>54</v>
      </c>
      <c r="D4" t="s">
        <v>224</v>
      </c>
      <c r="E4" t="s">
        <v>225</v>
      </c>
      <c r="F4" t="s">
        <v>226</v>
      </c>
      <c r="G4" t="s">
        <v>134</v>
      </c>
      <c r="H4" t="s">
        <v>227</v>
      </c>
      <c r="I4" t="s">
        <v>10</v>
      </c>
      <c r="J4" t="s">
        <v>228</v>
      </c>
      <c r="K4" t="s">
        <v>229</v>
      </c>
    </row>
    <row r="5" spans="1:11">
      <c r="A5" t="s">
        <v>230</v>
      </c>
      <c r="B5" t="s">
        <v>231</v>
      </c>
      <c r="C5">
        <v>75.943574999999996</v>
      </c>
      <c r="D5">
        <v>59.147292999999998</v>
      </c>
      <c r="E5">
        <v>31.440052000000001</v>
      </c>
      <c r="F5">
        <v>0.71148400000000001</v>
      </c>
      <c r="G5">
        <v>48.420904999999998</v>
      </c>
      <c r="H5">
        <v>0</v>
      </c>
      <c r="I5">
        <v>215.663309</v>
      </c>
      <c r="J5">
        <v>1.422968</v>
      </c>
      <c r="K5">
        <v>217.086277</v>
      </c>
    </row>
    <row r="6" spans="1:11">
      <c r="B6" t="s">
        <v>232</v>
      </c>
      <c r="C6">
        <v>1.4633107999999999</v>
      </c>
      <c r="D6">
        <v>7.4991199999999994E-2</v>
      </c>
      <c r="E6">
        <v>2.9691252000000001</v>
      </c>
      <c r="F6">
        <v>0.53709240000000003</v>
      </c>
      <c r="G6">
        <v>0.22598860000000001</v>
      </c>
      <c r="H6">
        <v>3.7794E-3</v>
      </c>
      <c r="I6">
        <v>5.2742876000000001</v>
      </c>
      <c r="J6">
        <v>1.0741848000000001</v>
      </c>
      <c r="K6">
        <v>6.3484724000000003</v>
      </c>
    </row>
    <row r="7" spans="1:11">
      <c r="B7" t="s">
        <v>233</v>
      </c>
      <c r="C7">
        <v>61.531348000000001</v>
      </c>
      <c r="D7">
        <v>9.4036627999999993</v>
      </c>
      <c r="E7">
        <v>10.650235</v>
      </c>
      <c r="F7">
        <v>0.16498550000000001</v>
      </c>
      <c r="G7">
        <v>0</v>
      </c>
      <c r="H7">
        <v>12.714601999999999</v>
      </c>
      <c r="I7">
        <v>94.464833299999995</v>
      </c>
      <c r="J7">
        <v>0.32997100000000001</v>
      </c>
      <c r="K7">
        <v>94.794804299999996</v>
      </c>
    </row>
    <row r="8" spans="1:11">
      <c r="B8" t="s">
        <v>234</v>
      </c>
      <c r="C8">
        <v>1.8106469999999999</v>
      </c>
      <c r="D8">
        <v>0</v>
      </c>
      <c r="E8">
        <v>0.94022530000000004</v>
      </c>
      <c r="F8">
        <v>0.16561049999999999</v>
      </c>
      <c r="G8">
        <v>2.4927E-3</v>
      </c>
      <c r="H8">
        <v>0.2993596</v>
      </c>
      <c r="I8">
        <v>3.2183351</v>
      </c>
      <c r="J8">
        <v>0.33122099999999999</v>
      </c>
      <c r="K8">
        <v>3.5495561000000002</v>
      </c>
    </row>
    <row r="9" spans="1:11">
      <c r="B9" t="s">
        <v>10</v>
      </c>
      <c r="C9">
        <v>140.74888079999999</v>
      </c>
      <c r="D9">
        <v>68.625946999999996</v>
      </c>
      <c r="E9">
        <v>45.999637499999999</v>
      </c>
      <c r="F9">
        <v>1.5791724</v>
      </c>
      <c r="G9">
        <v>48.649386300000003</v>
      </c>
      <c r="H9">
        <v>13.017740999999999</v>
      </c>
      <c r="I9">
        <v>318.62076500000001</v>
      </c>
      <c r="J9">
        <v>3.1583448000000001</v>
      </c>
      <c r="K9">
        <v>321.77910980000001</v>
      </c>
    </row>
    <row r="11" spans="1:11">
      <c r="A11" t="s">
        <v>235</v>
      </c>
    </row>
    <row r="12" spans="1:11">
      <c r="C12" t="s">
        <v>54</v>
      </c>
      <c r="D12" t="s">
        <v>224</v>
      </c>
      <c r="E12" t="s">
        <v>225</v>
      </c>
      <c r="F12" t="s">
        <v>226</v>
      </c>
      <c r="G12" t="s">
        <v>134</v>
      </c>
      <c r="H12" t="s">
        <v>227</v>
      </c>
      <c r="I12" t="s">
        <v>10</v>
      </c>
      <c r="J12" t="s">
        <v>228</v>
      </c>
      <c r="K12" t="s">
        <v>229</v>
      </c>
    </row>
    <row r="13" spans="1:11">
      <c r="A13" t="s">
        <v>230</v>
      </c>
      <c r="B13" t="s">
        <v>231</v>
      </c>
      <c r="C13">
        <v>70.910274999999999</v>
      </c>
      <c r="D13">
        <v>51.957292000000002</v>
      </c>
      <c r="E13">
        <v>28.546569000000002</v>
      </c>
      <c r="F13">
        <v>1.3306235</v>
      </c>
      <c r="G13">
        <v>48.821179000000001</v>
      </c>
      <c r="H13">
        <v>0</v>
      </c>
      <c r="I13">
        <v>201.56593849999999</v>
      </c>
      <c r="J13">
        <v>2.6612469999999999</v>
      </c>
      <c r="K13">
        <v>204.22718549999999</v>
      </c>
    </row>
    <row r="14" spans="1:11">
      <c r="B14" t="s">
        <v>232</v>
      </c>
      <c r="C14">
        <v>1.8763993000000001</v>
      </c>
      <c r="D14">
        <v>7.4991199999999994E-2</v>
      </c>
      <c r="E14">
        <v>3.0184796</v>
      </c>
      <c r="F14">
        <v>1.0201834000000001</v>
      </c>
      <c r="G14">
        <v>0.58581930000000004</v>
      </c>
      <c r="H14">
        <v>5.1790799999999998E-2</v>
      </c>
      <c r="I14">
        <v>6.6276636</v>
      </c>
      <c r="J14">
        <v>2.0403668000000001</v>
      </c>
      <c r="K14">
        <v>8.6680303999999992</v>
      </c>
    </row>
    <row r="15" spans="1:11">
      <c r="B15" t="s">
        <v>233</v>
      </c>
      <c r="C15">
        <v>57.179420999999998</v>
      </c>
      <c r="D15">
        <v>7.3662149000000001</v>
      </c>
      <c r="E15">
        <v>10.201407</v>
      </c>
      <c r="F15">
        <v>0.27936349999999999</v>
      </c>
      <c r="G15">
        <v>0</v>
      </c>
      <c r="H15">
        <v>13.177293000000001</v>
      </c>
      <c r="I15">
        <v>88.203699400000005</v>
      </c>
      <c r="J15">
        <v>0.55872699999999997</v>
      </c>
      <c r="K15">
        <v>88.762426399999995</v>
      </c>
    </row>
    <row r="16" spans="1:11">
      <c r="B16" t="s">
        <v>234</v>
      </c>
      <c r="C16">
        <v>2.930526</v>
      </c>
      <c r="D16">
        <v>0</v>
      </c>
      <c r="E16">
        <v>1.1283666000000001</v>
      </c>
      <c r="F16">
        <v>0.2126458</v>
      </c>
      <c r="G16">
        <v>5.93565E-2</v>
      </c>
      <c r="H16">
        <v>0.53837970000000002</v>
      </c>
      <c r="I16">
        <v>4.8692745999999998</v>
      </c>
      <c r="J16">
        <v>0.42529159999999999</v>
      </c>
      <c r="K16">
        <v>5.2945662000000002</v>
      </c>
    </row>
    <row r="17" spans="1:11">
      <c r="B17" t="s">
        <v>10</v>
      </c>
      <c r="C17">
        <v>132.89662129999999</v>
      </c>
      <c r="D17">
        <v>59.398498099999998</v>
      </c>
      <c r="E17">
        <v>42.8948222</v>
      </c>
      <c r="F17">
        <v>2.8428162000000001</v>
      </c>
      <c r="G17">
        <v>49.466354799999998</v>
      </c>
      <c r="H17">
        <v>13.7674635</v>
      </c>
      <c r="I17">
        <v>301.26657610000001</v>
      </c>
      <c r="J17">
        <v>5.6856324000000003</v>
      </c>
      <c r="K17">
        <v>306.95220849999998</v>
      </c>
    </row>
    <row r="19" spans="1:11">
      <c r="A19" t="s">
        <v>236</v>
      </c>
    </row>
    <row r="20" spans="1:11">
      <c r="C20" t="s">
        <v>54</v>
      </c>
      <c r="D20" t="s">
        <v>224</v>
      </c>
      <c r="E20" t="s">
        <v>225</v>
      </c>
      <c r="F20" t="s">
        <v>226</v>
      </c>
      <c r="G20" t="s">
        <v>134</v>
      </c>
      <c r="H20" t="s">
        <v>227</v>
      </c>
      <c r="I20" t="s">
        <v>10</v>
      </c>
      <c r="J20" t="s">
        <v>228</v>
      </c>
      <c r="K20" t="s">
        <v>229</v>
      </c>
    </row>
    <row r="21" spans="1:11">
      <c r="A21" t="s">
        <v>230</v>
      </c>
      <c r="B21" t="s">
        <v>231</v>
      </c>
      <c r="C21">
        <v>64.233862999999999</v>
      </c>
      <c r="D21">
        <v>38.044361000000002</v>
      </c>
      <c r="E21">
        <v>26.340436</v>
      </c>
      <c r="F21">
        <v>2.6082527</v>
      </c>
      <c r="G21">
        <v>48.557799000000003</v>
      </c>
      <c r="H21">
        <v>0</v>
      </c>
      <c r="I21">
        <v>179.7847117</v>
      </c>
      <c r="J21">
        <v>5.2165054</v>
      </c>
      <c r="K21">
        <v>185.00121709999999</v>
      </c>
    </row>
    <row r="22" spans="1:11">
      <c r="B22" t="s">
        <v>232</v>
      </c>
      <c r="C22">
        <v>2.0694583</v>
      </c>
      <c r="D22">
        <v>7.4991199999999994E-2</v>
      </c>
      <c r="E22">
        <v>3.0582562000000002</v>
      </c>
      <c r="F22">
        <v>1.5053761999999999</v>
      </c>
      <c r="G22">
        <v>0.93088789999999999</v>
      </c>
      <c r="H22">
        <v>0.21171490000000001</v>
      </c>
      <c r="I22">
        <v>7.8506847000000004</v>
      </c>
      <c r="J22">
        <v>3.0107523999999999</v>
      </c>
      <c r="K22">
        <v>10.8614371</v>
      </c>
    </row>
    <row r="23" spans="1:11">
      <c r="B23" t="s">
        <v>233</v>
      </c>
      <c r="C23">
        <v>46.32461</v>
      </c>
      <c r="D23">
        <v>5.0388058999999998</v>
      </c>
      <c r="E23">
        <v>9.3020040000000002</v>
      </c>
      <c r="F23">
        <v>0.40639150000000002</v>
      </c>
      <c r="G23">
        <v>0</v>
      </c>
      <c r="H23">
        <v>17.500266</v>
      </c>
      <c r="I23">
        <v>78.572077399999998</v>
      </c>
      <c r="J23">
        <v>0.81278300000000003</v>
      </c>
      <c r="K23">
        <v>79.384860399999994</v>
      </c>
    </row>
    <row r="24" spans="1:11">
      <c r="B24" t="s">
        <v>234</v>
      </c>
      <c r="C24">
        <v>3.5608468000000002</v>
      </c>
      <c r="D24">
        <v>0</v>
      </c>
      <c r="E24">
        <v>1.3056243000000001</v>
      </c>
      <c r="F24">
        <v>0.26464929999999998</v>
      </c>
      <c r="G24">
        <v>0.27635880000000002</v>
      </c>
      <c r="H24">
        <v>1.0712090999999999</v>
      </c>
      <c r="I24">
        <v>6.4786883</v>
      </c>
      <c r="J24">
        <v>0.52929859999999995</v>
      </c>
      <c r="K24">
        <v>7.0079868999999997</v>
      </c>
    </row>
    <row r="25" spans="1:11">
      <c r="B25" t="s">
        <v>10</v>
      </c>
      <c r="C25">
        <v>116.18877809999999</v>
      </c>
      <c r="D25">
        <v>43.158158100000001</v>
      </c>
      <c r="E25">
        <v>40.006320500000001</v>
      </c>
      <c r="F25">
        <v>4.7846697000000002</v>
      </c>
      <c r="G25">
        <v>49.765045700000002</v>
      </c>
      <c r="H25">
        <v>18.783190000000001</v>
      </c>
      <c r="I25">
        <v>272.68616209999999</v>
      </c>
      <c r="J25">
        <v>9.5693394000000005</v>
      </c>
      <c r="K25">
        <v>282.25550149999998</v>
      </c>
    </row>
    <row r="27" spans="1:11">
      <c r="A27" t="s">
        <v>237</v>
      </c>
    </row>
    <row r="28" spans="1:11">
      <c r="C28" t="s">
        <v>54</v>
      </c>
      <c r="D28" t="s">
        <v>224</v>
      </c>
      <c r="E28" t="s">
        <v>225</v>
      </c>
      <c r="F28" t="s">
        <v>226</v>
      </c>
      <c r="G28" t="s">
        <v>134</v>
      </c>
      <c r="H28" t="s">
        <v>227</v>
      </c>
      <c r="I28" t="s">
        <v>10</v>
      </c>
      <c r="J28" t="s">
        <v>228</v>
      </c>
      <c r="K28" t="s">
        <v>229</v>
      </c>
    </row>
    <row r="29" spans="1:11">
      <c r="A29" t="s">
        <v>230</v>
      </c>
      <c r="B29" t="s">
        <v>231</v>
      </c>
      <c r="C29">
        <v>57.531471000000003</v>
      </c>
      <c r="D29">
        <v>15.686718000000001</v>
      </c>
      <c r="E29">
        <v>26.169868000000001</v>
      </c>
      <c r="F29">
        <v>4.4080085999999996</v>
      </c>
      <c r="G29">
        <v>51.399140000000003</v>
      </c>
      <c r="H29">
        <v>0</v>
      </c>
      <c r="I29">
        <v>155.19520560000001</v>
      </c>
      <c r="J29">
        <v>8.8160171999999992</v>
      </c>
      <c r="K29">
        <v>164.01122280000001</v>
      </c>
    </row>
    <row r="30" spans="1:11">
      <c r="B30" t="s">
        <v>232</v>
      </c>
      <c r="C30">
        <v>2.1909060999999999</v>
      </c>
      <c r="D30">
        <v>7.4991199999999994E-2</v>
      </c>
      <c r="E30">
        <v>3.0938952</v>
      </c>
      <c r="F30">
        <v>1.9729159999999999</v>
      </c>
      <c r="G30">
        <v>1.1406442000000001</v>
      </c>
      <c r="H30">
        <v>0.4212822</v>
      </c>
      <c r="I30">
        <v>8.8946348999999998</v>
      </c>
      <c r="J30">
        <v>3.9458319999999998</v>
      </c>
      <c r="K30">
        <v>12.840466899999999</v>
      </c>
    </row>
    <row r="31" spans="1:11">
      <c r="B31" t="s">
        <v>233</v>
      </c>
      <c r="C31">
        <v>36.724297999999997</v>
      </c>
      <c r="D31">
        <v>2.6175671</v>
      </c>
      <c r="E31">
        <v>8.4114698000000008</v>
      </c>
      <c r="F31">
        <v>0.57285299999999995</v>
      </c>
      <c r="G31">
        <v>0</v>
      </c>
      <c r="H31">
        <v>21.109458</v>
      </c>
      <c r="I31">
        <v>69.435645899999997</v>
      </c>
      <c r="J31">
        <v>1.1457059999999999</v>
      </c>
      <c r="K31">
        <v>70.581351900000001</v>
      </c>
    </row>
    <row r="32" spans="1:11">
      <c r="B32" t="s">
        <v>234</v>
      </c>
      <c r="C32">
        <v>3.7557597999999999</v>
      </c>
      <c r="D32">
        <v>0</v>
      </c>
      <c r="E32">
        <v>1.4353636999999999</v>
      </c>
      <c r="F32">
        <v>0.34315099999999998</v>
      </c>
      <c r="G32">
        <v>0.55239419999999995</v>
      </c>
      <c r="H32">
        <v>1.9032347999999999</v>
      </c>
      <c r="I32">
        <v>7.9899034999999996</v>
      </c>
      <c r="J32">
        <v>0.68630199999999997</v>
      </c>
      <c r="K32">
        <v>8.6762055</v>
      </c>
    </row>
    <row r="33" spans="1:11">
      <c r="B33" t="s">
        <v>10</v>
      </c>
      <c r="C33">
        <v>100.2024349</v>
      </c>
      <c r="D33">
        <v>18.379276300000001</v>
      </c>
      <c r="E33">
        <v>39.110596700000002</v>
      </c>
      <c r="F33">
        <v>7.2969286000000002</v>
      </c>
      <c r="G33">
        <v>53.092178400000002</v>
      </c>
      <c r="H33">
        <v>23.433975</v>
      </c>
      <c r="I33">
        <v>241.5153899</v>
      </c>
      <c r="J33">
        <v>14.5938572</v>
      </c>
      <c r="K33">
        <v>256.1092471</v>
      </c>
    </row>
    <row r="35" spans="1:11">
      <c r="A35" t="s">
        <v>238</v>
      </c>
    </row>
    <row r="36" spans="1:11">
      <c r="C36" t="s">
        <v>54</v>
      </c>
      <c r="D36" t="s">
        <v>224</v>
      </c>
      <c r="E36" t="s">
        <v>225</v>
      </c>
      <c r="F36" t="s">
        <v>226</v>
      </c>
      <c r="G36" t="s">
        <v>134</v>
      </c>
      <c r="H36" t="s">
        <v>227</v>
      </c>
      <c r="I36" t="s">
        <v>10</v>
      </c>
      <c r="J36" t="s">
        <v>228</v>
      </c>
      <c r="K36" t="s">
        <v>229</v>
      </c>
    </row>
    <row r="37" spans="1:11">
      <c r="A37" t="s">
        <v>230</v>
      </c>
      <c r="B37" t="s">
        <v>231</v>
      </c>
      <c r="C37">
        <v>22.234912999999999</v>
      </c>
      <c r="D37">
        <v>1.5291052999999999</v>
      </c>
      <c r="E37">
        <v>24.232078000000001</v>
      </c>
      <c r="F37">
        <v>8.1830636000000005</v>
      </c>
      <c r="G37">
        <v>45.880267000000003</v>
      </c>
      <c r="H37">
        <v>1.3454208999999999</v>
      </c>
      <c r="I37">
        <v>103.4048478</v>
      </c>
      <c r="J37">
        <v>16.366127200000001</v>
      </c>
      <c r="K37">
        <v>119.77097500000001</v>
      </c>
    </row>
    <row r="38" spans="1:11">
      <c r="B38" t="s">
        <v>232</v>
      </c>
      <c r="C38">
        <v>2.3466241999999999</v>
      </c>
      <c r="D38">
        <v>7.4991199999999994E-2</v>
      </c>
      <c r="E38">
        <v>3.1542509999999999</v>
      </c>
      <c r="F38">
        <v>2.7957477000000002</v>
      </c>
      <c r="G38">
        <v>1.4106574999999999</v>
      </c>
      <c r="H38">
        <v>0.83128880000000005</v>
      </c>
      <c r="I38">
        <v>10.613560400000001</v>
      </c>
      <c r="J38">
        <v>5.5914954000000003</v>
      </c>
      <c r="K38">
        <v>16.2050558</v>
      </c>
    </row>
    <row r="39" spans="1:11">
      <c r="B39" t="s">
        <v>233</v>
      </c>
      <c r="C39">
        <v>25.554660999999999</v>
      </c>
      <c r="D39">
        <v>1.3862036</v>
      </c>
      <c r="E39">
        <v>6.4436308999999996</v>
      </c>
      <c r="F39">
        <v>0.93348260000000005</v>
      </c>
      <c r="G39">
        <v>0</v>
      </c>
      <c r="H39">
        <v>18.185676000000001</v>
      </c>
      <c r="I39">
        <v>52.503654099999999</v>
      </c>
      <c r="J39">
        <v>1.8669652000000001</v>
      </c>
      <c r="K39">
        <v>54.370619300000001</v>
      </c>
    </row>
    <row r="40" spans="1:11">
      <c r="B40" t="s">
        <v>234</v>
      </c>
      <c r="C40">
        <v>3.9274494999999998</v>
      </c>
      <c r="D40">
        <v>0</v>
      </c>
      <c r="E40">
        <v>1.5742809</v>
      </c>
      <c r="F40">
        <v>0.54902759999999995</v>
      </c>
      <c r="G40">
        <v>1.0674633</v>
      </c>
      <c r="H40">
        <v>3.7607020000000002</v>
      </c>
      <c r="I40">
        <v>10.8789233</v>
      </c>
      <c r="J40">
        <v>1.0980551999999999</v>
      </c>
      <c r="K40">
        <v>11.9769785</v>
      </c>
    </row>
    <row r="41" spans="1:11">
      <c r="B41" t="s">
        <v>10</v>
      </c>
      <c r="C41">
        <v>54.063647699999997</v>
      </c>
      <c r="D41">
        <v>2.9903000999999998</v>
      </c>
      <c r="E41">
        <v>35.404240799999997</v>
      </c>
      <c r="F41">
        <v>12.4613215</v>
      </c>
      <c r="G41">
        <v>48.358387800000003</v>
      </c>
      <c r="H41">
        <v>24.123087699999999</v>
      </c>
      <c r="I41">
        <v>177.40098560000001</v>
      </c>
      <c r="J41">
        <v>24.922643000000001</v>
      </c>
      <c r="K41">
        <v>202.32362860000001</v>
      </c>
    </row>
    <row r="43" spans="1:11">
      <c r="B43" t="s">
        <v>239</v>
      </c>
    </row>
    <row r="44" spans="1:11">
      <c r="C44" t="s">
        <v>54</v>
      </c>
      <c r="D44" t="s">
        <v>224</v>
      </c>
      <c r="E44" t="s">
        <v>225</v>
      </c>
      <c r="F44" t="s">
        <v>226</v>
      </c>
      <c r="G44" t="s">
        <v>134</v>
      </c>
      <c r="H44" t="s">
        <v>227</v>
      </c>
      <c r="I44" t="s">
        <v>10</v>
      </c>
      <c r="J44" t="s">
        <v>228</v>
      </c>
      <c r="K44" t="s">
        <v>229</v>
      </c>
    </row>
    <row r="45" spans="1:11">
      <c r="A45" t="s">
        <v>230</v>
      </c>
      <c r="B45" t="s">
        <v>231</v>
      </c>
      <c r="C45">
        <v>3.0888198</v>
      </c>
      <c r="D45">
        <v>1.1872600000000001E-2</v>
      </c>
      <c r="E45">
        <v>19.294653</v>
      </c>
      <c r="F45">
        <v>9.7085719000000008</v>
      </c>
      <c r="G45">
        <v>33.971479000000002</v>
      </c>
      <c r="H45">
        <v>1.666364</v>
      </c>
      <c r="I45">
        <v>67.741760299999996</v>
      </c>
      <c r="J45">
        <v>19.417143800000002</v>
      </c>
      <c r="K45">
        <v>87.158904100000001</v>
      </c>
    </row>
    <row r="46" spans="1:11">
      <c r="B46" t="s">
        <v>232</v>
      </c>
      <c r="C46">
        <v>2.4270782</v>
      </c>
      <c r="D46">
        <v>7.4991199999999994E-2</v>
      </c>
      <c r="E46">
        <v>3.1854347000000001</v>
      </c>
      <c r="F46">
        <v>3.2323195</v>
      </c>
      <c r="G46">
        <v>1.4911114999999999</v>
      </c>
      <c r="H46">
        <v>1.0726507000000001</v>
      </c>
      <c r="I46">
        <v>11.4835858</v>
      </c>
      <c r="J46">
        <v>6.464639</v>
      </c>
      <c r="K46">
        <v>17.948224799999998</v>
      </c>
    </row>
    <row r="47" spans="1:11">
      <c r="B47" t="s">
        <v>233</v>
      </c>
      <c r="C47">
        <v>7.6454529999999998</v>
      </c>
      <c r="D47">
        <v>0.26575090000000001</v>
      </c>
      <c r="E47">
        <v>6.5657907</v>
      </c>
      <c r="F47">
        <v>3.0998155999999999</v>
      </c>
      <c r="G47">
        <v>0</v>
      </c>
      <c r="H47">
        <v>13.403691</v>
      </c>
      <c r="I47">
        <v>30.980501199999999</v>
      </c>
      <c r="J47">
        <v>6.1996311999999998</v>
      </c>
      <c r="K47">
        <v>37.180132399999998</v>
      </c>
    </row>
    <row r="48" spans="1:11">
      <c r="B48" t="s">
        <v>234</v>
      </c>
      <c r="C48">
        <v>4.0471668999999997</v>
      </c>
      <c r="D48">
        <v>0</v>
      </c>
      <c r="E48">
        <v>1.6206830000000001</v>
      </c>
      <c r="F48">
        <v>0.73463590000000001</v>
      </c>
      <c r="G48">
        <v>1.4266155</v>
      </c>
      <c r="H48">
        <v>5.0775933999999996</v>
      </c>
      <c r="I48">
        <v>12.906694699999999</v>
      </c>
      <c r="J48">
        <v>1.4692718</v>
      </c>
      <c r="K48">
        <v>14.375966500000001</v>
      </c>
    </row>
    <row r="49" spans="2:11">
      <c r="B49" t="s">
        <v>10</v>
      </c>
      <c r="C49">
        <v>17.2085179</v>
      </c>
      <c r="D49">
        <v>0.3526147</v>
      </c>
      <c r="E49">
        <v>30.666561399999999</v>
      </c>
      <c r="F49">
        <v>16.775342899999998</v>
      </c>
      <c r="G49">
        <v>36.889206000000001</v>
      </c>
      <c r="H49">
        <v>21.220299099999998</v>
      </c>
      <c r="I49">
        <v>123.112542</v>
      </c>
      <c r="J49">
        <v>33.550685799999997</v>
      </c>
      <c r="K49">
        <v>156.66322779999999</v>
      </c>
    </row>
    <row r="50" spans="2:11">
      <c r="C50">
        <v>0.109844014716515</v>
      </c>
      <c r="D50">
        <v>2.2507815327931099E-3</v>
      </c>
      <c r="E50">
        <v>0.19574830565312801</v>
      </c>
      <c r="F50">
        <v>0.107079007215502</v>
      </c>
      <c r="G50">
        <v>0.23546818559804999</v>
      </c>
      <c r="H50">
        <v>0.13545169085300801</v>
      </c>
      <c r="I50">
        <v>0.78584198556899598</v>
      </c>
      <c r="J50">
        <v>0.21415801443100399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A1:K42"/>
  <sheetViews>
    <sheetView workbookViewId="0"/>
  </sheetViews>
  <sheetFormatPr baseColWidth="10" defaultRowHeight="15"/>
  <cols>
    <col min="1" max="16384" width="11.42578125" style="300"/>
  </cols>
  <sheetData>
    <row r="1" spans="1:11">
      <c r="A1" s="300" t="s">
        <v>222</v>
      </c>
    </row>
    <row r="3" spans="1:11">
      <c r="A3" s="300" t="s">
        <v>235</v>
      </c>
    </row>
    <row r="4" spans="1:11">
      <c r="C4" s="300" t="s">
        <v>54</v>
      </c>
      <c r="D4" s="300" t="s">
        <v>224</v>
      </c>
      <c r="E4" s="300" t="s">
        <v>225</v>
      </c>
      <c r="F4" s="300" t="s">
        <v>226</v>
      </c>
      <c r="G4" s="300" t="s">
        <v>134</v>
      </c>
      <c r="H4" s="300" t="s">
        <v>227</v>
      </c>
      <c r="I4" s="300" t="s">
        <v>10</v>
      </c>
      <c r="J4" s="300" t="s">
        <v>228</v>
      </c>
      <c r="K4" s="300" t="s">
        <v>229</v>
      </c>
    </row>
    <row r="5" spans="1:11">
      <c r="A5" s="300" t="s">
        <v>230</v>
      </c>
      <c r="B5" s="300" t="s">
        <v>231</v>
      </c>
      <c r="C5" s="300">
        <v>70.910274999999999</v>
      </c>
      <c r="D5" s="300">
        <v>51.957292000000002</v>
      </c>
      <c r="E5" s="300">
        <v>28.546569000000002</v>
      </c>
      <c r="F5" s="300">
        <v>1.3306235</v>
      </c>
      <c r="G5" s="300">
        <v>48.821179000000001</v>
      </c>
      <c r="H5" s="300">
        <v>0</v>
      </c>
      <c r="I5" s="300">
        <v>201.56593849999999</v>
      </c>
      <c r="J5" s="300">
        <v>2.6612469999999999</v>
      </c>
      <c r="K5" s="300">
        <v>204.22718549999999</v>
      </c>
    </row>
    <row r="6" spans="1:11">
      <c r="B6" s="300" t="s">
        <v>232</v>
      </c>
      <c r="C6" s="300">
        <v>1.8763993000000001</v>
      </c>
      <c r="D6" s="300">
        <v>7.4991199999999994E-2</v>
      </c>
      <c r="E6" s="300">
        <v>3.0184796</v>
      </c>
      <c r="F6" s="300">
        <v>1.0201834000000001</v>
      </c>
      <c r="G6" s="300">
        <v>0.58581930000000004</v>
      </c>
      <c r="H6" s="300">
        <v>5.1790799999999998E-2</v>
      </c>
      <c r="I6" s="300">
        <v>6.6276636</v>
      </c>
      <c r="J6" s="300">
        <v>2.0403668000000001</v>
      </c>
      <c r="K6" s="300">
        <v>8.6680303999999992</v>
      </c>
    </row>
    <row r="7" spans="1:11">
      <c r="B7" s="300" t="s">
        <v>233</v>
      </c>
      <c r="C7" s="300">
        <v>57.179420999999998</v>
      </c>
      <c r="D7" s="300">
        <v>7.3662149000000001</v>
      </c>
      <c r="E7" s="300">
        <v>10.201407</v>
      </c>
      <c r="F7" s="300">
        <v>0.27936349999999999</v>
      </c>
      <c r="G7" s="300">
        <v>0</v>
      </c>
      <c r="H7" s="300">
        <v>13.177293000000001</v>
      </c>
      <c r="I7" s="300">
        <v>88.203699400000005</v>
      </c>
      <c r="J7" s="300">
        <v>0.55872699999999997</v>
      </c>
      <c r="K7" s="300">
        <v>88.762426399999995</v>
      </c>
    </row>
    <row r="8" spans="1:11">
      <c r="B8" s="300" t="s">
        <v>234</v>
      </c>
      <c r="C8" s="300">
        <v>2.930526</v>
      </c>
      <c r="D8" s="300">
        <v>0</v>
      </c>
      <c r="E8" s="300">
        <v>1.1283666000000001</v>
      </c>
      <c r="F8" s="300">
        <v>0.2126458</v>
      </c>
      <c r="G8" s="300">
        <v>5.93565E-2</v>
      </c>
      <c r="H8" s="300">
        <v>0.53837970000000002</v>
      </c>
      <c r="I8" s="300">
        <v>4.8692745999999998</v>
      </c>
      <c r="J8" s="300">
        <v>0.42529159999999999</v>
      </c>
      <c r="K8" s="300">
        <v>5.2945662000000002</v>
      </c>
    </row>
    <row r="9" spans="1:11">
      <c r="B9" s="300" t="s">
        <v>10</v>
      </c>
      <c r="C9" s="300">
        <v>132.89662129999999</v>
      </c>
      <c r="D9" s="300">
        <v>59.398498099999998</v>
      </c>
      <c r="E9" s="300">
        <v>42.8948222</v>
      </c>
      <c r="F9" s="300">
        <v>2.8428162000000001</v>
      </c>
      <c r="G9" s="300">
        <v>49.466354799999998</v>
      </c>
      <c r="H9" s="300">
        <v>13.7674635</v>
      </c>
      <c r="I9" s="300">
        <v>301.26657610000001</v>
      </c>
      <c r="J9" s="300">
        <v>5.6856324000000003</v>
      </c>
      <c r="K9" s="300">
        <v>306.95220849999998</v>
      </c>
    </row>
    <row r="11" spans="1:11">
      <c r="A11" s="300" t="s">
        <v>236</v>
      </c>
    </row>
    <row r="12" spans="1:11">
      <c r="C12" s="300" t="s">
        <v>54</v>
      </c>
      <c r="D12" s="300" t="s">
        <v>224</v>
      </c>
      <c r="E12" s="300" t="s">
        <v>225</v>
      </c>
      <c r="F12" s="300" t="s">
        <v>226</v>
      </c>
      <c r="G12" s="300" t="s">
        <v>134</v>
      </c>
      <c r="H12" s="300" t="s">
        <v>227</v>
      </c>
      <c r="I12" s="300" t="s">
        <v>10</v>
      </c>
      <c r="J12" s="300" t="s">
        <v>228</v>
      </c>
      <c r="K12" s="300" t="s">
        <v>229</v>
      </c>
    </row>
    <row r="13" spans="1:11">
      <c r="A13" s="300" t="s">
        <v>230</v>
      </c>
      <c r="B13" s="300" t="s">
        <v>231</v>
      </c>
      <c r="C13" s="300">
        <v>64.233862999999999</v>
      </c>
      <c r="D13" s="300">
        <v>38.044361000000002</v>
      </c>
      <c r="E13" s="300">
        <v>26.340436</v>
      </c>
      <c r="F13" s="300">
        <v>2.6082527</v>
      </c>
      <c r="G13" s="300">
        <v>48.557799000000003</v>
      </c>
      <c r="H13" s="300">
        <v>0</v>
      </c>
      <c r="I13" s="300">
        <v>179.7847117</v>
      </c>
      <c r="J13" s="300">
        <v>5.2165054</v>
      </c>
      <c r="K13" s="300">
        <v>185.00121709999999</v>
      </c>
    </row>
    <row r="14" spans="1:11">
      <c r="B14" s="300" t="s">
        <v>232</v>
      </c>
      <c r="C14" s="300">
        <v>2.0694583</v>
      </c>
      <c r="D14" s="300">
        <v>7.4991199999999994E-2</v>
      </c>
      <c r="E14" s="300">
        <v>3.0582562000000002</v>
      </c>
      <c r="F14" s="300">
        <v>1.5053761999999999</v>
      </c>
      <c r="G14" s="300">
        <v>0.93088789999999999</v>
      </c>
      <c r="H14" s="300">
        <v>0.21171490000000001</v>
      </c>
      <c r="I14" s="300">
        <v>7.8506847000000004</v>
      </c>
      <c r="J14" s="300">
        <v>3.0107523999999999</v>
      </c>
      <c r="K14" s="300">
        <v>10.8614371</v>
      </c>
    </row>
    <row r="15" spans="1:11">
      <c r="B15" s="300" t="s">
        <v>233</v>
      </c>
      <c r="C15" s="300">
        <v>46.32461</v>
      </c>
      <c r="D15" s="300">
        <v>5.0388058999999998</v>
      </c>
      <c r="E15" s="300">
        <v>9.3020040000000002</v>
      </c>
      <c r="F15" s="300">
        <v>0.40639150000000002</v>
      </c>
      <c r="G15" s="300">
        <v>0</v>
      </c>
      <c r="H15" s="300">
        <v>17.500266</v>
      </c>
      <c r="I15" s="300">
        <v>78.572077399999998</v>
      </c>
      <c r="J15" s="300">
        <v>0.81278300000000003</v>
      </c>
      <c r="K15" s="300">
        <v>79.384860399999994</v>
      </c>
    </row>
    <row r="16" spans="1:11">
      <c r="B16" s="300" t="s">
        <v>234</v>
      </c>
      <c r="C16" s="300">
        <v>3.5608468000000002</v>
      </c>
      <c r="D16" s="300">
        <v>0</v>
      </c>
      <c r="E16" s="300">
        <v>1.3056243000000001</v>
      </c>
      <c r="F16" s="300">
        <v>0.26464929999999998</v>
      </c>
      <c r="G16" s="300">
        <v>0.27635880000000002</v>
      </c>
      <c r="H16" s="300">
        <v>1.0712090999999999</v>
      </c>
      <c r="I16" s="300">
        <v>6.4786883</v>
      </c>
      <c r="J16" s="300">
        <v>0.52929859999999995</v>
      </c>
      <c r="K16" s="300">
        <v>7.0079868999999997</v>
      </c>
    </row>
    <row r="17" spans="1:11">
      <c r="B17" s="300" t="s">
        <v>10</v>
      </c>
      <c r="C17" s="300">
        <v>116.18877809999999</v>
      </c>
      <c r="D17" s="300">
        <v>43.158158100000001</v>
      </c>
      <c r="E17" s="300">
        <v>40.006320500000001</v>
      </c>
      <c r="F17" s="300">
        <v>4.7846697000000002</v>
      </c>
      <c r="G17" s="300">
        <v>49.765045700000002</v>
      </c>
      <c r="H17" s="300">
        <v>18.783190000000001</v>
      </c>
      <c r="I17" s="300">
        <v>272.68616209999999</v>
      </c>
      <c r="J17" s="300">
        <v>9.5693394000000005</v>
      </c>
      <c r="K17" s="300">
        <v>282.25550149999998</v>
      </c>
    </row>
    <row r="19" spans="1:11">
      <c r="A19" s="300" t="s">
        <v>237</v>
      </c>
    </row>
    <row r="20" spans="1:11">
      <c r="C20" s="300" t="s">
        <v>54</v>
      </c>
      <c r="D20" s="300" t="s">
        <v>224</v>
      </c>
      <c r="E20" s="300" t="s">
        <v>225</v>
      </c>
      <c r="F20" s="300" t="s">
        <v>226</v>
      </c>
      <c r="G20" s="300" t="s">
        <v>134</v>
      </c>
      <c r="H20" s="300" t="s">
        <v>227</v>
      </c>
      <c r="I20" s="300" t="s">
        <v>10</v>
      </c>
      <c r="J20" s="300" t="s">
        <v>228</v>
      </c>
      <c r="K20" s="300" t="s">
        <v>229</v>
      </c>
    </row>
    <row r="21" spans="1:11">
      <c r="A21" s="300" t="s">
        <v>230</v>
      </c>
      <c r="B21" s="300" t="s">
        <v>231</v>
      </c>
      <c r="C21" s="300">
        <v>57.531471000000003</v>
      </c>
      <c r="D21" s="300">
        <v>15.686718000000001</v>
      </c>
      <c r="E21" s="300">
        <v>26.169868000000001</v>
      </c>
      <c r="F21" s="300">
        <v>4.4080085999999996</v>
      </c>
      <c r="G21" s="300">
        <v>51.399140000000003</v>
      </c>
      <c r="H21" s="300">
        <v>0</v>
      </c>
      <c r="I21" s="300">
        <v>155.19520560000001</v>
      </c>
      <c r="J21" s="300">
        <v>8.8160171999999992</v>
      </c>
      <c r="K21" s="300">
        <v>164.01122280000001</v>
      </c>
    </row>
    <row r="22" spans="1:11">
      <c r="B22" s="300" t="s">
        <v>232</v>
      </c>
      <c r="C22" s="300">
        <v>2.1909060999999999</v>
      </c>
      <c r="D22" s="300">
        <v>7.4991199999999994E-2</v>
      </c>
      <c r="E22" s="300">
        <v>3.0938952</v>
      </c>
      <c r="F22" s="300">
        <v>1.9729159999999999</v>
      </c>
      <c r="G22" s="300">
        <v>1.1406442000000001</v>
      </c>
      <c r="H22" s="300">
        <v>0.4212822</v>
      </c>
      <c r="I22" s="300">
        <v>8.8946348999999998</v>
      </c>
      <c r="J22" s="300">
        <v>3.9458319999999998</v>
      </c>
      <c r="K22" s="300">
        <v>12.840466899999999</v>
      </c>
    </row>
    <row r="23" spans="1:11">
      <c r="B23" s="300" t="s">
        <v>233</v>
      </c>
      <c r="C23" s="300">
        <v>36.724297999999997</v>
      </c>
      <c r="D23" s="300">
        <v>2.6175671</v>
      </c>
      <c r="E23" s="300">
        <v>8.4114698000000008</v>
      </c>
      <c r="F23" s="300">
        <v>0.57285299999999995</v>
      </c>
      <c r="G23" s="300">
        <v>0</v>
      </c>
      <c r="H23" s="300">
        <v>21.109458</v>
      </c>
      <c r="I23" s="300">
        <v>69.435645899999997</v>
      </c>
      <c r="J23" s="300">
        <v>1.1457059999999999</v>
      </c>
      <c r="K23" s="300">
        <v>70.581351900000001</v>
      </c>
    </row>
    <row r="24" spans="1:11">
      <c r="B24" s="300" t="s">
        <v>234</v>
      </c>
      <c r="C24" s="300">
        <v>3.7557597999999999</v>
      </c>
      <c r="D24" s="300">
        <v>0</v>
      </c>
      <c r="E24" s="300">
        <v>1.4353636999999999</v>
      </c>
      <c r="F24" s="300">
        <v>0.34315099999999998</v>
      </c>
      <c r="G24" s="300">
        <v>0.55239419999999995</v>
      </c>
      <c r="H24" s="300">
        <v>1.9032347999999999</v>
      </c>
      <c r="I24" s="300">
        <v>7.9899034999999996</v>
      </c>
      <c r="J24" s="300">
        <v>0.68630199999999997</v>
      </c>
      <c r="K24" s="300">
        <v>8.6762055</v>
      </c>
    </row>
    <row r="25" spans="1:11">
      <c r="B25" s="300" t="s">
        <v>10</v>
      </c>
      <c r="C25" s="300">
        <v>100.2024349</v>
      </c>
      <c r="D25" s="300">
        <v>18.379276300000001</v>
      </c>
      <c r="E25" s="300">
        <v>39.110596700000002</v>
      </c>
      <c r="F25" s="300">
        <v>7.2969286000000002</v>
      </c>
      <c r="G25" s="300">
        <v>53.092178400000002</v>
      </c>
      <c r="H25" s="300">
        <v>23.433975</v>
      </c>
      <c r="I25" s="300">
        <v>241.5153899</v>
      </c>
      <c r="J25" s="300">
        <v>14.5938572</v>
      </c>
      <c r="K25" s="300">
        <v>256.1092471</v>
      </c>
    </row>
    <row r="27" spans="1:11">
      <c r="A27" s="300" t="s">
        <v>238</v>
      </c>
    </row>
    <row r="28" spans="1:11">
      <c r="C28" s="300" t="s">
        <v>54</v>
      </c>
      <c r="D28" s="300" t="s">
        <v>224</v>
      </c>
      <c r="E28" s="300" t="s">
        <v>225</v>
      </c>
      <c r="F28" s="300" t="s">
        <v>226</v>
      </c>
      <c r="G28" s="300" t="s">
        <v>134</v>
      </c>
      <c r="H28" s="300" t="s">
        <v>227</v>
      </c>
      <c r="I28" s="300" t="s">
        <v>10</v>
      </c>
      <c r="J28" s="300" t="s">
        <v>228</v>
      </c>
      <c r="K28" s="300" t="s">
        <v>229</v>
      </c>
    </row>
    <row r="29" spans="1:11">
      <c r="A29" s="300" t="s">
        <v>230</v>
      </c>
      <c r="B29" s="300" t="s">
        <v>231</v>
      </c>
      <c r="C29" s="300">
        <v>22.234912999999999</v>
      </c>
      <c r="D29" s="300">
        <v>1.5291052999999999</v>
      </c>
      <c r="E29" s="300">
        <v>24.232078000000001</v>
      </c>
      <c r="F29" s="300">
        <v>8.1830636000000005</v>
      </c>
      <c r="G29" s="300">
        <v>45.880267000000003</v>
      </c>
      <c r="H29" s="300">
        <v>1.3454208999999999</v>
      </c>
      <c r="I29" s="300">
        <v>103.4048478</v>
      </c>
      <c r="J29" s="300">
        <v>16.366127200000001</v>
      </c>
      <c r="K29" s="300">
        <v>119.77097500000001</v>
      </c>
    </row>
    <row r="30" spans="1:11">
      <c r="B30" s="300" t="s">
        <v>232</v>
      </c>
      <c r="C30" s="300">
        <v>2.3466241999999999</v>
      </c>
      <c r="D30" s="300">
        <v>7.4991199999999994E-2</v>
      </c>
      <c r="E30" s="300">
        <v>3.1542509999999999</v>
      </c>
      <c r="F30" s="300">
        <v>2.7957477000000002</v>
      </c>
      <c r="G30" s="300">
        <v>1.4106574999999999</v>
      </c>
      <c r="H30" s="300">
        <v>0.83128880000000005</v>
      </c>
      <c r="I30" s="300">
        <v>10.613560400000001</v>
      </c>
      <c r="J30" s="300">
        <v>5.5914954000000003</v>
      </c>
      <c r="K30" s="300">
        <v>16.2050558</v>
      </c>
    </row>
    <row r="31" spans="1:11">
      <c r="B31" s="300" t="s">
        <v>233</v>
      </c>
      <c r="C31" s="300">
        <v>25.554660999999999</v>
      </c>
      <c r="D31" s="300">
        <v>1.3862036</v>
      </c>
      <c r="E31" s="300">
        <v>6.4436308999999996</v>
      </c>
      <c r="F31" s="300">
        <v>0.93348260000000005</v>
      </c>
      <c r="G31" s="300">
        <v>0</v>
      </c>
      <c r="H31" s="300">
        <v>18.185676000000001</v>
      </c>
      <c r="I31" s="300">
        <v>52.503654099999999</v>
      </c>
      <c r="J31" s="300">
        <v>1.8669652000000001</v>
      </c>
      <c r="K31" s="300">
        <v>54.370619300000001</v>
      </c>
    </row>
    <row r="32" spans="1:11">
      <c r="B32" s="300" t="s">
        <v>234</v>
      </c>
      <c r="C32" s="300">
        <v>3.9274494999999998</v>
      </c>
      <c r="D32" s="300">
        <v>0</v>
      </c>
      <c r="E32" s="300">
        <v>1.5742809</v>
      </c>
      <c r="F32" s="300">
        <v>0.54902759999999995</v>
      </c>
      <c r="G32" s="300">
        <v>1.0674633</v>
      </c>
      <c r="H32" s="300">
        <v>3.7607020000000002</v>
      </c>
      <c r="I32" s="300">
        <v>10.8789233</v>
      </c>
      <c r="J32" s="300">
        <v>1.0980551999999999</v>
      </c>
      <c r="K32" s="300">
        <v>11.9769785</v>
      </c>
    </row>
    <row r="33" spans="1:11">
      <c r="B33" s="300" t="s">
        <v>10</v>
      </c>
      <c r="C33" s="300">
        <v>54.063647699999997</v>
      </c>
      <c r="D33" s="300">
        <v>2.9903000999999998</v>
      </c>
      <c r="E33" s="300">
        <v>35.404240799999997</v>
      </c>
      <c r="F33" s="300">
        <v>12.4613215</v>
      </c>
      <c r="G33" s="300">
        <v>48.358387800000003</v>
      </c>
      <c r="H33" s="300">
        <v>24.123087699999999</v>
      </c>
      <c r="I33" s="300">
        <v>177.40098560000001</v>
      </c>
      <c r="J33" s="300">
        <v>24.922643000000001</v>
      </c>
      <c r="K33" s="300">
        <v>202.32362860000001</v>
      </c>
    </row>
    <row r="35" spans="1:11">
      <c r="B35" s="300" t="s">
        <v>239</v>
      </c>
    </row>
    <row r="36" spans="1:11">
      <c r="C36" s="300" t="s">
        <v>54</v>
      </c>
      <c r="D36" s="300" t="s">
        <v>224</v>
      </c>
      <c r="E36" s="300" t="s">
        <v>225</v>
      </c>
      <c r="F36" s="300" t="s">
        <v>226</v>
      </c>
      <c r="G36" s="300" t="s">
        <v>134</v>
      </c>
      <c r="H36" s="300" t="s">
        <v>227</v>
      </c>
      <c r="I36" s="300" t="s">
        <v>10</v>
      </c>
      <c r="J36" s="300" t="s">
        <v>228</v>
      </c>
      <c r="K36" s="300" t="s">
        <v>229</v>
      </c>
    </row>
    <row r="37" spans="1:11">
      <c r="A37" s="300" t="s">
        <v>230</v>
      </c>
      <c r="B37" s="300" t="s">
        <v>231</v>
      </c>
      <c r="C37" s="300">
        <v>3.0888198</v>
      </c>
      <c r="D37" s="300">
        <v>1.1872600000000001E-2</v>
      </c>
      <c r="E37" s="300">
        <v>19.294653</v>
      </c>
      <c r="F37" s="300">
        <v>9.7085719000000008</v>
      </c>
      <c r="G37" s="300">
        <v>33.971479000000002</v>
      </c>
      <c r="H37" s="300">
        <v>1.666364</v>
      </c>
      <c r="I37" s="300">
        <v>67.741760299999996</v>
      </c>
      <c r="J37" s="300">
        <v>19.417143800000002</v>
      </c>
      <c r="K37" s="300">
        <v>87.158904100000001</v>
      </c>
    </row>
    <row r="38" spans="1:11">
      <c r="B38" s="300" t="s">
        <v>232</v>
      </c>
      <c r="C38" s="300">
        <v>2.4270782</v>
      </c>
      <c r="D38" s="300">
        <v>7.4991199999999994E-2</v>
      </c>
      <c r="E38" s="300">
        <v>3.1854347000000001</v>
      </c>
      <c r="F38" s="300">
        <v>3.2323195</v>
      </c>
      <c r="G38" s="300">
        <v>1.4911114999999999</v>
      </c>
      <c r="H38" s="300">
        <v>1.0726507000000001</v>
      </c>
      <c r="I38" s="300">
        <v>11.4835858</v>
      </c>
      <c r="J38" s="300">
        <v>6.464639</v>
      </c>
      <c r="K38" s="300">
        <v>17.948224799999998</v>
      </c>
    </row>
    <row r="39" spans="1:11">
      <c r="B39" s="300" t="s">
        <v>233</v>
      </c>
      <c r="C39" s="300">
        <v>7.6454529999999998</v>
      </c>
      <c r="D39" s="300">
        <v>0.26575090000000001</v>
      </c>
      <c r="E39" s="300">
        <v>6.5657907</v>
      </c>
      <c r="F39" s="300">
        <v>3.0998155999999999</v>
      </c>
      <c r="G39" s="300">
        <v>0</v>
      </c>
      <c r="H39" s="300">
        <v>13.403691</v>
      </c>
      <c r="I39" s="300">
        <v>30.980501199999999</v>
      </c>
      <c r="J39" s="300">
        <v>6.1996311999999998</v>
      </c>
      <c r="K39" s="300">
        <v>37.180132399999998</v>
      </c>
    </row>
    <row r="40" spans="1:11">
      <c r="B40" s="300" t="s">
        <v>234</v>
      </c>
      <c r="C40" s="300">
        <v>4.0471668999999997</v>
      </c>
      <c r="D40" s="300">
        <v>0</v>
      </c>
      <c r="E40" s="300">
        <v>1.6206830000000001</v>
      </c>
      <c r="F40" s="300">
        <v>0.73463590000000001</v>
      </c>
      <c r="G40" s="300">
        <v>1.4266155</v>
      </c>
      <c r="H40" s="300">
        <v>5.0775933999999996</v>
      </c>
      <c r="I40" s="300">
        <v>12.906694699999999</v>
      </c>
      <c r="J40" s="300">
        <v>1.4692718</v>
      </c>
      <c r="K40" s="300">
        <v>14.375966500000001</v>
      </c>
    </row>
    <row r="41" spans="1:11">
      <c r="B41" s="300" t="s">
        <v>10</v>
      </c>
      <c r="C41" s="300">
        <v>17.2085179</v>
      </c>
      <c r="D41" s="300">
        <v>0.3526147</v>
      </c>
      <c r="E41" s="300">
        <v>30.666561399999999</v>
      </c>
      <c r="F41" s="300">
        <v>16.775342899999998</v>
      </c>
      <c r="G41" s="300">
        <v>36.889206000000001</v>
      </c>
      <c r="H41" s="300">
        <v>21.220299099999998</v>
      </c>
      <c r="I41" s="300">
        <v>123.112542</v>
      </c>
      <c r="J41" s="300">
        <v>33.550685799999997</v>
      </c>
      <c r="K41" s="300">
        <v>156.66322779999999</v>
      </c>
    </row>
    <row r="42" spans="1:11">
      <c r="C42" s="300">
        <v>0.109844014716515</v>
      </c>
      <c r="D42" s="300">
        <v>2.2507815327931099E-3</v>
      </c>
      <c r="E42" s="300">
        <v>0.19574830565312801</v>
      </c>
      <c r="F42" s="300">
        <v>0.107079007215502</v>
      </c>
      <c r="G42" s="300">
        <v>0.23546818559804999</v>
      </c>
      <c r="H42" s="300">
        <v>0.13545169085300801</v>
      </c>
      <c r="I42" s="300">
        <v>0.78584198556899598</v>
      </c>
      <c r="J42" s="300">
        <v>0.21415801443100399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A1:K34"/>
  <sheetViews>
    <sheetView workbookViewId="0"/>
  </sheetViews>
  <sheetFormatPr baseColWidth="10" defaultRowHeight="15"/>
  <cols>
    <col min="1" max="16384" width="11.42578125" style="300"/>
  </cols>
  <sheetData>
    <row r="1" spans="1:11">
      <c r="A1" s="300" t="s">
        <v>222</v>
      </c>
    </row>
    <row r="3" spans="1:11">
      <c r="A3" s="300" t="s">
        <v>236</v>
      </c>
    </row>
    <row r="4" spans="1:11">
      <c r="C4" s="300" t="s">
        <v>54</v>
      </c>
      <c r="D4" s="300" t="s">
        <v>224</v>
      </c>
      <c r="E4" s="300" t="s">
        <v>225</v>
      </c>
      <c r="F4" s="300" t="s">
        <v>226</v>
      </c>
      <c r="G4" s="300" t="s">
        <v>134</v>
      </c>
      <c r="H4" s="300" t="s">
        <v>227</v>
      </c>
      <c r="I4" s="300" t="s">
        <v>10</v>
      </c>
      <c r="J4" s="300" t="s">
        <v>228</v>
      </c>
      <c r="K4" s="300" t="s">
        <v>229</v>
      </c>
    </row>
    <row r="5" spans="1:11">
      <c r="A5" s="300" t="s">
        <v>230</v>
      </c>
      <c r="B5" s="300" t="s">
        <v>231</v>
      </c>
      <c r="C5" s="300">
        <v>64.233862999999999</v>
      </c>
      <c r="D5" s="300">
        <v>38.044361000000002</v>
      </c>
      <c r="E5" s="300">
        <v>26.340436</v>
      </c>
      <c r="F5" s="300">
        <v>2.6082527</v>
      </c>
      <c r="G5" s="300">
        <v>48.557799000000003</v>
      </c>
      <c r="H5" s="300">
        <v>0</v>
      </c>
      <c r="I5" s="300">
        <v>179.7847117</v>
      </c>
      <c r="J5" s="300">
        <v>5.2165054</v>
      </c>
      <c r="K5" s="300">
        <v>185.00121709999999</v>
      </c>
    </row>
    <row r="6" spans="1:11">
      <c r="B6" s="300" t="s">
        <v>232</v>
      </c>
      <c r="C6" s="300">
        <v>2.0694583</v>
      </c>
      <c r="D6" s="300">
        <v>7.4991199999999994E-2</v>
      </c>
      <c r="E6" s="300">
        <v>3.0582562000000002</v>
      </c>
      <c r="F6" s="300">
        <v>1.5053761999999999</v>
      </c>
      <c r="G6" s="300">
        <v>0.93088789999999999</v>
      </c>
      <c r="H6" s="300">
        <v>0.21171490000000001</v>
      </c>
      <c r="I6" s="300">
        <v>7.8506847000000004</v>
      </c>
      <c r="J6" s="300">
        <v>3.0107523999999999</v>
      </c>
      <c r="K6" s="300">
        <v>10.8614371</v>
      </c>
    </row>
    <row r="7" spans="1:11">
      <c r="B7" s="300" t="s">
        <v>233</v>
      </c>
      <c r="C7" s="300">
        <v>46.32461</v>
      </c>
      <c r="D7" s="300">
        <v>5.0388058999999998</v>
      </c>
      <c r="E7" s="300">
        <v>9.3020040000000002</v>
      </c>
      <c r="F7" s="300">
        <v>0.40639150000000002</v>
      </c>
      <c r="G7" s="300">
        <v>0</v>
      </c>
      <c r="H7" s="300">
        <v>17.500266</v>
      </c>
      <c r="I7" s="300">
        <v>78.572077399999998</v>
      </c>
      <c r="J7" s="300">
        <v>0.81278300000000003</v>
      </c>
      <c r="K7" s="300">
        <v>79.384860399999994</v>
      </c>
    </row>
    <row r="8" spans="1:11">
      <c r="B8" s="300" t="s">
        <v>234</v>
      </c>
      <c r="C8" s="300">
        <v>3.5608468000000002</v>
      </c>
      <c r="D8" s="300">
        <v>0</v>
      </c>
      <c r="E8" s="300">
        <v>1.3056243000000001</v>
      </c>
      <c r="F8" s="300">
        <v>0.26464929999999998</v>
      </c>
      <c r="G8" s="300">
        <v>0.27635880000000002</v>
      </c>
      <c r="H8" s="300">
        <v>1.0712090999999999</v>
      </c>
      <c r="I8" s="300">
        <v>6.4786883</v>
      </c>
      <c r="J8" s="300">
        <v>0.52929859999999995</v>
      </c>
      <c r="K8" s="300">
        <v>7.0079868999999997</v>
      </c>
    </row>
    <row r="9" spans="1:11">
      <c r="B9" s="300" t="s">
        <v>10</v>
      </c>
      <c r="C9" s="300">
        <v>116.18877809999999</v>
      </c>
      <c r="D9" s="300">
        <v>43.158158100000001</v>
      </c>
      <c r="E9" s="300">
        <v>40.006320500000001</v>
      </c>
      <c r="F9" s="300">
        <v>4.7846697000000002</v>
      </c>
      <c r="G9" s="300">
        <v>49.765045700000002</v>
      </c>
      <c r="H9" s="300">
        <v>18.783190000000001</v>
      </c>
      <c r="I9" s="300">
        <v>272.68616209999999</v>
      </c>
      <c r="J9" s="300">
        <v>9.5693394000000005</v>
      </c>
      <c r="K9" s="300">
        <v>282.25550149999998</v>
      </c>
    </row>
    <row r="11" spans="1:11">
      <c r="A11" s="300" t="s">
        <v>237</v>
      </c>
    </row>
    <row r="12" spans="1:11">
      <c r="C12" s="300" t="s">
        <v>54</v>
      </c>
      <c r="D12" s="300" t="s">
        <v>224</v>
      </c>
      <c r="E12" s="300" t="s">
        <v>225</v>
      </c>
      <c r="F12" s="300" t="s">
        <v>226</v>
      </c>
      <c r="G12" s="300" t="s">
        <v>134</v>
      </c>
      <c r="H12" s="300" t="s">
        <v>227</v>
      </c>
      <c r="I12" s="300" t="s">
        <v>10</v>
      </c>
      <c r="J12" s="300" t="s">
        <v>228</v>
      </c>
      <c r="K12" s="300" t="s">
        <v>229</v>
      </c>
    </row>
    <row r="13" spans="1:11">
      <c r="A13" s="300" t="s">
        <v>230</v>
      </c>
      <c r="B13" s="300" t="s">
        <v>231</v>
      </c>
      <c r="C13" s="300">
        <v>57.531471000000003</v>
      </c>
      <c r="D13" s="300">
        <v>15.686718000000001</v>
      </c>
      <c r="E13" s="300">
        <v>26.169868000000001</v>
      </c>
      <c r="F13" s="300">
        <v>4.4080085999999996</v>
      </c>
      <c r="G13" s="300">
        <v>51.399140000000003</v>
      </c>
      <c r="H13" s="300">
        <v>0</v>
      </c>
      <c r="I13" s="300">
        <v>155.19520560000001</v>
      </c>
      <c r="J13" s="300">
        <v>8.8160171999999992</v>
      </c>
      <c r="K13" s="300">
        <v>164.01122280000001</v>
      </c>
    </row>
    <row r="14" spans="1:11">
      <c r="B14" s="300" t="s">
        <v>232</v>
      </c>
      <c r="C14" s="300">
        <v>2.1909060999999999</v>
      </c>
      <c r="D14" s="300">
        <v>7.4991199999999994E-2</v>
      </c>
      <c r="E14" s="300">
        <v>3.0938952</v>
      </c>
      <c r="F14" s="300">
        <v>1.9729159999999999</v>
      </c>
      <c r="G14" s="300">
        <v>1.1406442000000001</v>
      </c>
      <c r="H14" s="300">
        <v>0.4212822</v>
      </c>
      <c r="I14" s="300">
        <v>8.8946348999999998</v>
      </c>
      <c r="J14" s="300">
        <v>3.9458319999999998</v>
      </c>
      <c r="K14" s="300">
        <v>12.840466899999999</v>
      </c>
    </row>
    <row r="15" spans="1:11">
      <c r="B15" s="300" t="s">
        <v>233</v>
      </c>
      <c r="C15" s="300">
        <v>36.724297999999997</v>
      </c>
      <c r="D15" s="300">
        <v>2.6175671</v>
      </c>
      <c r="E15" s="300">
        <v>8.4114698000000008</v>
      </c>
      <c r="F15" s="300">
        <v>0.57285299999999995</v>
      </c>
      <c r="G15" s="300">
        <v>0</v>
      </c>
      <c r="H15" s="300">
        <v>21.109458</v>
      </c>
      <c r="I15" s="300">
        <v>69.435645899999997</v>
      </c>
      <c r="J15" s="300">
        <v>1.1457059999999999</v>
      </c>
      <c r="K15" s="300">
        <v>70.581351900000001</v>
      </c>
    </row>
    <row r="16" spans="1:11">
      <c r="B16" s="300" t="s">
        <v>234</v>
      </c>
      <c r="C16" s="300">
        <v>3.7557597999999999</v>
      </c>
      <c r="D16" s="300">
        <v>0</v>
      </c>
      <c r="E16" s="300">
        <v>1.4353636999999999</v>
      </c>
      <c r="F16" s="300">
        <v>0.34315099999999998</v>
      </c>
      <c r="G16" s="300">
        <v>0.55239419999999995</v>
      </c>
      <c r="H16" s="300">
        <v>1.9032347999999999</v>
      </c>
      <c r="I16" s="300">
        <v>7.9899034999999996</v>
      </c>
      <c r="J16" s="300">
        <v>0.68630199999999997</v>
      </c>
      <c r="K16" s="300">
        <v>8.6762055</v>
      </c>
    </row>
    <row r="17" spans="1:11">
      <c r="B17" s="300" t="s">
        <v>10</v>
      </c>
      <c r="C17" s="300">
        <v>100.2024349</v>
      </c>
      <c r="D17" s="300">
        <v>18.379276300000001</v>
      </c>
      <c r="E17" s="300">
        <v>39.110596700000002</v>
      </c>
      <c r="F17" s="300">
        <v>7.2969286000000002</v>
      </c>
      <c r="G17" s="300">
        <v>53.092178400000002</v>
      </c>
      <c r="H17" s="300">
        <v>23.433975</v>
      </c>
      <c r="I17" s="300">
        <v>241.5153899</v>
      </c>
      <c r="J17" s="300">
        <v>14.5938572</v>
      </c>
      <c r="K17" s="300">
        <v>256.1092471</v>
      </c>
    </row>
    <row r="19" spans="1:11">
      <c r="A19" s="300" t="s">
        <v>238</v>
      </c>
    </row>
    <row r="20" spans="1:11">
      <c r="C20" s="300" t="s">
        <v>54</v>
      </c>
      <c r="D20" s="300" t="s">
        <v>224</v>
      </c>
      <c r="E20" s="300" t="s">
        <v>225</v>
      </c>
      <c r="F20" s="300" t="s">
        <v>226</v>
      </c>
      <c r="G20" s="300" t="s">
        <v>134</v>
      </c>
      <c r="H20" s="300" t="s">
        <v>227</v>
      </c>
      <c r="I20" s="300" t="s">
        <v>10</v>
      </c>
      <c r="J20" s="300" t="s">
        <v>228</v>
      </c>
      <c r="K20" s="300" t="s">
        <v>229</v>
      </c>
    </row>
    <row r="21" spans="1:11">
      <c r="A21" s="300" t="s">
        <v>230</v>
      </c>
      <c r="B21" s="300" t="s">
        <v>231</v>
      </c>
      <c r="C21" s="300">
        <v>22.234912999999999</v>
      </c>
      <c r="D21" s="300">
        <v>1.5291052999999999</v>
      </c>
      <c r="E21" s="300">
        <v>24.232078000000001</v>
      </c>
      <c r="F21" s="300">
        <v>8.1830636000000005</v>
      </c>
      <c r="G21" s="300">
        <v>45.880267000000003</v>
      </c>
      <c r="H21" s="300">
        <v>1.3454208999999999</v>
      </c>
      <c r="I21" s="300">
        <v>103.4048478</v>
      </c>
      <c r="J21" s="300">
        <v>16.366127200000001</v>
      </c>
      <c r="K21" s="300">
        <v>119.77097500000001</v>
      </c>
    </row>
    <row r="22" spans="1:11">
      <c r="B22" s="300" t="s">
        <v>232</v>
      </c>
      <c r="C22" s="300">
        <v>2.3466241999999999</v>
      </c>
      <c r="D22" s="300">
        <v>7.4991199999999994E-2</v>
      </c>
      <c r="E22" s="300">
        <v>3.1542509999999999</v>
      </c>
      <c r="F22" s="300">
        <v>2.7957477000000002</v>
      </c>
      <c r="G22" s="300">
        <v>1.4106574999999999</v>
      </c>
      <c r="H22" s="300">
        <v>0.83128880000000005</v>
      </c>
      <c r="I22" s="300">
        <v>10.613560400000001</v>
      </c>
      <c r="J22" s="300">
        <v>5.5914954000000003</v>
      </c>
      <c r="K22" s="300">
        <v>16.2050558</v>
      </c>
    </row>
    <row r="23" spans="1:11">
      <c r="B23" s="300" t="s">
        <v>233</v>
      </c>
      <c r="C23" s="300">
        <v>25.554660999999999</v>
      </c>
      <c r="D23" s="300">
        <v>1.3862036</v>
      </c>
      <c r="E23" s="300">
        <v>6.4436308999999996</v>
      </c>
      <c r="F23" s="300">
        <v>0.93348260000000005</v>
      </c>
      <c r="G23" s="300">
        <v>0</v>
      </c>
      <c r="H23" s="300">
        <v>18.185676000000001</v>
      </c>
      <c r="I23" s="300">
        <v>52.503654099999999</v>
      </c>
      <c r="J23" s="300">
        <v>1.8669652000000001</v>
      </c>
      <c r="K23" s="300">
        <v>54.370619300000001</v>
      </c>
    </row>
    <row r="24" spans="1:11">
      <c r="B24" s="300" t="s">
        <v>234</v>
      </c>
      <c r="C24" s="300">
        <v>3.9274494999999998</v>
      </c>
      <c r="D24" s="300">
        <v>0</v>
      </c>
      <c r="E24" s="300">
        <v>1.5742809</v>
      </c>
      <c r="F24" s="300">
        <v>0.54902759999999995</v>
      </c>
      <c r="G24" s="300">
        <v>1.0674633</v>
      </c>
      <c r="H24" s="300">
        <v>3.7607020000000002</v>
      </c>
      <c r="I24" s="300">
        <v>10.8789233</v>
      </c>
      <c r="J24" s="300">
        <v>1.0980551999999999</v>
      </c>
      <c r="K24" s="300">
        <v>11.9769785</v>
      </c>
    </row>
    <row r="25" spans="1:11">
      <c r="B25" s="300" t="s">
        <v>10</v>
      </c>
      <c r="C25" s="300">
        <v>54.063647699999997</v>
      </c>
      <c r="D25" s="300">
        <v>2.9903000999999998</v>
      </c>
      <c r="E25" s="300">
        <v>35.404240799999997</v>
      </c>
      <c r="F25" s="300">
        <v>12.4613215</v>
      </c>
      <c r="G25" s="300">
        <v>48.358387800000003</v>
      </c>
      <c r="H25" s="300">
        <v>24.123087699999999</v>
      </c>
      <c r="I25" s="300">
        <v>177.40098560000001</v>
      </c>
      <c r="J25" s="300">
        <v>24.922643000000001</v>
      </c>
      <c r="K25" s="300">
        <v>202.32362860000001</v>
      </c>
    </row>
    <row r="27" spans="1:11">
      <c r="B27" s="300" t="s">
        <v>239</v>
      </c>
    </row>
    <row r="28" spans="1:11">
      <c r="C28" s="300" t="s">
        <v>54</v>
      </c>
      <c r="D28" s="300" t="s">
        <v>224</v>
      </c>
      <c r="E28" s="300" t="s">
        <v>225</v>
      </c>
      <c r="F28" s="300" t="s">
        <v>226</v>
      </c>
      <c r="G28" s="300" t="s">
        <v>134</v>
      </c>
      <c r="H28" s="300" t="s">
        <v>227</v>
      </c>
      <c r="I28" s="300" t="s">
        <v>10</v>
      </c>
      <c r="J28" s="300" t="s">
        <v>228</v>
      </c>
      <c r="K28" s="300" t="s">
        <v>229</v>
      </c>
    </row>
    <row r="29" spans="1:11">
      <c r="A29" s="300" t="s">
        <v>230</v>
      </c>
      <c r="B29" s="300" t="s">
        <v>231</v>
      </c>
      <c r="C29" s="300">
        <v>3.0888198</v>
      </c>
      <c r="D29" s="300">
        <v>1.1872600000000001E-2</v>
      </c>
      <c r="E29" s="300">
        <v>19.294653</v>
      </c>
      <c r="F29" s="300">
        <v>9.7085719000000008</v>
      </c>
      <c r="G29" s="300">
        <v>33.971479000000002</v>
      </c>
      <c r="H29" s="300">
        <v>1.666364</v>
      </c>
      <c r="I29" s="300">
        <v>67.741760299999996</v>
      </c>
      <c r="J29" s="300">
        <v>19.417143800000002</v>
      </c>
      <c r="K29" s="300">
        <v>87.158904100000001</v>
      </c>
    </row>
    <row r="30" spans="1:11">
      <c r="B30" s="300" t="s">
        <v>232</v>
      </c>
      <c r="C30" s="300">
        <v>2.4270782</v>
      </c>
      <c r="D30" s="300">
        <v>7.4991199999999994E-2</v>
      </c>
      <c r="E30" s="300">
        <v>3.1854347000000001</v>
      </c>
      <c r="F30" s="300">
        <v>3.2323195</v>
      </c>
      <c r="G30" s="300">
        <v>1.4911114999999999</v>
      </c>
      <c r="H30" s="300">
        <v>1.0726507000000001</v>
      </c>
      <c r="I30" s="300">
        <v>11.4835858</v>
      </c>
      <c r="J30" s="300">
        <v>6.464639</v>
      </c>
      <c r="K30" s="300">
        <v>17.948224799999998</v>
      </c>
    </row>
    <row r="31" spans="1:11">
      <c r="B31" s="300" t="s">
        <v>233</v>
      </c>
      <c r="C31" s="300">
        <v>7.6454529999999998</v>
      </c>
      <c r="D31" s="300">
        <v>0.26575090000000001</v>
      </c>
      <c r="E31" s="300">
        <v>6.5657907</v>
      </c>
      <c r="F31" s="300">
        <v>3.0998155999999999</v>
      </c>
      <c r="G31" s="300">
        <v>0</v>
      </c>
      <c r="H31" s="300">
        <v>13.403691</v>
      </c>
      <c r="I31" s="300">
        <v>30.980501199999999</v>
      </c>
      <c r="J31" s="300">
        <v>6.1996311999999998</v>
      </c>
      <c r="K31" s="300">
        <v>37.180132399999998</v>
      </c>
    </row>
    <row r="32" spans="1:11">
      <c r="B32" s="300" t="s">
        <v>234</v>
      </c>
      <c r="C32" s="300">
        <v>4.0471668999999997</v>
      </c>
      <c r="D32" s="300">
        <v>0</v>
      </c>
      <c r="E32" s="300">
        <v>1.6206830000000001</v>
      </c>
      <c r="F32" s="300">
        <v>0.73463590000000001</v>
      </c>
      <c r="G32" s="300">
        <v>1.4266155</v>
      </c>
      <c r="H32" s="300">
        <v>5.0775933999999996</v>
      </c>
      <c r="I32" s="300">
        <v>12.906694699999999</v>
      </c>
      <c r="J32" s="300">
        <v>1.4692718</v>
      </c>
      <c r="K32" s="300">
        <v>14.375966500000001</v>
      </c>
    </row>
    <row r="33" spans="2:11">
      <c r="B33" s="300" t="s">
        <v>10</v>
      </c>
      <c r="C33" s="300">
        <v>17.2085179</v>
      </c>
      <c r="D33" s="300">
        <v>0.3526147</v>
      </c>
      <c r="E33" s="300">
        <v>30.666561399999999</v>
      </c>
      <c r="F33" s="300">
        <v>16.775342899999998</v>
      </c>
      <c r="G33" s="300">
        <v>36.889206000000001</v>
      </c>
      <c r="H33" s="300">
        <v>21.220299099999998</v>
      </c>
      <c r="I33" s="300">
        <v>123.112542</v>
      </c>
      <c r="J33" s="300">
        <v>33.550685799999997</v>
      </c>
      <c r="K33" s="300">
        <v>156.66322779999999</v>
      </c>
    </row>
    <row r="34" spans="2:11">
      <c r="C34" s="300">
        <v>0.109844014716515</v>
      </c>
      <c r="D34" s="300">
        <v>2.2507815327931099E-3</v>
      </c>
      <c r="E34" s="300">
        <v>0.19574830565312801</v>
      </c>
      <c r="F34" s="300">
        <v>0.107079007215502</v>
      </c>
      <c r="G34" s="300">
        <v>0.23546818559804999</v>
      </c>
      <c r="H34" s="300">
        <v>0.13545169085300801</v>
      </c>
      <c r="I34" s="300">
        <v>0.78584198556899598</v>
      </c>
      <c r="J34" s="300">
        <v>0.21415801443100399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A1:K26"/>
  <sheetViews>
    <sheetView workbookViewId="0"/>
  </sheetViews>
  <sheetFormatPr baseColWidth="10" defaultRowHeight="15"/>
  <cols>
    <col min="1" max="16384" width="11.42578125" style="300"/>
  </cols>
  <sheetData>
    <row r="1" spans="1:11">
      <c r="A1" s="300" t="s">
        <v>222</v>
      </c>
    </row>
    <row r="3" spans="1:11">
      <c r="A3" s="300" t="s">
        <v>237</v>
      </c>
    </row>
    <row r="4" spans="1:11">
      <c r="C4" s="300" t="s">
        <v>54</v>
      </c>
      <c r="D4" s="300" t="s">
        <v>224</v>
      </c>
      <c r="E4" s="300" t="s">
        <v>225</v>
      </c>
      <c r="F4" s="300" t="s">
        <v>226</v>
      </c>
      <c r="G4" s="300" t="s">
        <v>134</v>
      </c>
      <c r="H4" s="300" t="s">
        <v>227</v>
      </c>
      <c r="I4" s="300" t="s">
        <v>10</v>
      </c>
      <c r="J4" s="300" t="s">
        <v>228</v>
      </c>
      <c r="K4" s="300" t="s">
        <v>229</v>
      </c>
    </row>
    <row r="5" spans="1:11">
      <c r="A5" s="300" t="s">
        <v>230</v>
      </c>
      <c r="B5" s="300" t="s">
        <v>231</v>
      </c>
      <c r="C5" s="300">
        <v>57.531471000000003</v>
      </c>
      <c r="D5" s="300">
        <v>15.686718000000001</v>
      </c>
      <c r="E5" s="300">
        <v>26.169868000000001</v>
      </c>
      <c r="F5" s="300">
        <v>4.4080085999999996</v>
      </c>
      <c r="G5" s="300">
        <v>51.399140000000003</v>
      </c>
      <c r="H5" s="300">
        <v>0</v>
      </c>
      <c r="I5" s="300">
        <v>155.19520560000001</v>
      </c>
      <c r="J5" s="300">
        <v>8.8160171999999992</v>
      </c>
      <c r="K5" s="300">
        <v>164.01122280000001</v>
      </c>
    </row>
    <row r="6" spans="1:11">
      <c r="B6" s="300" t="s">
        <v>232</v>
      </c>
      <c r="C6" s="300">
        <v>2.1909060999999999</v>
      </c>
      <c r="D6" s="300">
        <v>7.4991199999999994E-2</v>
      </c>
      <c r="E6" s="300">
        <v>3.0938952</v>
      </c>
      <c r="F6" s="300">
        <v>1.9729159999999999</v>
      </c>
      <c r="G6" s="300">
        <v>1.1406442000000001</v>
      </c>
      <c r="H6" s="300">
        <v>0.4212822</v>
      </c>
      <c r="I6" s="300">
        <v>8.8946348999999998</v>
      </c>
      <c r="J6" s="300">
        <v>3.9458319999999998</v>
      </c>
      <c r="K6" s="300">
        <v>12.840466899999999</v>
      </c>
    </row>
    <row r="7" spans="1:11">
      <c r="B7" s="300" t="s">
        <v>233</v>
      </c>
      <c r="C7" s="300">
        <v>36.724297999999997</v>
      </c>
      <c r="D7" s="300">
        <v>2.6175671</v>
      </c>
      <c r="E7" s="300">
        <v>8.4114698000000008</v>
      </c>
      <c r="F7" s="300">
        <v>0.57285299999999995</v>
      </c>
      <c r="G7" s="300">
        <v>0</v>
      </c>
      <c r="H7" s="300">
        <v>21.109458</v>
      </c>
      <c r="I7" s="300">
        <v>69.435645899999997</v>
      </c>
      <c r="J7" s="300">
        <v>1.1457059999999999</v>
      </c>
      <c r="K7" s="300">
        <v>70.581351900000001</v>
      </c>
    </row>
    <row r="8" spans="1:11">
      <c r="B8" s="300" t="s">
        <v>234</v>
      </c>
      <c r="C8" s="300">
        <v>3.7557597999999999</v>
      </c>
      <c r="D8" s="300">
        <v>0</v>
      </c>
      <c r="E8" s="300">
        <v>1.4353636999999999</v>
      </c>
      <c r="F8" s="300">
        <v>0.34315099999999998</v>
      </c>
      <c r="G8" s="300">
        <v>0.55239419999999995</v>
      </c>
      <c r="H8" s="300">
        <v>1.9032347999999999</v>
      </c>
      <c r="I8" s="300">
        <v>7.9899034999999996</v>
      </c>
      <c r="J8" s="300">
        <v>0.68630199999999997</v>
      </c>
      <c r="K8" s="300">
        <v>8.6762055</v>
      </c>
    </row>
    <row r="9" spans="1:11">
      <c r="B9" s="300" t="s">
        <v>10</v>
      </c>
      <c r="C9" s="300">
        <v>100.2024349</v>
      </c>
      <c r="D9" s="300">
        <v>18.379276300000001</v>
      </c>
      <c r="E9" s="300">
        <v>39.110596700000002</v>
      </c>
      <c r="F9" s="300">
        <v>7.2969286000000002</v>
      </c>
      <c r="G9" s="300">
        <v>53.092178400000002</v>
      </c>
      <c r="H9" s="300">
        <v>23.433975</v>
      </c>
      <c r="I9" s="300">
        <v>241.5153899</v>
      </c>
      <c r="J9" s="300">
        <v>14.5938572</v>
      </c>
      <c r="K9" s="300">
        <v>256.1092471</v>
      </c>
    </row>
    <row r="11" spans="1:11">
      <c r="A11" s="300" t="s">
        <v>238</v>
      </c>
    </row>
    <row r="12" spans="1:11">
      <c r="C12" s="300" t="s">
        <v>54</v>
      </c>
      <c r="D12" s="300" t="s">
        <v>224</v>
      </c>
      <c r="E12" s="300" t="s">
        <v>225</v>
      </c>
      <c r="F12" s="300" t="s">
        <v>226</v>
      </c>
      <c r="G12" s="300" t="s">
        <v>134</v>
      </c>
      <c r="H12" s="300" t="s">
        <v>227</v>
      </c>
      <c r="I12" s="300" t="s">
        <v>10</v>
      </c>
      <c r="J12" s="300" t="s">
        <v>228</v>
      </c>
      <c r="K12" s="300" t="s">
        <v>229</v>
      </c>
    </row>
    <row r="13" spans="1:11">
      <c r="A13" s="300" t="s">
        <v>230</v>
      </c>
      <c r="B13" s="300" t="s">
        <v>231</v>
      </c>
      <c r="C13" s="300">
        <v>22.234912999999999</v>
      </c>
      <c r="D13" s="300">
        <v>1.5291052999999999</v>
      </c>
      <c r="E13" s="300">
        <v>24.232078000000001</v>
      </c>
      <c r="F13" s="300">
        <v>8.1830636000000005</v>
      </c>
      <c r="G13" s="300">
        <v>45.880267000000003</v>
      </c>
      <c r="H13" s="300">
        <v>1.3454208999999999</v>
      </c>
      <c r="I13" s="300">
        <v>103.4048478</v>
      </c>
      <c r="J13" s="300">
        <v>16.366127200000001</v>
      </c>
      <c r="K13" s="300">
        <v>119.77097500000001</v>
      </c>
    </row>
    <row r="14" spans="1:11">
      <c r="B14" s="300" t="s">
        <v>232</v>
      </c>
      <c r="C14" s="300">
        <v>2.3466241999999999</v>
      </c>
      <c r="D14" s="300">
        <v>7.4991199999999994E-2</v>
      </c>
      <c r="E14" s="300">
        <v>3.1542509999999999</v>
      </c>
      <c r="F14" s="300">
        <v>2.7957477000000002</v>
      </c>
      <c r="G14" s="300">
        <v>1.4106574999999999</v>
      </c>
      <c r="H14" s="300">
        <v>0.83128880000000005</v>
      </c>
      <c r="I14" s="300">
        <v>10.613560400000001</v>
      </c>
      <c r="J14" s="300">
        <v>5.5914954000000003</v>
      </c>
      <c r="K14" s="300">
        <v>16.2050558</v>
      </c>
    </row>
    <row r="15" spans="1:11">
      <c r="B15" s="300" t="s">
        <v>233</v>
      </c>
      <c r="C15" s="300">
        <v>25.554660999999999</v>
      </c>
      <c r="D15" s="300">
        <v>1.3862036</v>
      </c>
      <c r="E15" s="300">
        <v>6.4436308999999996</v>
      </c>
      <c r="F15" s="300">
        <v>0.93348260000000005</v>
      </c>
      <c r="G15" s="300">
        <v>0</v>
      </c>
      <c r="H15" s="300">
        <v>18.185676000000001</v>
      </c>
      <c r="I15" s="300">
        <v>52.503654099999999</v>
      </c>
      <c r="J15" s="300">
        <v>1.8669652000000001</v>
      </c>
      <c r="K15" s="300">
        <v>54.370619300000001</v>
      </c>
    </row>
    <row r="16" spans="1:11">
      <c r="B16" s="300" t="s">
        <v>234</v>
      </c>
      <c r="C16" s="300">
        <v>3.9274494999999998</v>
      </c>
      <c r="D16" s="300">
        <v>0</v>
      </c>
      <c r="E16" s="300">
        <v>1.5742809</v>
      </c>
      <c r="F16" s="300">
        <v>0.54902759999999995</v>
      </c>
      <c r="G16" s="300">
        <v>1.0674633</v>
      </c>
      <c r="H16" s="300">
        <v>3.7607020000000002</v>
      </c>
      <c r="I16" s="300">
        <v>10.8789233</v>
      </c>
      <c r="J16" s="300">
        <v>1.0980551999999999</v>
      </c>
      <c r="K16" s="300">
        <v>11.9769785</v>
      </c>
    </row>
    <row r="17" spans="1:11">
      <c r="B17" s="300" t="s">
        <v>10</v>
      </c>
      <c r="C17" s="300">
        <v>54.063647699999997</v>
      </c>
      <c r="D17" s="300">
        <v>2.9903000999999998</v>
      </c>
      <c r="E17" s="300">
        <v>35.404240799999997</v>
      </c>
      <c r="F17" s="300">
        <v>12.4613215</v>
      </c>
      <c r="G17" s="300">
        <v>48.358387800000003</v>
      </c>
      <c r="H17" s="300">
        <v>24.123087699999999</v>
      </c>
      <c r="I17" s="300">
        <v>177.40098560000001</v>
      </c>
      <c r="J17" s="300">
        <v>24.922643000000001</v>
      </c>
      <c r="K17" s="300">
        <v>202.32362860000001</v>
      </c>
    </row>
    <row r="19" spans="1:11">
      <c r="B19" s="300" t="s">
        <v>239</v>
      </c>
    </row>
    <row r="20" spans="1:11">
      <c r="C20" s="300" t="s">
        <v>54</v>
      </c>
      <c r="D20" s="300" t="s">
        <v>224</v>
      </c>
      <c r="E20" s="300" t="s">
        <v>225</v>
      </c>
      <c r="F20" s="300" t="s">
        <v>226</v>
      </c>
      <c r="G20" s="300" t="s">
        <v>134</v>
      </c>
      <c r="H20" s="300" t="s">
        <v>227</v>
      </c>
      <c r="I20" s="300" t="s">
        <v>10</v>
      </c>
      <c r="J20" s="300" t="s">
        <v>228</v>
      </c>
      <c r="K20" s="300" t="s">
        <v>229</v>
      </c>
    </row>
    <row r="21" spans="1:11">
      <c r="A21" s="300" t="s">
        <v>230</v>
      </c>
      <c r="B21" s="300" t="s">
        <v>231</v>
      </c>
      <c r="C21" s="300">
        <v>3.0888198</v>
      </c>
      <c r="D21" s="300">
        <v>1.1872600000000001E-2</v>
      </c>
      <c r="E21" s="300">
        <v>19.294653</v>
      </c>
      <c r="F21" s="300">
        <v>9.7085719000000008</v>
      </c>
      <c r="G21" s="300">
        <v>33.971479000000002</v>
      </c>
      <c r="H21" s="300">
        <v>1.666364</v>
      </c>
      <c r="I21" s="300">
        <v>67.741760299999996</v>
      </c>
      <c r="J21" s="300">
        <v>19.417143800000002</v>
      </c>
      <c r="K21" s="300">
        <v>87.158904100000001</v>
      </c>
    </row>
    <row r="22" spans="1:11">
      <c r="B22" s="300" t="s">
        <v>232</v>
      </c>
      <c r="C22" s="300">
        <v>2.4270782</v>
      </c>
      <c r="D22" s="300">
        <v>7.4991199999999994E-2</v>
      </c>
      <c r="E22" s="300">
        <v>3.1854347000000001</v>
      </c>
      <c r="F22" s="300">
        <v>3.2323195</v>
      </c>
      <c r="G22" s="300">
        <v>1.4911114999999999</v>
      </c>
      <c r="H22" s="300">
        <v>1.0726507000000001</v>
      </c>
      <c r="I22" s="300">
        <v>11.4835858</v>
      </c>
      <c r="J22" s="300">
        <v>6.464639</v>
      </c>
      <c r="K22" s="300">
        <v>17.948224799999998</v>
      </c>
    </row>
    <row r="23" spans="1:11">
      <c r="B23" s="300" t="s">
        <v>233</v>
      </c>
      <c r="C23" s="300">
        <v>7.6454529999999998</v>
      </c>
      <c r="D23" s="300">
        <v>0.26575090000000001</v>
      </c>
      <c r="E23" s="300">
        <v>6.5657907</v>
      </c>
      <c r="F23" s="300">
        <v>3.0998155999999999</v>
      </c>
      <c r="G23" s="300">
        <v>0</v>
      </c>
      <c r="H23" s="300">
        <v>13.403691</v>
      </c>
      <c r="I23" s="300">
        <v>30.980501199999999</v>
      </c>
      <c r="J23" s="300">
        <v>6.1996311999999998</v>
      </c>
      <c r="K23" s="300">
        <v>37.180132399999998</v>
      </c>
    </row>
    <row r="24" spans="1:11">
      <c r="B24" s="300" t="s">
        <v>234</v>
      </c>
      <c r="C24" s="300">
        <v>4.0471668999999997</v>
      </c>
      <c r="D24" s="300">
        <v>0</v>
      </c>
      <c r="E24" s="300">
        <v>1.6206830000000001</v>
      </c>
      <c r="F24" s="300">
        <v>0.73463590000000001</v>
      </c>
      <c r="G24" s="300">
        <v>1.4266155</v>
      </c>
      <c r="H24" s="300">
        <v>5.0775933999999996</v>
      </c>
      <c r="I24" s="300">
        <v>12.906694699999999</v>
      </c>
      <c r="J24" s="300">
        <v>1.4692718</v>
      </c>
      <c r="K24" s="300">
        <v>14.375966500000001</v>
      </c>
    </row>
    <row r="25" spans="1:11">
      <c r="B25" s="300" t="s">
        <v>10</v>
      </c>
      <c r="C25" s="300">
        <v>17.2085179</v>
      </c>
      <c r="D25" s="300">
        <v>0.3526147</v>
      </c>
      <c r="E25" s="300">
        <v>30.666561399999999</v>
      </c>
      <c r="F25" s="300">
        <v>16.775342899999998</v>
      </c>
      <c r="G25" s="300">
        <v>36.889206000000001</v>
      </c>
      <c r="H25" s="300">
        <v>21.220299099999998</v>
      </c>
      <c r="I25" s="300">
        <v>123.112542</v>
      </c>
      <c r="J25" s="300">
        <v>33.550685799999997</v>
      </c>
      <c r="K25" s="300">
        <v>156.66322779999999</v>
      </c>
    </row>
    <row r="26" spans="1:11">
      <c r="C26" s="300">
        <v>0.109844014716515</v>
      </c>
      <c r="D26" s="300">
        <v>2.2507815327931099E-3</v>
      </c>
      <c r="E26" s="300">
        <v>0.19574830565312801</v>
      </c>
      <c r="F26" s="300">
        <v>0.107079007215502</v>
      </c>
      <c r="G26" s="300">
        <v>0.23546818559804999</v>
      </c>
      <c r="H26" s="300">
        <v>0.13545169085300801</v>
      </c>
      <c r="I26" s="300">
        <v>0.78584198556899598</v>
      </c>
      <c r="J26" s="300">
        <v>0.21415801443100399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/>
  </sheetViews>
  <sheetFormatPr baseColWidth="10" defaultRowHeight="12.75"/>
  <cols>
    <col min="1" max="1" width="11.42578125" style="22"/>
    <col min="2" max="2" width="22.85546875" style="22" bestFit="1" customWidth="1"/>
    <col min="3" max="3" width="7" style="22" customWidth="1"/>
    <col min="4" max="4" width="6.28515625" style="22" customWidth="1"/>
    <col min="5" max="5" width="5.7109375" style="22" customWidth="1"/>
    <col min="6" max="6" width="7" style="22" bestFit="1" customWidth="1"/>
    <col min="7" max="7" width="5.85546875" style="22" bestFit="1" customWidth="1"/>
    <col min="8" max="8" width="9.42578125" style="22" customWidth="1"/>
    <col min="9" max="9" width="9.28515625" style="22" customWidth="1"/>
    <col min="10" max="10" width="9.7109375" style="22" customWidth="1"/>
    <col min="11" max="11" width="9.42578125" style="22" customWidth="1"/>
    <col min="12" max="12" width="4.85546875" style="22" customWidth="1"/>
    <col min="13" max="13" width="5.28515625" style="22" customWidth="1"/>
    <col min="14" max="14" width="18.7109375" style="22" bestFit="1" customWidth="1"/>
    <col min="15" max="15" width="4.42578125" style="22" bestFit="1" customWidth="1"/>
    <col min="16" max="16" width="19.28515625" style="22" customWidth="1"/>
    <col min="17" max="17" width="6" style="22" customWidth="1"/>
    <col min="18" max="18" width="17.7109375" style="22" bestFit="1" customWidth="1"/>
    <col min="19" max="19" width="9.140625" style="22" customWidth="1"/>
    <col min="20" max="20" width="12.28515625" style="22" customWidth="1"/>
    <col min="21" max="21" width="11.42578125" style="22"/>
    <col min="22" max="22" width="10.5703125" style="22" customWidth="1"/>
    <col min="23" max="23" width="12.140625" style="22" customWidth="1"/>
    <col min="24" max="24" width="21.28515625" style="22" bestFit="1" customWidth="1"/>
    <col min="25" max="238" width="11.42578125" style="22"/>
    <col min="239" max="239" width="14.85546875" style="22" bestFit="1" customWidth="1"/>
    <col min="240" max="240" width="28" style="22" bestFit="1" customWidth="1"/>
    <col min="241" max="241" width="4.42578125" style="22" bestFit="1" customWidth="1"/>
    <col min="242" max="242" width="8" style="22" bestFit="1" customWidth="1"/>
    <col min="243" max="243" width="11.42578125" style="22"/>
    <col min="244" max="244" width="22.85546875" style="22" bestFit="1" customWidth="1"/>
    <col min="245" max="245" width="7" style="22" customWidth="1"/>
    <col min="246" max="246" width="6.28515625" style="22" customWidth="1"/>
    <col min="247" max="247" width="5.7109375" style="22" customWidth="1"/>
    <col min="248" max="248" width="5.7109375" style="22" bestFit="1" customWidth="1"/>
    <col min="249" max="249" width="5.85546875" style="22" bestFit="1" customWidth="1"/>
    <col min="250" max="250" width="9.42578125" style="22" customWidth="1"/>
    <col min="251" max="251" width="5.140625" style="22" customWidth="1"/>
    <col min="252" max="252" width="9.7109375" style="22" customWidth="1"/>
    <col min="253" max="253" width="6.7109375" style="22" bestFit="1" customWidth="1"/>
    <col min="254" max="254" width="4.85546875" style="22" customWidth="1"/>
    <col min="255" max="255" width="5.28515625" style="22" customWidth="1"/>
    <col min="256" max="257" width="4.42578125" style="22" bestFit="1" customWidth="1"/>
    <col min="258" max="258" width="13.28515625" style="22" bestFit="1" customWidth="1"/>
    <col min="259" max="259" width="3.140625" style="22" customWidth="1"/>
    <col min="260" max="260" width="5.42578125" style="22" bestFit="1" customWidth="1"/>
    <col min="261" max="261" width="4.42578125" style="22" bestFit="1" customWidth="1"/>
    <col min="262" max="262" width="6.42578125" style="22" customWidth="1"/>
    <col min="263" max="263" width="5" style="22" bestFit="1" customWidth="1"/>
    <col min="264" max="264" width="4.5703125" style="22" bestFit="1" customWidth="1"/>
    <col min="265" max="265" width="4.42578125" style="22" bestFit="1" customWidth="1"/>
    <col min="266" max="266" width="4" style="22" customWidth="1"/>
    <col min="267" max="494" width="11.42578125" style="22"/>
    <col min="495" max="495" width="14.85546875" style="22" bestFit="1" customWidth="1"/>
    <col min="496" max="496" width="28" style="22" bestFit="1" customWidth="1"/>
    <col min="497" max="497" width="4.42578125" style="22" bestFit="1" customWidth="1"/>
    <col min="498" max="498" width="8" style="22" bestFit="1" customWidth="1"/>
    <col min="499" max="499" width="11.42578125" style="22"/>
    <col min="500" max="500" width="22.85546875" style="22" bestFit="1" customWidth="1"/>
    <col min="501" max="501" width="7" style="22" customWidth="1"/>
    <col min="502" max="502" width="6.28515625" style="22" customWidth="1"/>
    <col min="503" max="503" width="5.7109375" style="22" customWidth="1"/>
    <col min="504" max="504" width="5.7109375" style="22" bestFit="1" customWidth="1"/>
    <col min="505" max="505" width="5.85546875" style="22" bestFit="1" customWidth="1"/>
    <col min="506" max="506" width="9.42578125" style="22" customWidth="1"/>
    <col min="507" max="507" width="5.140625" style="22" customWidth="1"/>
    <col min="508" max="508" width="9.7109375" style="22" customWidth="1"/>
    <col min="509" max="509" width="6.7109375" style="22" bestFit="1" customWidth="1"/>
    <col min="510" max="510" width="4.85546875" style="22" customWidth="1"/>
    <col min="511" max="511" width="5.28515625" style="22" customWidth="1"/>
    <col min="512" max="513" width="4.42578125" style="22" bestFit="1" customWidth="1"/>
    <col min="514" max="514" width="13.28515625" style="22" bestFit="1" customWidth="1"/>
    <col min="515" max="515" width="3.140625" style="22" customWidth="1"/>
    <col min="516" max="516" width="5.42578125" style="22" bestFit="1" customWidth="1"/>
    <col min="517" max="517" width="4.42578125" style="22" bestFit="1" customWidth="1"/>
    <col min="518" max="518" width="6.42578125" style="22" customWidth="1"/>
    <col min="519" max="519" width="5" style="22" bestFit="1" customWidth="1"/>
    <col min="520" max="520" width="4.5703125" style="22" bestFit="1" customWidth="1"/>
    <col min="521" max="521" width="4.42578125" style="22" bestFit="1" customWidth="1"/>
    <col min="522" max="522" width="4" style="22" customWidth="1"/>
    <col min="523" max="750" width="11.42578125" style="22"/>
    <col min="751" max="751" width="14.85546875" style="22" bestFit="1" customWidth="1"/>
    <col min="752" max="752" width="28" style="22" bestFit="1" customWidth="1"/>
    <col min="753" max="753" width="4.42578125" style="22" bestFit="1" customWidth="1"/>
    <col min="754" max="754" width="8" style="22" bestFit="1" customWidth="1"/>
    <col min="755" max="755" width="11.42578125" style="22"/>
    <col min="756" max="756" width="22.85546875" style="22" bestFit="1" customWidth="1"/>
    <col min="757" max="757" width="7" style="22" customWidth="1"/>
    <col min="758" max="758" width="6.28515625" style="22" customWidth="1"/>
    <col min="759" max="759" width="5.7109375" style="22" customWidth="1"/>
    <col min="760" max="760" width="5.7109375" style="22" bestFit="1" customWidth="1"/>
    <col min="761" max="761" width="5.85546875" style="22" bestFit="1" customWidth="1"/>
    <col min="762" max="762" width="9.42578125" style="22" customWidth="1"/>
    <col min="763" max="763" width="5.140625" style="22" customWidth="1"/>
    <col min="764" max="764" width="9.7109375" style="22" customWidth="1"/>
    <col min="765" max="765" width="6.7109375" style="22" bestFit="1" customWidth="1"/>
    <col min="766" max="766" width="4.85546875" style="22" customWidth="1"/>
    <col min="767" max="767" width="5.28515625" style="22" customWidth="1"/>
    <col min="768" max="769" width="4.42578125" style="22" bestFit="1" customWidth="1"/>
    <col min="770" max="770" width="13.28515625" style="22" bestFit="1" customWidth="1"/>
    <col min="771" max="771" width="3.140625" style="22" customWidth="1"/>
    <col min="772" max="772" width="5.42578125" style="22" bestFit="1" customWidth="1"/>
    <col min="773" max="773" width="4.42578125" style="22" bestFit="1" customWidth="1"/>
    <col min="774" max="774" width="6.42578125" style="22" customWidth="1"/>
    <col min="775" max="775" width="5" style="22" bestFit="1" customWidth="1"/>
    <col min="776" max="776" width="4.5703125" style="22" bestFit="1" customWidth="1"/>
    <col min="777" max="777" width="4.42578125" style="22" bestFit="1" customWidth="1"/>
    <col min="778" max="778" width="4" style="22" customWidth="1"/>
    <col min="779" max="1006" width="11.42578125" style="22"/>
    <col min="1007" max="1007" width="14.85546875" style="22" bestFit="1" customWidth="1"/>
    <col min="1008" max="1008" width="28" style="22" bestFit="1" customWidth="1"/>
    <col min="1009" max="1009" width="4.42578125" style="22" bestFit="1" customWidth="1"/>
    <col min="1010" max="1010" width="8" style="22" bestFit="1" customWidth="1"/>
    <col min="1011" max="1011" width="11.42578125" style="22"/>
    <col min="1012" max="1012" width="22.85546875" style="22" bestFit="1" customWidth="1"/>
    <col min="1013" max="1013" width="7" style="22" customWidth="1"/>
    <col min="1014" max="1014" width="6.28515625" style="22" customWidth="1"/>
    <col min="1015" max="1015" width="5.7109375" style="22" customWidth="1"/>
    <col min="1016" max="1016" width="5.7109375" style="22" bestFit="1" customWidth="1"/>
    <col min="1017" max="1017" width="5.85546875" style="22" bestFit="1" customWidth="1"/>
    <col min="1018" max="1018" width="9.42578125" style="22" customWidth="1"/>
    <col min="1019" max="1019" width="5.140625" style="22" customWidth="1"/>
    <col min="1020" max="1020" width="9.7109375" style="22" customWidth="1"/>
    <col min="1021" max="1021" width="6.7109375" style="22" bestFit="1" customWidth="1"/>
    <col min="1022" max="1022" width="4.85546875" style="22" customWidth="1"/>
    <col min="1023" max="1023" width="5.28515625" style="22" customWidth="1"/>
    <col min="1024" max="1025" width="4.42578125" style="22" bestFit="1" customWidth="1"/>
    <col min="1026" max="1026" width="13.28515625" style="22" bestFit="1" customWidth="1"/>
    <col min="1027" max="1027" width="3.140625" style="22" customWidth="1"/>
    <col min="1028" max="1028" width="5.42578125" style="22" bestFit="1" customWidth="1"/>
    <col min="1029" max="1029" width="4.42578125" style="22" bestFit="1" customWidth="1"/>
    <col min="1030" max="1030" width="6.42578125" style="22" customWidth="1"/>
    <col min="1031" max="1031" width="5" style="22" bestFit="1" customWidth="1"/>
    <col min="1032" max="1032" width="4.5703125" style="22" bestFit="1" customWidth="1"/>
    <col min="1033" max="1033" width="4.42578125" style="22" bestFit="1" customWidth="1"/>
    <col min="1034" max="1034" width="4" style="22" customWidth="1"/>
    <col min="1035" max="1262" width="11.42578125" style="22"/>
    <col min="1263" max="1263" width="14.85546875" style="22" bestFit="1" customWidth="1"/>
    <col min="1264" max="1264" width="28" style="22" bestFit="1" customWidth="1"/>
    <col min="1265" max="1265" width="4.42578125" style="22" bestFit="1" customWidth="1"/>
    <col min="1266" max="1266" width="8" style="22" bestFit="1" customWidth="1"/>
    <col min="1267" max="1267" width="11.42578125" style="22"/>
    <col min="1268" max="1268" width="22.85546875" style="22" bestFit="1" customWidth="1"/>
    <col min="1269" max="1269" width="7" style="22" customWidth="1"/>
    <col min="1270" max="1270" width="6.28515625" style="22" customWidth="1"/>
    <col min="1271" max="1271" width="5.7109375" style="22" customWidth="1"/>
    <col min="1272" max="1272" width="5.7109375" style="22" bestFit="1" customWidth="1"/>
    <col min="1273" max="1273" width="5.85546875" style="22" bestFit="1" customWidth="1"/>
    <col min="1274" max="1274" width="9.42578125" style="22" customWidth="1"/>
    <col min="1275" max="1275" width="5.140625" style="22" customWidth="1"/>
    <col min="1276" max="1276" width="9.7109375" style="22" customWidth="1"/>
    <col min="1277" max="1277" width="6.7109375" style="22" bestFit="1" customWidth="1"/>
    <col min="1278" max="1278" width="4.85546875" style="22" customWidth="1"/>
    <col min="1279" max="1279" width="5.28515625" style="22" customWidth="1"/>
    <col min="1280" max="1281" width="4.42578125" style="22" bestFit="1" customWidth="1"/>
    <col min="1282" max="1282" width="13.28515625" style="22" bestFit="1" customWidth="1"/>
    <col min="1283" max="1283" width="3.140625" style="22" customWidth="1"/>
    <col min="1284" max="1284" width="5.42578125" style="22" bestFit="1" customWidth="1"/>
    <col min="1285" max="1285" width="4.42578125" style="22" bestFit="1" customWidth="1"/>
    <col min="1286" max="1286" width="6.42578125" style="22" customWidth="1"/>
    <col min="1287" max="1287" width="5" style="22" bestFit="1" customWidth="1"/>
    <col min="1288" max="1288" width="4.5703125" style="22" bestFit="1" customWidth="1"/>
    <col min="1289" max="1289" width="4.42578125" style="22" bestFit="1" customWidth="1"/>
    <col min="1290" max="1290" width="4" style="22" customWidth="1"/>
    <col min="1291" max="1518" width="11.42578125" style="22"/>
    <col min="1519" max="1519" width="14.85546875" style="22" bestFit="1" customWidth="1"/>
    <col min="1520" max="1520" width="28" style="22" bestFit="1" customWidth="1"/>
    <col min="1521" max="1521" width="4.42578125" style="22" bestFit="1" customWidth="1"/>
    <col min="1522" max="1522" width="8" style="22" bestFit="1" customWidth="1"/>
    <col min="1523" max="1523" width="11.42578125" style="22"/>
    <col min="1524" max="1524" width="22.85546875" style="22" bestFit="1" customWidth="1"/>
    <col min="1525" max="1525" width="7" style="22" customWidth="1"/>
    <col min="1526" max="1526" width="6.28515625" style="22" customWidth="1"/>
    <col min="1527" max="1527" width="5.7109375" style="22" customWidth="1"/>
    <col min="1528" max="1528" width="5.7109375" style="22" bestFit="1" customWidth="1"/>
    <col min="1529" max="1529" width="5.85546875" style="22" bestFit="1" customWidth="1"/>
    <col min="1530" max="1530" width="9.42578125" style="22" customWidth="1"/>
    <col min="1531" max="1531" width="5.140625" style="22" customWidth="1"/>
    <col min="1532" max="1532" width="9.7109375" style="22" customWidth="1"/>
    <col min="1533" max="1533" width="6.7109375" style="22" bestFit="1" customWidth="1"/>
    <col min="1534" max="1534" width="4.85546875" style="22" customWidth="1"/>
    <col min="1535" max="1535" width="5.28515625" style="22" customWidth="1"/>
    <col min="1536" max="1537" width="4.42578125" style="22" bestFit="1" customWidth="1"/>
    <col min="1538" max="1538" width="13.28515625" style="22" bestFit="1" customWidth="1"/>
    <col min="1539" max="1539" width="3.140625" style="22" customWidth="1"/>
    <col min="1540" max="1540" width="5.42578125" style="22" bestFit="1" customWidth="1"/>
    <col min="1541" max="1541" width="4.42578125" style="22" bestFit="1" customWidth="1"/>
    <col min="1542" max="1542" width="6.42578125" style="22" customWidth="1"/>
    <col min="1543" max="1543" width="5" style="22" bestFit="1" customWidth="1"/>
    <col min="1544" max="1544" width="4.5703125" style="22" bestFit="1" customWidth="1"/>
    <col min="1545" max="1545" width="4.42578125" style="22" bestFit="1" customWidth="1"/>
    <col min="1546" max="1546" width="4" style="22" customWidth="1"/>
    <col min="1547" max="1774" width="11.42578125" style="22"/>
    <col min="1775" max="1775" width="14.85546875" style="22" bestFit="1" customWidth="1"/>
    <col min="1776" max="1776" width="28" style="22" bestFit="1" customWidth="1"/>
    <col min="1777" max="1777" width="4.42578125" style="22" bestFit="1" customWidth="1"/>
    <col min="1778" max="1778" width="8" style="22" bestFit="1" customWidth="1"/>
    <col min="1779" max="1779" width="11.42578125" style="22"/>
    <col min="1780" max="1780" width="22.85546875" style="22" bestFit="1" customWidth="1"/>
    <col min="1781" max="1781" width="7" style="22" customWidth="1"/>
    <col min="1782" max="1782" width="6.28515625" style="22" customWidth="1"/>
    <col min="1783" max="1783" width="5.7109375" style="22" customWidth="1"/>
    <col min="1784" max="1784" width="5.7109375" style="22" bestFit="1" customWidth="1"/>
    <col min="1785" max="1785" width="5.85546875" style="22" bestFit="1" customWidth="1"/>
    <col min="1786" max="1786" width="9.42578125" style="22" customWidth="1"/>
    <col min="1787" max="1787" width="5.140625" style="22" customWidth="1"/>
    <col min="1788" max="1788" width="9.7109375" style="22" customWidth="1"/>
    <col min="1789" max="1789" width="6.7109375" style="22" bestFit="1" customWidth="1"/>
    <col min="1790" max="1790" width="4.85546875" style="22" customWidth="1"/>
    <col min="1791" max="1791" width="5.28515625" style="22" customWidth="1"/>
    <col min="1792" max="1793" width="4.42578125" style="22" bestFit="1" customWidth="1"/>
    <col min="1794" max="1794" width="13.28515625" style="22" bestFit="1" customWidth="1"/>
    <col min="1795" max="1795" width="3.140625" style="22" customWidth="1"/>
    <col min="1796" max="1796" width="5.42578125" style="22" bestFit="1" customWidth="1"/>
    <col min="1797" max="1797" width="4.42578125" style="22" bestFit="1" customWidth="1"/>
    <col min="1798" max="1798" width="6.42578125" style="22" customWidth="1"/>
    <col min="1799" max="1799" width="5" style="22" bestFit="1" customWidth="1"/>
    <col min="1800" max="1800" width="4.5703125" style="22" bestFit="1" customWidth="1"/>
    <col min="1801" max="1801" width="4.42578125" style="22" bestFit="1" customWidth="1"/>
    <col min="1802" max="1802" width="4" style="22" customWidth="1"/>
    <col min="1803" max="2030" width="11.42578125" style="22"/>
    <col min="2031" max="2031" width="14.85546875" style="22" bestFit="1" customWidth="1"/>
    <col min="2032" max="2032" width="28" style="22" bestFit="1" customWidth="1"/>
    <col min="2033" max="2033" width="4.42578125" style="22" bestFit="1" customWidth="1"/>
    <col min="2034" max="2034" width="8" style="22" bestFit="1" customWidth="1"/>
    <col min="2035" max="2035" width="11.42578125" style="22"/>
    <col min="2036" max="2036" width="22.85546875" style="22" bestFit="1" customWidth="1"/>
    <col min="2037" max="2037" width="7" style="22" customWidth="1"/>
    <col min="2038" max="2038" width="6.28515625" style="22" customWidth="1"/>
    <col min="2039" max="2039" width="5.7109375" style="22" customWidth="1"/>
    <col min="2040" max="2040" width="5.7109375" style="22" bestFit="1" customWidth="1"/>
    <col min="2041" max="2041" width="5.85546875" style="22" bestFit="1" customWidth="1"/>
    <col min="2042" max="2042" width="9.42578125" style="22" customWidth="1"/>
    <col min="2043" max="2043" width="5.140625" style="22" customWidth="1"/>
    <col min="2044" max="2044" width="9.7109375" style="22" customWidth="1"/>
    <col min="2045" max="2045" width="6.7109375" style="22" bestFit="1" customWidth="1"/>
    <col min="2046" max="2046" width="4.85546875" style="22" customWidth="1"/>
    <col min="2047" max="2047" width="5.28515625" style="22" customWidth="1"/>
    <col min="2048" max="2049" width="4.42578125" style="22" bestFit="1" customWidth="1"/>
    <col min="2050" max="2050" width="13.28515625" style="22" bestFit="1" customWidth="1"/>
    <col min="2051" max="2051" width="3.140625" style="22" customWidth="1"/>
    <col min="2052" max="2052" width="5.42578125" style="22" bestFit="1" customWidth="1"/>
    <col min="2053" max="2053" width="4.42578125" style="22" bestFit="1" customWidth="1"/>
    <col min="2054" max="2054" width="6.42578125" style="22" customWidth="1"/>
    <col min="2055" max="2055" width="5" style="22" bestFit="1" customWidth="1"/>
    <col min="2056" max="2056" width="4.5703125" style="22" bestFit="1" customWidth="1"/>
    <col min="2057" max="2057" width="4.42578125" style="22" bestFit="1" customWidth="1"/>
    <col min="2058" max="2058" width="4" style="22" customWidth="1"/>
    <col min="2059" max="2286" width="11.42578125" style="22"/>
    <col min="2287" max="2287" width="14.85546875" style="22" bestFit="1" customWidth="1"/>
    <col min="2288" max="2288" width="28" style="22" bestFit="1" customWidth="1"/>
    <col min="2289" max="2289" width="4.42578125" style="22" bestFit="1" customWidth="1"/>
    <col min="2290" max="2290" width="8" style="22" bestFit="1" customWidth="1"/>
    <col min="2291" max="2291" width="11.42578125" style="22"/>
    <col min="2292" max="2292" width="22.85546875" style="22" bestFit="1" customWidth="1"/>
    <col min="2293" max="2293" width="7" style="22" customWidth="1"/>
    <col min="2294" max="2294" width="6.28515625" style="22" customWidth="1"/>
    <col min="2295" max="2295" width="5.7109375" style="22" customWidth="1"/>
    <col min="2296" max="2296" width="5.7109375" style="22" bestFit="1" customWidth="1"/>
    <col min="2297" max="2297" width="5.85546875" style="22" bestFit="1" customWidth="1"/>
    <col min="2298" max="2298" width="9.42578125" style="22" customWidth="1"/>
    <col min="2299" max="2299" width="5.140625" style="22" customWidth="1"/>
    <col min="2300" max="2300" width="9.7109375" style="22" customWidth="1"/>
    <col min="2301" max="2301" width="6.7109375" style="22" bestFit="1" customWidth="1"/>
    <col min="2302" max="2302" width="4.85546875" style="22" customWidth="1"/>
    <col min="2303" max="2303" width="5.28515625" style="22" customWidth="1"/>
    <col min="2304" max="2305" width="4.42578125" style="22" bestFit="1" customWidth="1"/>
    <col min="2306" max="2306" width="13.28515625" style="22" bestFit="1" customWidth="1"/>
    <col min="2307" max="2307" width="3.140625" style="22" customWidth="1"/>
    <col min="2308" max="2308" width="5.42578125" style="22" bestFit="1" customWidth="1"/>
    <col min="2309" max="2309" width="4.42578125" style="22" bestFit="1" customWidth="1"/>
    <col min="2310" max="2310" width="6.42578125" style="22" customWidth="1"/>
    <col min="2311" max="2311" width="5" style="22" bestFit="1" customWidth="1"/>
    <col min="2312" max="2312" width="4.5703125" style="22" bestFit="1" customWidth="1"/>
    <col min="2313" max="2313" width="4.42578125" style="22" bestFit="1" customWidth="1"/>
    <col min="2314" max="2314" width="4" style="22" customWidth="1"/>
    <col min="2315" max="2542" width="11.42578125" style="22"/>
    <col min="2543" max="2543" width="14.85546875" style="22" bestFit="1" customWidth="1"/>
    <col min="2544" max="2544" width="28" style="22" bestFit="1" customWidth="1"/>
    <col min="2545" max="2545" width="4.42578125" style="22" bestFit="1" customWidth="1"/>
    <col min="2546" max="2546" width="8" style="22" bestFit="1" customWidth="1"/>
    <col min="2547" max="2547" width="11.42578125" style="22"/>
    <col min="2548" max="2548" width="22.85546875" style="22" bestFit="1" customWidth="1"/>
    <col min="2549" max="2549" width="7" style="22" customWidth="1"/>
    <col min="2550" max="2550" width="6.28515625" style="22" customWidth="1"/>
    <col min="2551" max="2551" width="5.7109375" style="22" customWidth="1"/>
    <col min="2552" max="2552" width="5.7109375" style="22" bestFit="1" customWidth="1"/>
    <col min="2553" max="2553" width="5.85546875" style="22" bestFit="1" customWidth="1"/>
    <col min="2554" max="2554" width="9.42578125" style="22" customWidth="1"/>
    <col min="2555" max="2555" width="5.140625" style="22" customWidth="1"/>
    <col min="2556" max="2556" width="9.7109375" style="22" customWidth="1"/>
    <col min="2557" max="2557" width="6.7109375" style="22" bestFit="1" customWidth="1"/>
    <col min="2558" max="2558" width="4.85546875" style="22" customWidth="1"/>
    <col min="2559" max="2559" width="5.28515625" style="22" customWidth="1"/>
    <col min="2560" max="2561" width="4.42578125" style="22" bestFit="1" customWidth="1"/>
    <col min="2562" max="2562" width="13.28515625" style="22" bestFit="1" customWidth="1"/>
    <col min="2563" max="2563" width="3.140625" style="22" customWidth="1"/>
    <col min="2564" max="2564" width="5.42578125" style="22" bestFit="1" customWidth="1"/>
    <col min="2565" max="2565" width="4.42578125" style="22" bestFit="1" customWidth="1"/>
    <col min="2566" max="2566" width="6.42578125" style="22" customWidth="1"/>
    <col min="2567" max="2567" width="5" style="22" bestFit="1" customWidth="1"/>
    <col min="2568" max="2568" width="4.5703125" style="22" bestFit="1" customWidth="1"/>
    <col min="2569" max="2569" width="4.42578125" style="22" bestFit="1" customWidth="1"/>
    <col min="2570" max="2570" width="4" style="22" customWidth="1"/>
    <col min="2571" max="2798" width="11.42578125" style="22"/>
    <col min="2799" max="2799" width="14.85546875" style="22" bestFit="1" customWidth="1"/>
    <col min="2800" max="2800" width="28" style="22" bestFit="1" customWidth="1"/>
    <col min="2801" max="2801" width="4.42578125" style="22" bestFit="1" customWidth="1"/>
    <col min="2802" max="2802" width="8" style="22" bestFit="1" customWidth="1"/>
    <col min="2803" max="2803" width="11.42578125" style="22"/>
    <col min="2804" max="2804" width="22.85546875" style="22" bestFit="1" customWidth="1"/>
    <col min="2805" max="2805" width="7" style="22" customWidth="1"/>
    <col min="2806" max="2806" width="6.28515625" style="22" customWidth="1"/>
    <col min="2807" max="2807" width="5.7109375" style="22" customWidth="1"/>
    <col min="2808" max="2808" width="5.7109375" style="22" bestFit="1" customWidth="1"/>
    <col min="2809" max="2809" width="5.85546875" style="22" bestFit="1" customWidth="1"/>
    <col min="2810" max="2810" width="9.42578125" style="22" customWidth="1"/>
    <col min="2811" max="2811" width="5.140625" style="22" customWidth="1"/>
    <col min="2812" max="2812" width="9.7109375" style="22" customWidth="1"/>
    <col min="2813" max="2813" width="6.7109375" style="22" bestFit="1" customWidth="1"/>
    <col min="2814" max="2814" width="4.85546875" style="22" customWidth="1"/>
    <col min="2815" max="2815" width="5.28515625" style="22" customWidth="1"/>
    <col min="2816" max="2817" width="4.42578125" style="22" bestFit="1" customWidth="1"/>
    <col min="2818" max="2818" width="13.28515625" style="22" bestFit="1" customWidth="1"/>
    <col min="2819" max="2819" width="3.140625" style="22" customWidth="1"/>
    <col min="2820" max="2820" width="5.42578125" style="22" bestFit="1" customWidth="1"/>
    <col min="2821" max="2821" width="4.42578125" style="22" bestFit="1" customWidth="1"/>
    <col min="2822" max="2822" width="6.42578125" style="22" customWidth="1"/>
    <col min="2823" max="2823" width="5" style="22" bestFit="1" customWidth="1"/>
    <col min="2824" max="2824" width="4.5703125" style="22" bestFit="1" customWidth="1"/>
    <col min="2825" max="2825" width="4.42578125" style="22" bestFit="1" customWidth="1"/>
    <col min="2826" max="2826" width="4" style="22" customWidth="1"/>
    <col min="2827" max="3054" width="11.42578125" style="22"/>
    <col min="3055" max="3055" width="14.85546875" style="22" bestFit="1" customWidth="1"/>
    <col min="3056" max="3056" width="28" style="22" bestFit="1" customWidth="1"/>
    <col min="3057" max="3057" width="4.42578125" style="22" bestFit="1" customWidth="1"/>
    <col min="3058" max="3058" width="8" style="22" bestFit="1" customWidth="1"/>
    <col min="3059" max="3059" width="11.42578125" style="22"/>
    <col min="3060" max="3060" width="22.85546875" style="22" bestFit="1" customWidth="1"/>
    <col min="3061" max="3061" width="7" style="22" customWidth="1"/>
    <col min="3062" max="3062" width="6.28515625" style="22" customWidth="1"/>
    <col min="3063" max="3063" width="5.7109375" style="22" customWidth="1"/>
    <col min="3064" max="3064" width="5.7109375" style="22" bestFit="1" customWidth="1"/>
    <col min="3065" max="3065" width="5.85546875" style="22" bestFit="1" customWidth="1"/>
    <col min="3066" max="3066" width="9.42578125" style="22" customWidth="1"/>
    <col min="3067" max="3067" width="5.140625" style="22" customWidth="1"/>
    <col min="3068" max="3068" width="9.7109375" style="22" customWidth="1"/>
    <col min="3069" max="3069" width="6.7109375" style="22" bestFit="1" customWidth="1"/>
    <col min="3070" max="3070" width="4.85546875" style="22" customWidth="1"/>
    <col min="3071" max="3071" width="5.28515625" style="22" customWidth="1"/>
    <col min="3072" max="3073" width="4.42578125" style="22" bestFit="1" customWidth="1"/>
    <col min="3074" max="3074" width="13.28515625" style="22" bestFit="1" customWidth="1"/>
    <col min="3075" max="3075" width="3.140625" style="22" customWidth="1"/>
    <col min="3076" max="3076" width="5.42578125" style="22" bestFit="1" customWidth="1"/>
    <col min="3077" max="3077" width="4.42578125" style="22" bestFit="1" customWidth="1"/>
    <col min="3078" max="3078" width="6.42578125" style="22" customWidth="1"/>
    <col min="3079" max="3079" width="5" style="22" bestFit="1" customWidth="1"/>
    <col min="3080" max="3080" width="4.5703125" style="22" bestFit="1" customWidth="1"/>
    <col min="3081" max="3081" width="4.42578125" style="22" bestFit="1" customWidth="1"/>
    <col min="3082" max="3082" width="4" style="22" customWidth="1"/>
    <col min="3083" max="3310" width="11.42578125" style="22"/>
    <col min="3311" max="3311" width="14.85546875" style="22" bestFit="1" customWidth="1"/>
    <col min="3312" max="3312" width="28" style="22" bestFit="1" customWidth="1"/>
    <col min="3313" max="3313" width="4.42578125" style="22" bestFit="1" customWidth="1"/>
    <col min="3314" max="3314" width="8" style="22" bestFit="1" customWidth="1"/>
    <col min="3315" max="3315" width="11.42578125" style="22"/>
    <col min="3316" max="3316" width="22.85546875" style="22" bestFit="1" customWidth="1"/>
    <col min="3317" max="3317" width="7" style="22" customWidth="1"/>
    <col min="3318" max="3318" width="6.28515625" style="22" customWidth="1"/>
    <col min="3319" max="3319" width="5.7109375" style="22" customWidth="1"/>
    <col min="3320" max="3320" width="5.7109375" style="22" bestFit="1" customWidth="1"/>
    <col min="3321" max="3321" width="5.85546875" style="22" bestFit="1" customWidth="1"/>
    <col min="3322" max="3322" width="9.42578125" style="22" customWidth="1"/>
    <col min="3323" max="3323" width="5.140625" style="22" customWidth="1"/>
    <col min="3324" max="3324" width="9.7109375" style="22" customWidth="1"/>
    <col min="3325" max="3325" width="6.7109375" style="22" bestFit="1" customWidth="1"/>
    <col min="3326" max="3326" width="4.85546875" style="22" customWidth="1"/>
    <col min="3327" max="3327" width="5.28515625" style="22" customWidth="1"/>
    <col min="3328" max="3329" width="4.42578125" style="22" bestFit="1" customWidth="1"/>
    <col min="3330" max="3330" width="13.28515625" style="22" bestFit="1" customWidth="1"/>
    <col min="3331" max="3331" width="3.140625" style="22" customWidth="1"/>
    <col min="3332" max="3332" width="5.42578125" style="22" bestFit="1" customWidth="1"/>
    <col min="3333" max="3333" width="4.42578125" style="22" bestFit="1" customWidth="1"/>
    <col min="3334" max="3334" width="6.42578125" style="22" customWidth="1"/>
    <col min="3335" max="3335" width="5" style="22" bestFit="1" customWidth="1"/>
    <col min="3336" max="3336" width="4.5703125" style="22" bestFit="1" customWidth="1"/>
    <col min="3337" max="3337" width="4.42578125" style="22" bestFit="1" customWidth="1"/>
    <col min="3338" max="3338" width="4" style="22" customWidth="1"/>
    <col min="3339" max="3566" width="11.42578125" style="22"/>
    <col min="3567" max="3567" width="14.85546875" style="22" bestFit="1" customWidth="1"/>
    <col min="3568" max="3568" width="28" style="22" bestFit="1" customWidth="1"/>
    <col min="3569" max="3569" width="4.42578125" style="22" bestFit="1" customWidth="1"/>
    <col min="3570" max="3570" width="8" style="22" bestFit="1" customWidth="1"/>
    <col min="3571" max="3571" width="11.42578125" style="22"/>
    <col min="3572" max="3572" width="22.85546875" style="22" bestFit="1" customWidth="1"/>
    <col min="3573" max="3573" width="7" style="22" customWidth="1"/>
    <col min="3574" max="3574" width="6.28515625" style="22" customWidth="1"/>
    <col min="3575" max="3575" width="5.7109375" style="22" customWidth="1"/>
    <col min="3576" max="3576" width="5.7109375" style="22" bestFit="1" customWidth="1"/>
    <col min="3577" max="3577" width="5.85546875" style="22" bestFit="1" customWidth="1"/>
    <col min="3578" max="3578" width="9.42578125" style="22" customWidth="1"/>
    <col min="3579" max="3579" width="5.140625" style="22" customWidth="1"/>
    <col min="3580" max="3580" width="9.7109375" style="22" customWidth="1"/>
    <col min="3581" max="3581" width="6.7109375" style="22" bestFit="1" customWidth="1"/>
    <col min="3582" max="3582" width="4.85546875" style="22" customWidth="1"/>
    <col min="3583" max="3583" width="5.28515625" style="22" customWidth="1"/>
    <col min="3584" max="3585" width="4.42578125" style="22" bestFit="1" customWidth="1"/>
    <col min="3586" max="3586" width="13.28515625" style="22" bestFit="1" customWidth="1"/>
    <col min="3587" max="3587" width="3.140625" style="22" customWidth="1"/>
    <col min="3588" max="3588" width="5.42578125" style="22" bestFit="1" customWidth="1"/>
    <col min="3589" max="3589" width="4.42578125" style="22" bestFit="1" customWidth="1"/>
    <col min="3590" max="3590" width="6.42578125" style="22" customWidth="1"/>
    <col min="3591" max="3591" width="5" style="22" bestFit="1" customWidth="1"/>
    <col min="3592" max="3592" width="4.5703125" style="22" bestFit="1" customWidth="1"/>
    <col min="3593" max="3593" width="4.42578125" style="22" bestFit="1" customWidth="1"/>
    <col min="3594" max="3594" width="4" style="22" customWidth="1"/>
    <col min="3595" max="3822" width="11.42578125" style="22"/>
    <col min="3823" max="3823" width="14.85546875" style="22" bestFit="1" customWidth="1"/>
    <col min="3824" max="3824" width="28" style="22" bestFit="1" customWidth="1"/>
    <col min="3825" max="3825" width="4.42578125" style="22" bestFit="1" customWidth="1"/>
    <col min="3826" max="3826" width="8" style="22" bestFit="1" customWidth="1"/>
    <col min="3827" max="3827" width="11.42578125" style="22"/>
    <col min="3828" max="3828" width="22.85546875" style="22" bestFit="1" customWidth="1"/>
    <col min="3829" max="3829" width="7" style="22" customWidth="1"/>
    <col min="3830" max="3830" width="6.28515625" style="22" customWidth="1"/>
    <col min="3831" max="3831" width="5.7109375" style="22" customWidth="1"/>
    <col min="3832" max="3832" width="5.7109375" style="22" bestFit="1" customWidth="1"/>
    <col min="3833" max="3833" width="5.85546875" style="22" bestFit="1" customWidth="1"/>
    <col min="3834" max="3834" width="9.42578125" style="22" customWidth="1"/>
    <col min="3835" max="3835" width="5.140625" style="22" customWidth="1"/>
    <col min="3836" max="3836" width="9.7109375" style="22" customWidth="1"/>
    <col min="3837" max="3837" width="6.7109375" style="22" bestFit="1" customWidth="1"/>
    <col min="3838" max="3838" width="4.85546875" style="22" customWidth="1"/>
    <col min="3839" max="3839" width="5.28515625" style="22" customWidth="1"/>
    <col min="3840" max="3841" width="4.42578125" style="22" bestFit="1" customWidth="1"/>
    <col min="3842" max="3842" width="13.28515625" style="22" bestFit="1" customWidth="1"/>
    <col min="3843" max="3843" width="3.140625" style="22" customWidth="1"/>
    <col min="3844" max="3844" width="5.42578125" style="22" bestFit="1" customWidth="1"/>
    <col min="3845" max="3845" width="4.42578125" style="22" bestFit="1" customWidth="1"/>
    <col min="3846" max="3846" width="6.42578125" style="22" customWidth="1"/>
    <col min="3847" max="3847" width="5" style="22" bestFit="1" customWidth="1"/>
    <col min="3848" max="3848" width="4.5703125" style="22" bestFit="1" customWidth="1"/>
    <col min="3849" max="3849" width="4.42578125" style="22" bestFit="1" customWidth="1"/>
    <col min="3850" max="3850" width="4" style="22" customWidth="1"/>
    <col min="3851" max="4078" width="11.42578125" style="22"/>
    <col min="4079" max="4079" width="14.85546875" style="22" bestFit="1" customWidth="1"/>
    <col min="4080" max="4080" width="28" style="22" bestFit="1" customWidth="1"/>
    <col min="4081" max="4081" width="4.42578125" style="22" bestFit="1" customWidth="1"/>
    <col min="4082" max="4082" width="8" style="22" bestFit="1" customWidth="1"/>
    <col min="4083" max="4083" width="11.42578125" style="22"/>
    <col min="4084" max="4084" width="22.85546875" style="22" bestFit="1" customWidth="1"/>
    <col min="4085" max="4085" width="7" style="22" customWidth="1"/>
    <col min="4086" max="4086" width="6.28515625" style="22" customWidth="1"/>
    <col min="4087" max="4087" width="5.7109375" style="22" customWidth="1"/>
    <col min="4088" max="4088" width="5.7109375" style="22" bestFit="1" customWidth="1"/>
    <col min="4089" max="4089" width="5.85546875" style="22" bestFit="1" customWidth="1"/>
    <col min="4090" max="4090" width="9.42578125" style="22" customWidth="1"/>
    <col min="4091" max="4091" width="5.140625" style="22" customWidth="1"/>
    <col min="4092" max="4092" width="9.7109375" style="22" customWidth="1"/>
    <col min="4093" max="4093" width="6.7109375" style="22" bestFit="1" customWidth="1"/>
    <col min="4094" max="4094" width="4.85546875" style="22" customWidth="1"/>
    <col min="4095" max="4095" width="5.28515625" style="22" customWidth="1"/>
    <col min="4096" max="4097" width="4.42578125" style="22" bestFit="1" customWidth="1"/>
    <col min="4098" max="4098" width="13.28515625" style="22" bestFit="1" customWidth="1"/>
    <col min="4099" max="4099" width="3.140625" style="22" customWidth="1"/>
    <col min="4100" max="4100" width="5.42578125" style="22" bestFit="1" customWidth="1"/>
    <col min="4101" max="4101" width="4.42578125" style="22" bestFit="1" customWidth="1"/>
    <col min="4102" max="4102" width="6.42578125" style="22" customWidth="1"/>
    <col min="4103" max="4103" width="5" style="22" bestFit="1" customWidth="1"/>
    <col min="4104" max="4104" width="4.5703125" style="22" bestFit="1" customWidth="1"/>
    <col min="4105" max="4105" width="4.42578125" style="22" bestFit="1" customWidth="1"/>
    <col min="4106" max="4106" width="4" style="22" customWidth="1"/>
    <col min="4107" max="4334" width="11.42578125" style="22"/>
    <col min="4335" max="4335" width="14.85546875" style="22" bestFit="1" customWidth="1"/>
    <col min="4336" max="4336" width="28" style="22" bestFit="1" customWidth="1"/>
    <col min="4337" max="4337" width="4.42578125" style="22" bestFit="1" customWidth="1"/>
    <col min="4338" max="4338" width="8" style="22" bestFit="1" customWidth="1"/>
    <col min="4339" max="4339" width="11.42578125" style="22"/>
    <col min="4340" max="4340" width="22.85546875" style="22" bestFit="1" customWidth="1"/>
    <col min="4341" max="4341" width="7" style="22" customWidth="1"/>
    <col min="4342" max="4342" width="6.28515625" style="22" customWidth="1"/>
    <col min="4343" max="4343" width="5.7109375" style="22" customWidth="1"/>
    <col min="4344" max="4344" width="5.7109375" style="22" bestFit="1" customWidth="1"/>
    <col min="4345" max="4345" width="5.85546875" style="22" bestFit="1" customWidth="1"/>
    <col min="4346" max="4346" width="9.42578125" style="22" customWidth="1"/>
    <col min="4347" max="4347" width="5.140625" style="22" customWidth="1"/>
    <col min="4348" max="4348" width="9.7109375" style="22" customWidth="1"/>
    <col min="4349" max="4349" width="6.7109375" style="22" bestFit="1" customWidth="1"/>
    <col min="4350" max="4350" width="4.85546875" style="22" customWidth="1"/>
    <col min="4351" max="4351" width="5.28515625" style="22" customWidth="1"/>
    <col min="4352" max="4353" width="4.42578125" style="22" bestFit="1" customWidth="1"/>
    <col min="4354" max="4354" width="13.28515625" style="22" bestFit="1" customWidth="1"/>
    <col min="4355" max="4355" width="3.140625" style="22" customWidth="1"/>
    <col min="4356" max="4356" width="5.42578125" style="22" bestFit="1" customWidth="1"/>
    <col min="4357" max="4357" width="4.42578125" style="22" bestFit="1" customWidth="1"/>
    <col min="4358" max="4358" width="6.42578125" style="22" customWidth="1"/>
    <col min="4359" max="4359" width="5" style="22" bestFit="1" customWidth="1"/>
    <col min="4360" max="4360" width="4.5703125" style="22" bestFit="1" customWidth="1"/>
    <col min="4361" max="4361" width="4.42578125" style="22" bestFit="1" customWidth="1"/>
    <col min="4362" max="4362" width="4" style="22" customWidth="1"/>
    <col min="4363" max="4590" width="11.42578125" style="22"/>
    <col min="4591" max="4591" width="14.85546875" style="22" bestFit="1" customWidth="1"/>
    <col min="4592" max="4592" width="28" style="22" bestFit="1" customWidth="1"/>
    <col min="4593" max="4593" width="4.42578125" style="22" bestFit="1" customWidth="1"/>
    <col min="4594" max="4594" width="8" style="22" bestFit="1" customWidth="1"/>
    <col min="4595" max="4595" width="11.42578125" style="22"/>
    <col min="4596" max="4596" width="22.85546875" style="22" bestFit="1" customWidth="1"/>
    <col min="4597" max="4597" width="7" style="22" customWidth="1"/>
    <col min="4598" max="4598" width="6.28515625" style="22" customWidth="1"/>
    <col min="4599" max="4599" width="5.7109375" style="22" customWidth="1"/>
    <col min="4600" max="4600" width="5.7109375" style="22" bestFit="1" customWidth="1"/>
    <col min="4601" max="4601" width="5.85546875" style="22" bestFit="1" customWidth="1"/>
    <col min="4602" max="4602" width="9.42578125" style="22" customWidth="1"/>
    <col min="4603" max="4603" width="5.140625" style="22" customWidth="1"/>
    <col min="4604" max="4604" width="9.7109375" style="22" customWidth="1"/>
    <col min="4605" max="4605" width="6.7109375" style="22" bestFit="1" customWidth="1"/>
    <col min="4606" max="4606" width="4.85546875" style="22" customWidth="1"/>
    <col min="4607" max="4607" width="5.28515625" style="22" customWidth="1"/>
    <col min="4608" max="4609" width="4.42578125" style="22" bestFit="1" customWidth="1"/>
    <col min="4610" max="4610" width="13.28515625" style="22" bestFit="1" customWidth="1"/>
    <col min="4611" max="4611" width="3.140625" style="22" customWidth="1"/>
    <col min="4612" max="4612" width="5.42578125" style="22" bestFit="1" customWidth="1"/>
    <col min="4613" max="4613" width="4.42578125" style="22" bestFit="1" customWidth="1"/>
    <col min="4614" max="4614" width="6.42578125" style="22" customWidth="1"/>
    <col min="4615" max="4615" width="5" style="22" bestFit="1" customWidth="1"/>
    <col min="4616" max="4616" width="4.5703125" style="22" bestFit="1" customWidth="1"/>
    <col min="4617" max="4617" width="4.42578125" style="22" bestFit="1" customWidth="1"/>
    <col min="4618" max="4618" width="4" style="22" customWidth="1"/>
    <col min="4619" max="4846" width="11.42578125" style="22"/>
    <col min="4847" max="4847" width="14.85546875" style="22" bestFit="1" customWidth="1"/>
    <col min="4848" max="4848" width="28" style="22" bestFit="1" customWidth="1"/>
    <col min="4849" max="4849" width="4.42578125" style="22" bestFit="1" customWidth="1"/>
    <col min="4850" max="4850" width="8" style="22" bestFit="1" customWidth="1"/>
    <col min="4851" max="4851" width="11.42578125" style="22"/>
    <col min="4852" max="4852" width="22.85546875" style="22" bestFit="1" customWidth="1"/>
    <col min="4853" max="4853" width="7" style="22" customWidth="1"/>
    <col min="4854" max="4854" width="6.28515625" style="22" customWidth="1"/>
    <col min="4855" max="4855" width="5.7109375" style="22" customWidth="1"/>
    <col min="4856" max="4856" width="5.7109375" style="22" bestFit="1" customWidth="1"/>
    <col min="4857" max="4857" width="5.85546875" style="22" bestFit="1" customWidth="1"/>
    <col min="4858" max="4858" width="9.42578125" style="22" customWidth="1"/>
    <col min="4859" max="4859" width="5.140625" style="22" customWidth="1"/>
    <col min="4860" max="4860" width="9.7109375" style="22" customWidth="1"/>
    <col min="4861" max="4861" width="6.7109375" style="22" bestFit="1" customWidth="1"/>
    <col min="4862" max="4862" width="4.85546875" style="22" customWidth="1"/>
    <col min="4863" max="4863" width="5.28515625" style="22" customWidth="1"/>
    <col min="4864" max="4865" width="4.42578125" style="22" bestFit="1" customWidth="1"/>
    <col min="4866" max="4866" width="13.28515625" style="22" bestFit="1" customWidth="1"/>
    <col min="4867" max="4867" width="3.140625" style="22" customWidth="1"/>
    <col min="4868" max="4868" width="5.42578125" style="22" bestFit="1" customWidth="1"/>
    <col min="4869" max="4869" width="4.42578125" style="22" bestFit="1" customWidth="1"/>
    <col min="4870" max="4870" width="6.42578125" style="22" customWidth="1"/>
    <col min="4871" max="4871" width="5" style="22" bestFit="1" customWidth="1"/>
    <col min="4872" max="4872" width="4.5703125" style="22" bestFit="1" customWidth="1"/>
    <col min="4873" max="4873" width="4.42578125" style="22" bestFit="1" customWidth="1"/>
    <col min="4874" max="4874" width="4" style="22" customWidth="1"/>
    <col min="4875" max="5102" width="11.42578125" style="22"/>
    <col min="5103" max="5103" width="14.85546875" style="22" bestFit="1" customWidth="1"/>
    <col min="5104" max="5104" width="28" style="22" bestFit="1" customWidth="1"/>
    <col min="5105" max="5105" width="4.42578125" style="22" bestFit="1" customWidth="1"/>
    <col min="5106" max="5106" width="8" style="22" bestFit="1" customWidth="1"/>
    <col min="5107" max="5107" width="11.42578125" style="22"/>
    <col min="5108" max="5108" width="22.85546875" style="22" bestFit="1" customWidth="1"/>
    <col min="5109" max="5109" width="7" style="22" customWidth="1"/>
    <col min="5110" max="5110" width="6.28515625" style="22" customWidth="1"/>
    <col min="5111" max="5111" width="5.7109375" style="22" customWidth="1"/>
    <col min="5112" max="5112" width="5.7109375" style="22" bestFit="1" customWidth="1"/>
    <col min="5113" max="5113" width="5.85546875" style="22" bestFit="1" customWidth="1"/>
    <col min="5114" max="5114" width="9.42578125" style="22" customWidth="1"/>
    <col min="5115" max="5115" width="5.140625" style="22" customWidth="1"/>
    <col min="5116" max="5116" width="9.7109375" style="22" customWidth="1"/>
    <col min="5117" max="5117" width="6.7109375" style="22" bestFit="1" customWidth="1"/>
    <col min="5118" max="5118" width="4.85546875" style="22" customWidth="1"/>
    <col min="5119" max="5119" width="5.28515625" style="22" customWidth="1"/>
    <col min="5120" max="5121" width="4.42578125" style="22" bestFit="1" customWidth="1"/>
    <col min="5122" max="5122" width="13.28515625" style="22" bestFit="1" customWidth="1"/>
    <col min="5123" max="5123" width="3.140625" style="22" customWidth="1"/>
    <col min="5124" max="5124" width="5.42578125" style="22" bestFit="1" customWidth="1"/>
    <col min="5125" max="5125" width="4.42578125" style="22" bestFit="1" customWidth="1"/>
    <col min="5126" max="5126" width="6.42578125" style="22" customWidth="1"/>
    <col min="5127" max="5127" width="5" style="22" bestFit="1" customWidth="1"/>
    <col min="5128" max="5128" width="4.5703125" style="22" bestFit="1" customWidth="1"/>
    <col min="5129" max="5129" width="4.42578125" style="22" bestFit="1" customWidth="1"/>
    <col min="5130" max="5130" width="4" style="22" customWidth="1"/>
    <col min="5131" max="5358" width="11.42578125" style="22"/>
    <col min="5359" max="5359" width="14.85546875" style="22" bestFit="1" customWidth="1"/>
    <col min="5360" max="5360" width="28" style="22" bestFit="1" customWidth="1"/>
    <col min="5361" max="5361" width="4.42578125" style="22" bestFit="1" customWidth="1"/>
    <col min="5362" max="5362" width="8" style="22" bestFit="1" customWidth="1"/>
    <col min="5363" max="5363" width="11.42578125" style="22"/>
    <col min="5364" max="5364" width="22.85546875" style="22" bestFit="1" customWidth="1"/>
    <col min="5365" max="5365" width="7" style="22" customWidth="1"/>
    <col min="5366" max="5366" width="6.28515625" style="22" customWidth="1"/>
    <col min="5367" max="5367" width="5.7109375" style="22" customWidth="1"/>
    <col min="5368" max="5368" width="5.7109375" style="22" bestFit="1" customWidth="1"/>
    <col min="5369" max="5369" width="5.85546875" style="22" bestFit="1" customWidth="1"/>
    <col min="5370" max="5370" width="9.42578125" style="22" customWidth="1"/>
    <col min="5371" max="5371" width="5.140625" style="22" customWidth="1"/>
    <col min="5372" max="5372" width="9.7109375" style="22" customWidth="1"/>
    <col min="5373" max="5373" width="6.7109375" style="22" bestFit="1" customWidth="1"/>
    <col min="5374" max="5374" width="4.85546875" style="22" customWidth="1"/>
    <col min="5375" max="5375" width="5.28515625" style="22" customWidth="1"/>
    <col min="5376" max="5377" width="4.42578125" style="22" bestFit="1" customWidth="1"/>
    <col min="5378" max="5378" width="13.28515625" style="22" bestFit="1" customWidth="1"/>
    <col min="5379" max="5379" width="3.140625" style="22" customWidth="1"/>
    <col min="5380" max="5380" width="5.42578125" style="22" bestFit="1" customWidth="1"/>
    <col min="5381" max="5381" width="4.42578125" style="22" bestFit="1" customWidth="1"/>
    <col min="5382" max="5382" width="6.42578125" style="22" customWidth="1"/>
    <col min="5383" max="5383" width="5" style="22" bestFit="1" customWidth="1"/>
    <col min="5384" max="5384" width="4.5703125" style="22" bestFit="1" customWidth="1"/>
    <col min="5385" max="5385" width="4.42578125" style="22" bestFit="1" customWidth="1"/>
    <col min="5386" max="5386" width="4" style="22" customWidth="1"/>
    <col min="5387" max="5614" width="11.42578125" style="22"/>
    <col min="5615" max="5615" width="14.85546875" style="22" bestFit="1" customWidth="1"/>
    <col min="5616" max="5616" width="28" style="22" bestFit="1" customWidth="1"/>
    <col min="5617" max="5617" width="4.42578125" style="22" bestFit="1" customWidth="1"/>
    <col min="5618" max="5618" width="8" style="22" bestFit="1" customWidth="1"/>
    <col min="5619" max="5619" width="11.42578125" style="22"/>
    <col min="5620" max="5620" width="22.85546875" style="22" bestFit="1" customWidth="1"/>
    <col min="5621" max="5621" width="7" style="22" customWidth="1"/>
    <col min="5622" max="5622" width="6.28515625" style="22" customWidth="1"/>
    <col min="5623" max="5623" width="5.7109375" style="22" customWidth="1"/>
    <col min="5624" max="5624" width="5.7109375" style="22" bestFit="1" customWidth="1"/>
    <col min="5625" max="5625" width="5.85546875" style="22" bestFit="1" customWidth="1"/>
    <col min="5626" max="5626" width="9.42578125" style="22" customWidth="1"/>
    <col min="5627" max="5627" width="5.140625" style="22" customWidth="1"/>
    <col min="5628" max="5628" width="9.7109375" style="22" customWidth="1"/>
    <col min="5629" max="5629" width="6.7109375" style="22" bestFit="1" customWidth="1"/>
    <col min="5630" max="5630" width="4.85546875" style="22" customWidth="1"/>
    <col min="5631" max="5631" width="5.28515625" style="22" customWidth="1"/>
    <col min="5632" max="5633" width="4.42578125" style="22" bestFit="1" customWidth="1"/>
    <col min="5634" max="5634" width="13.28515625" style="22" bestFit="1" customWidth="1"/>
    <col min="5635" max="5635" width="3.140625" style="22" customWidth="1"/>
    <col min="5636" max="5636" width="5.42578125" style="22" bestFit="1" customWidth="1"/>
    <col min="5637" max="5637" width="4.42578125" style="22" bestFit="1" customWidth="1"/>
    <col min="5638" max="5638" width="6.42578125" style="22" customWidth="1"/>
    <col min="5639" max="5639" width="5" style="22" bestFit="1" customWidth="1"/>
    <col min="5640" max="5640" width="4.5703125" style="22" bestFit="1" customWidth="1"/>
    <col min="5641" max="5641" width="4.42578125" style="22" bestFit="1" customWidth="1"/>
    <col min="5642" max="5642" width="4" style="22" customWidth="1"/>
    <col min="5643" max="5870" width="11.42578125" style="22"/>
    <col min="5871" max="5871" width="14.85546875" style="22" bestFit="1" customWidth="1"/>
    <col min="5872" max="5872" width="28" style="22" bestFit="1" customWidth="1"/>
    <col min="5873" max="5873" width="4.42578125" style="22" bestFit="1" customWidth="1"/>
    <col min="5874" max="5874" width="8" style="22" bestFit="1" customWidth="1"/>
    <col min="5875" max="5875" width="11.42578125" style="22"/>
    <col min="5876" max="5876" width="22.85546875" style="22" bestFit="1" customWidth="1"/>
    <col min="5877" max="5877" width="7" style="22" customWidth="1"/>
    <col min="5878" max="5878" width="6.28515625" style="22" customWidth="1"/>
    <col min="5879" max="5879" width="5.7109375" style="22" customWidth="1"/>
    <col min="5880" max="5880" width="5.7109375" style="22" bestFit="1" customWidth="1"/>
    <col min="5881" max="5881" width="5.85546875" style="22" bestFit="1" customWidth="1"/>
    <col min="5882" max="5882" width="9.42578125" style="22" customWidth="1"/>
    <col min="5883" max="5883" width="5.140625" style="22" customWidth="1"/>
    <col min="5884" max="5884" width="9.7109375" style="22" customWidth="1"/>
    <col min="5885" max="5885" width="6.7109375" style="22" bestFit="1" customWidth="1"/>
    <col min="5886" max="5886" width="4.85546875" style="22" customWidth="1"/>
    <col min="5887" max="5887" width="5.28515625" style="22" customWidth="1"/>
    <col min="5888" max="5889" width="4.42578125" style="22" bestFit="1" customWidth="1"/>
    <col min="5890" max="5890" width="13.28515625" style="22" bestFit="1" customWidth="1"/>
    <col min="5891" max="5891" width="3.140625" style="22" customWidth="1"/>
    <col min="5892" max="5892" width="5.42578125" style="22" bestFit="1" customWidth="1"/>
    <col min="5893" max="5893" width="4.42578125" style="22" bestFit="1" customWidth="1"/>
    <col min="5894" max="5894" width="6.42578125" style="22" customWidth="1"/>
    <col min="5895" max="5895" width="5" style="22" bestFit="1" customWidth="1"/>
    <col min="5896" max="5896" width="4.5703125" style="22" bestFit="1" customWidth="1"/>
    <col min="5897" max="5897" width="4.42578125" style="22" bestFit="1" customWidth="1"/>
    <col min="5898" max="5898" width="4" style="22" customWidth="1"/>
    <col min="5899" max="6126" width="11.42578125" style="22"/>
    <col min="6127" max="6127" width="14.85546875" style="22" bestFit="1" customWidth="1"/>
    <col min="6128" max="6128" width="28" style="22" bestFit="1" customWidth="1"/>
    <col min="6129" max="6129" width="4.42578125" style="22" bestFit="1" customWidth="1"/>
    <col min="6130" max="6130" width="8" style="22" bestFit="1" customWidth="1"/>
    <col min="6131" max="6131" width="11.42578125" style="22"/>
    <col min="6132" max="6132" width="22.85546875" style="22" bestFit="1" customWidth="1"/>
    <col min="6133" max="6133" width="7" style="22" customWidth="1"/>
    <col min="6134" max="6134" width="6.28515625" style="22" customWidth="1"/>
    <col min="6135" max="6135" width="5.7109375" style="22" customWidth="1"/>
    <col min="6136" max="6136" width="5.7109375" style="22" bestFit="1" customWidth="1"/>
    <col min="6137" max="6137" width="5.85546875" style="22" bestFit="1" customWidth="1"/>
    <col min="6138" max="6138" width="9.42578125" style="22" customWidth="1"/>
    <col min="6139" max="6139" width="5.140625" style="22" customWidth="1"/>
    <col min="6140" max="6140" width="9.7109375" style="22" customWidth="1"/>
    <col min="6141" max="6141" width="6.7109375" style="22" bestFit="1" customWidth="1"/>
    <col min="6142" max="6142" width="4.85546875" style="22" customWidth="1"/>
    <col min="6143" max="6143" width="5.28515625" style="22" customWidth="1"/>
    <col min="6144" max="6145" width="4.42578125" style="22" bestFit="1" customWidth="1"/>
    <col min="6146" max="6146" width="13.28515625" style="22" bestFit="1" customWidth="1"/>
    <col min="6147" max="6147" width="3.140625" style="22" customWidth="1"/>
    <col min="6148" max="6148" width="5.42578125" style="22" bestFit="1" customWidth="1"/>
    <col min="6149" max="6149" width="4.42578125" style="22" bestFit="1" customWidth="1"/>
    <col min="6150" max="6150" width="6.42578125" style="22" customWidth="1"/>
    <col min="6151" max="6151" width="5" style="22" bestFit="1" customWidth="1"/>
    <col min="6152" max="6152" width="4.5703125" style="22" bestFit="1" customWidth="1"/>
    <col min="6153" max="6153" width="4.42578125" style="22" bestFit="1" customWidth="1"/>
    <col min="6154" max="6154" width="4" style="22" customWidth="1"/>
    <col min="6155" max="6382" width="11.42578125" style="22"/>
    <col min="6383" max="6383" width="14.85546875" style="22" bestFit="1" customWidth="1"/>
    <col min="6384" max="6384" width="28" style="22" bestFit="1" customWidth="1"/>
    <col min="6385" max="6385" width="4.42578125" style="22" bestFit="1" customWidth="1"/>
    <col min="6386" max="6386" width="8" style="22" bestFit="1" customWidth="1"/>
    <col min="6387" max="6387" width="11.42578125" style="22"/>
    <col min="6388" max="6388" width="22.85546875" style="22" bestFit="1" customWidth="1"/>
    <col min="6389" max="6389" width="7" style="22" customWidth="1"/>
    <col min="6390" max="6390" width="6.28515625" style="22" customWidth="1"/>
    <col min="6391" max="6391" width="5.7109375" style="22" customWidth="1"/>
    <col min="6392" max="6392" width="5.7109375" style="22" bestFit="1" customWidth="1"/>
    <col min="6393" max="6393" width="5.85546875" style="22" bestFit="1" customWidth="1"/>
    <col min="6394" max="6394" width="9.42578125" style="22" customWidth="1"/>
    <col min="6395" max="6395" width="5.140625" style="22" customWidth="1"/>
    <col min="6396" max="6396" width="9.7109375" style="22" customWidth="1"/>
    <col min="6397" max="6397" width="6.7109375" style="22" bestFit="1" customWidth="1"/>
    <col min="6398" max="6398" width="4.85546875" style="22" customWidth="1"/>
    <col min="6399" max="6399" width="5.28515625" style="22" customWidth="1"/>
    <col min="6400" max="6401" width="4.42578125" style="22" bestFit="1" customWidth="1"/>
    <col min="6402" max="6402" width="13.28515625" style="22" bestFit="1" customWidth="1"/>
    <col min="6403" max="6403" width="3.140625" style="22" customWidth="1"/>
    <col min="6404" max="6404" width="5.42578125" style="22" bestFit="1" customWidth="1"/>
    <col min="6405" max="6405" width="4.42578125" style="22" bestFit="1" customWidth="1"/>
    <col min="6406" max="6406" width="6.42578125" style="22" customWidth="1"/>
    <col min="6407" max="6407" width="5" style="22" bestFit="1" customWidth="1"/>
    <col min="6408" max="6408" width="4.5703125" style="22" bestFit="1" customWidth="1"/>
    <col min="6409" max="6409" width="4.42578125" style="22" bestFit="1" customWidth="1"/>
    <col min="6410" max="6410" width="4" style="22" customWidth="1"/>
    <col min="6411" max="6638" width="11.42578125" style="22"/>
    <col min="6639" max="6639" width="14.85546875" style="22" bestFit="1" customWidth="1"/>
    <col min="6640" max="6640" width="28" style="22" bestFit="1" customWidth="1"/>
    <col min="6641" max="6641" width="4.42578125" style="22" bestFit="1" customWidth="1"/>
    <col min="6642" max="6642" width="8" style="22" bestFit="1" customWidth="1"/>
    <col min="6643" max="6643" width="11.42578125" style="22"/>
    <col min="6644" max="6644" width="22.85546875" style="22" bestFit="1" customWidth="1"/>
    <col min="6645" max="6645" width="7" style="22" customWidth="1"/>
    <col min="6646" max="6646" width="6.28515625" style="22" customWidth="1"/>
    <col min="6647" max="6647" width="5.7109375" style="22" customWidth="1"/>
    <col min="6648" max="6648" width="5.7109375" style="22" bestFit="1" customWidth="1"/>
    <col min="6649" max="6649" width="5.85546875" style="22" bestFit="1" customWidth="1"/>
    <col min="6650" max="6650" width="9.42578125" style="22" customWidth="1"/>
    <col min="6651" max="6651" width="5.140625" style="22" customWidth="1"/>
    <col min="6652" max="6652" width="9.7109375" style="22" customWidth="1"/>
    <col min="6653" max="6653" width="6.7109375" style="22" bestFit="1" customWidth="1"/>
    <col min="6654" max="6654" width="4.85546875" style="22" customWidth="1"/>
    <col min="6655" max="6655" width="5.28515625" style="22" customWidth="1"/>
    <col min="6656" max="6657" width="4.42578125" style="22" bestFit="1" customWidth="1"/>
    <col min="6658" max="6658" width="13.28515625" style="22" bestFit="1" customWidth="1"/>
    <col min="6659" max="6659" width="3.140625" style="22" customWidth="1"/>
    <col min="6660" max="6660" width="5.42578125" style="22" bestFit="1" customWidth="1"/>
    <col min="6661" max="6661" width="4.42578125" style="22" bestFit="1" customWidth="1"/>
    <col min="6662" max="6662" width="6.42578125" style="22" customWidth="1"/>
    <col min="6663" max="6663" width="5" style="22" bestFit="1" customWidth="1"/>
    <col min="6664" max="6664" width="4.5703125" style="22" bestFit="1" customWidth="1"/>
    <col min="6665" max="6665" width="4.42578125" style="22" bestFit="1" customWidth="1"/>
    <col min="6666" max="6666" width="4" style="22" customWidth="1"/>
    <col min="6667" max="6894" width="11.42578125" style="22"/>
    <col min="6895" max="6895" width="14.85546875" style="22" bestFit="1" customWidth="1"/>
    <col min="6896" max="6896" width="28" style="22" bestFit="1" customWidth="1"/>
    <col min="6897" max="6897" width="4.42578125" style="22" bestFit="1" customWidth="1"/>
    <col min="6898" max="6898" width="8" style="22" bestFit="1" customWidth="1"/>
    <col min="6899" max="6899" width="11.42578125" style="22"/>
    <col min="6900" max="6900" width="22.85546875" style="22" bestFit="1" customWidth="1"/>
    <col min="6901" max="6901" width="7" style="22" customWidth="1"/>
    <col min="6902" max="6902" width="6.28515625" style="22" customWidth="1"/>
    <col min="6903" max="6903" width="5.7109375" style="22" customWidth="1"/>
    <col min="6904" max="6904" width="5.7109375" style="22" bestFit="1" customWidth="1"/>
    <col min="6905" max="6905" width="5.85546875" style="22" bestFit="1" customWidth="1"/>
    <col min="6906" max="6906" width="9.42578125" style="22" customWidth="1"/>
    <col min="6907" max="6907" width="5.140625" style="22" customWidth="1"/>
    <col min="6908" max="6908" width="9.7109375" style="22" customWidth="1"/>
    <col min="6909" max="6909" width="6.7109375" style="22" bestFit="1" customWidth="1"/>
    <col min="6910" max="6910" width="4.85546875" style="22" customWidth="1"/>
    <col min="6911" max="6911" width="5.28515625" style="22" customWidth="1"/>
    <col min="6912" max="6913" width="4.42578125" style="22" bestFit="1" customWidth="1"/>
    <col min="6914" max="6914" width="13.28515625" style="22" bestFit="1" customWidth="1"/>
    <col min="6915" max="6915" width="3.140625" style="22" customWidth="1"/>
    <col min="6916" max="6916" width="5.42578125" style="22" bestFit="1" customWidth="1"/>
    <col min="6917" max="6917" width="4.42578125" style="22" bestFit="1" customWidth="1"/>
    <col min="6918" max="6918" width="6.42578125" style="22" customWidth="1"/>
    <col min="6919" max="6919" width="5" style="22" bestFit="1" customWidth="1"/>
    <col min="6920" max="6920" width="4.5703125" style="22" bestFit="1" customWidth="1"/>
    <col min="6921" max="6921" width="4.42578125" style="22" bestFit="1" customWidth="1"/>
    <col min="6922" max="6922" width="4" style="22" customWidth="1"/>
    <col min="6923" max="7150" width="11.42578125" style="22"/>
    <col min="7151" max="7151" width="14.85546875" style="22" bestFit="1" customWidth="1"/>
    <col min="7152" max="7152" width="28" style="22" bestFit="1" customWidth="1"/>
    <col min="7153" max="7153" width="4.42578125" style="22" bestFit="1" customWidth="1"/>
    <col min="7154" max="7154" width="8" style="22" bestFit="1" customWidth="1"/>
    <col min="7155" max="7155" width="11.42578125" style="22"/>
    <col min="7156" max="7156" width="22.85546875" style="22" bestFit="1" customWidth="1"/>
    <col min="7157" max="7157" width="7" style="22" customWidth="1"/>
    <col min="7158" max="7158" width="6.28515625" style="22" customWidth="1"/>
    <col min="7159" max="7159" width="5.7109375" style="22" customWidth="1"/>
    <col min="7160" max="7160" width="5.7109375" style="22" bestFit="1" customWidth="1"/>
    <col min="7161" max="7161" width="5.85546875" style="22" bestFit="1" customWidth="1"/>
    <col min="7162" max="7162" width="9.42578125" style="22" customWidth="1"/>
    <col min="7163" max="7163" width="5.140625" style="22" customWidth="1"/>
    <col min="7164" max="7164" width="9.7109375" style="22" customWidth="1"/>
    <col min="7165" max="7165" width="6.7109375" style="22" bestFit="1" customWidth="1"/>
    <col min="7166" max="7166" width="4.85546875" style="22" customWidth="1"/>
    <col min="7167" max="7167" width="5.28515625" style="22" customWidth="1"/>
    <col min="7168" max="7169" width="4.42578125" style="22" bestFit="1" customWidth="1"/>
    <col min="7170" max="7170" width="13.28515625" style="22" bestFit="1" customWidth="1"/>
    <col min="7171" max="7171" width="3.140625" style="22" customWidth="1"/>
    <col min="7172" max="7172" width="5.42578125" style="22" bestFit="1" customWidth="1"/>
    <col min="7173" max="7173" width="4.42578125" style="22" bestFit="1" customWidth="1"/>
    <col min="7174" max="7174" width="6.42578125" style="22" customWidth="1"/>
    <col min="7175" max="7175" width="5" style="22" bestFit="1" customWidth="1"/>
    <col min="7176" max="7176" width="4.5703125" style="22" bestFit="1" customWidth="1"/>
    <col min="7177" max="7177" width="4.42578125" style="22" bestFit="1" customWidth="1"/>
    <col min="7178" max="7178" width="4" style="22" customWidth="1"/>
    <col min="7179" max="7406" width="11.42578125" style="22"/>
    <col min="7407" max="7407" width="14.85546875" style="22" bestFit="1" customWidth="1"/>
    <col min="7408" max="7408" width="28" style="22" bestFit="1" customWidth="1"/>
    <col min="7409" max="7409" width="4.42578125" style="22" bestFit="1" customWidth="1"/>
    <col min="7410" max="7410" width="8" style="22" bestFit="1" customWidth="1"/>
    <col min="7411" max="7411" width="11.42578125" style="22"/>
    <col min="7412" max="7412" width="22.85546875" style="22" bestFit="1" customWidth="1"/>
    <col min="7413" max="7413" width="7" style="22" customWidth="1"/>
    <col min="7414" max="7414" width="6.28515625" style="22" customWidth="1"/>
    <col min="7415" max="7415" width="5.7109375" style="22" customWidth="1"/>
    <col min="7416" max="7416" width="5.7109375" style="22" bestFit="1" customWidth="1"/>
    <col min="7417" max="7417" width="5.85546875" style="22" bestFit="1" customWidth="1"/>
    <col min="7418" max="7418" width="9.42578125" style="22" customWidth="1"/>
    <col min="7419" max="7419" width="5.140625" style="22" customWidth="1"/>
    <col min="7420" max="7420" width="9.7109375" style="22" customWidth="1"/>
    <col min="7421" max="7421" width="6.7109375" style="22" bestFit="1" customWidth="1"/>
    <col min="7422" max="7422" width="4.85546875" style="22" customWidth="1"/>
    <col min="7423" max="7423" width="5.28515625" style="22" customWidth="1"/>
    <col min="7424" max="7425" width="4.42578125" style="22" bestFit="1" customWidth="1"/>
    <col min="7426" max="7426" width="13.28515625" style="22" bestFit="1" customWidth="1"/>
    <col min="7427" max="7427" width="3.140625" style="22" customWidth="1"/>
    <col min="7428" max="7428" width="5.42578125" style="22" bestFit="1" customWidth="1"/>
    <col min="7429" max="7429" width="4.42578125" style="22" bestFit="1" customWidth="1"/>
    <col min="7430" max="7430" width="6.42578125" style="22" customWidth="1"/>
    <col min="7431" max="7431" width="5" style="22" bestFit="1" customWidth="1"/>
    <col min="7432" max="7432" width="4.5703125" style="22" bestFit="1" customWidth="1"/>
    <col min="7433" max="7433" width="4.42578125" style="22" bestFit="1" customWidth="1"/>
    <col min="7434" max="7434" width="4" style="22" customWidth="1"/>
    <col min="7435" max="7662" width="11.42578125" style="22"/>
    <col min="7663" max="7663" width="14.85546875" style="22" bestFit="1" customWidth="1"/>
    <col min="7664" max="7664" width="28" style="22" bestFit="1" customWidth="1"/>
    <col min="7665" max="7665" width="4.42578125" style="22" bestFit="1" customWidth="1"/>
    <col min="7666" max="7666" width="8" style="22" bestFit="1" customWidth="1"/>
    <col min="7667" max="7667" width="11.42578125" style="22"/>
    <col min="7668" max="7668" width="22.85546875" style="22" bestFit="1" customWidth="1"/>
    <col min="7669" max="7669" width="7" style="22" customWidth="1"/>
    <col min="7670" max="7670" width="6.28515625" style="22" customWidth="1"/>
    <col min="7671" max="7671" width="5.7109375" style="22" customWidth="1"/>
    <col min="7672" max="7672" width="5.7109375" style="22" bestFit="1" customWidth="1"/>
    <col min="7673" max="7673" width="5.85546875" style="22" bestFit="1" customWidth="1"/>
    <col min="7674" max="7674" width="9.42578125" style="22" customWidth="1"/>
    <col min="7675" max="7675" width="5.140625" style="22" customWidth="1"/>
    <col min="7676" max="7676" width="9.7109375" style="22" customWidth="1"/>
    <col min="7677" max="7677" width="6.7109375" style="22" bestFit="1" customWidth="1"/>
    <col min="7678" max="7678" width="4.85546875" style="22" customWidth="1"/>
    <col min="7679" max="7679" width="5.28515625" style="22" customWidth="1"/>
    <col min="7680" max="7681" width="4.42578125" style="22" bestFit="1" customWidth="1"/>
    <col min="7682" max="7682" width="13.28515625" style="22" bestFit="1" customWidth="1"/>
    <col min="7683" max="7683" width="3.140625" style="22" customWidth="1"/>
    <col min="7684" max="7684" width="5.42578125" style="22" bestFit="1" customWidth="1"/>
    <col min="7685" max="7685" width="4.42578125" style="22" bestFit="1" customWidth="1"/>
    <col min="7686" max="7686" width="6.42578125" style="22" customWidth="1"/>
    <col min="7687" max="7687" width="5" style="22" bestFit="1" customWidth="1"/>
    <col min="7688" max="7688" width="4.5703125" style="22" bestFit="1" customWidth="1"/>
    <col min="7689" max="7689" width="4.42578125" style="22" bestFit="1" customWidth="1"/>
    <col min="7690" max="7690" width="4" style="22" customWidth="1"/>
    <col min="7691" max="7918" width="11.42578125" style="22"/>
    <col min="7919" max="7919" width="14.85546875" style="22" bestFit="1" customWidth="1"/>
    <col min="7920" max="7920" width="28" style="22" bestFit="1" customWidth="1"/>
    <col min="7921" max="7921" width="4.42578125" style="22" bestFit="1" customWidth="1"/>
    <col min="7922" max="7922" width="8" style="22" bestFit="1" customWidth="1"/>
    <col min="7923" max="7923" width="11.42578125" style="22"/>
    <col min="7924" max="7924" width="22.85546875" style="22" bestFit="1" customWidth="1"/>
    <col min="7925" max="7925" width="7" style="22" customWidth="1"/>
    <col min="7926" max="7926" width="6.28515625" style="22" customWidth="1"/>
    <col min="7927" max="7927" width="5.7109375" style="22" customWidth="1"/>
    <col min="7928" max="7928" width="5.7109375" style="22" bestFit="1" customWidth="1"/>
    <col min="7929" max="7929" width="5.85546875" style="22" bestFit="1" customWidth="1"/>
    <col min="7930" max="7930" width="9.42578125" style="22" customWidth="1"/>
    <col min="7931" max="7931" width="5.140625" style="22" customWidth="1"/>
    <col min="7932" max="7932" width="9.7109375" style="22" customWidth="1"/>
    <col min="7933" max="7933" width="6.7109375" style="22" bestFit="1" customWidth="1"/>
    <col min="7934" max="7934" width="4.85546875" style="22" customWidth="1"/>
    <col min="7935" max="7935" width="5.28515625" style="22" customWidth="1"/>
    <col min="7936" max="7937" width="4.42578125" style="22" bestFit="1" customWidth="1"/>
    <col min="7938" max="7938" width="13.28515625" style="22" bestFit="1" customWidth="1"/>
    <col min="7939" max="7939" width="3.140625" style="22" customWidth="1"/>
    <col min="7940" max="7940" width="5.42578125" style="22" bestFit="1" customWidth="1"/>
    <col min="7941" max="7941" width="4.42578125" style="22" bestFit="1" customWidth="1"/>
    <col min="7942" max="7942" width="6.42578125" style="22" customWidth="1"/>
    <col min="7943" max="7943" width="5" style="22" bestFit="1" customWidth="1"/>
    <col min="7944" max="7944" width="4.5703125" style="22" bestFit="1" customWidth="1"/>
    <col min="7945" max="7945" width="4.42578125" style="22" bestFit="1" customWidth="1"/>
    <col min="7946" max="7946" width="4" style="22" customWidth="1"/>
    <col min="7947" max="8174" width="11.42578125" style="22"/>
    <col min="8175" max="8175" width="14.85546875" style="22" bestFit="1" customWidth="1"/>
    <col min="8176" max="8176" width="28" style="22" bestFit="1" customWidth="1"/>
    <col min="8177" max="8177" width="4.42578125" style="22" bestFit="1" customWidth="1"/>
    <col min="8178" max="8178" width="8" style="22" bestFit="1" customWidth="1"/>
    <col min="8179" max="8179" width="11.42578125" style="22"/>
    <col min="8180" max="8180" width="22.85546875" style="22" bestFit="1" customWidth="1"/>
    <col min="8181" max="8181" width="7" style="22" customWidth="1"/>
    <col min="8182" max="8182" width="6.28515625" style="22" customWidth="1"/>
    <col min="8183" max="8183" width="5.7109375" style="22" customWidth="1"/>
    <col min="8184" max="8184" width="5.7109375" style="22" bestFit="1" customWidth="1"/>
    <col min="8185" max="8185" width="5.85546875" style="22" bestFit="1" customWidth="1"/>
    <col min="8186" max="8186" width="9.42578125" style="22" customWidth="1"/>
    <col min="8187" max="8187" width="5.140625" style="22" customWidth="1"/>
    <col min="8188" max="8188" width="9.7109375" style="22" customWidth="1"/>
    <col min="8189" max="8189" width="6.7109375" style="22" bestFit="1" customWidth="1"/>
    <col min="8190" max="8190" width="4.85546875" style="22" customWidth="1"/>
    <col min="8191" max="8191" width="5.28515625" style="22" customWidth="1"/>
    <col min="8192" max="8193" width="4.42578125" style="22" bestFit="1" customWidth="1"/>
    <col min="8194" max="8194" width="13.28515625" style="22" bestFit="1" customWidth="1"/>
    <col min="8195" max="8195" width="3.140625" style="22" customWidth="1"/>
    <col min="8196" max="8196" width="5.42578125" style="22" bestFit="1" customWidth="1"/>
    <col min="8197" max="8197" width="4.42578125" style="22" bestFit="1" customWidth="1"/>
    <col min="8198" max="8198" width="6.42578125" style="22" customWidth="1"/>
    <col min="8199" max="8199" width="5" style="22" bestFit="1" customWidth="1"/>
    <col min="8200" max="8200" width="4.5703125" style="22" bestFit="1" customWidth="1"/>
    <col min="8201" max="8201" width="4.42578125" style="22" bestFit="1" customWidth="1"/>
    <col min="8202" max="8202" width="4" style="22" customWidth="1"/>
    <col min="8203" max="8430" width="11.42578125" style="22"/>
    <col min="8431" max="8431" width="14.85546875" style="22" bestFit="1" customWidth="1"/>
    <col min="8432" max="8432" width="28" style="22" bestFit="1" customWidth="1"/>
    <col min="8433" max="8433" width="4.42578125" style="22" bestFit="1" customWidth="1"/>
    <col min="8434" max="8434" width="8" style="22" bestFit="1" customWidth="1"/>
    <col min="8435" max="8435" width="11.42578125" style="22"/>
    <col min="8436" max="8436" width="22.85546875" style="22" bestFit="1" customWidth="1"/>
    <col min="8437" max="8437" width="7" style="22" customWidth="1"/>
    <col min="8438" max="8438" width="6.28515625" style="22" customWidth="1"/>
    <col min="8439" max="8439" width="5.7109375" style="22" customWidth="1"/>
    <col min="8440" max="8440" width="5.7109375" style="22" bestFit="1" customWidth="1"/>
    <col min="8441" max="8441" width="5.85546875" style="22" bestFit="1" customWidth="1"/>
    <col min="8442" max="8442" width="9.42578125" style="22" customWidth="1"/>
    <col min="8443" max="8443" width="5.140625" style="22" customWidth="1"/>
    <col min="8444" max="8444" width="9.7109375" style="22" customWidth="1"/>
    <col min="8445" max="8445" width="6.7109375" style="22" bestFit="1" customWidth="1"/>
    <col min="8446" max="8446" width="4.85546875" style="22" customWidth="1"/>
    <col min="8447" max="8447" width="5.28515625" style="22" customWidth="1"/>
    <col min="8448" max="8449" width="4.42578125" style="22" bestFit="1" customWidth="1"/>
    <col min="8450" max="8450" width="13.28515625" style="22" bestFit="1" customWidth="1"/>
    <col min="8451" max="8451" width="3.140625" style="22" customWidth="1"/>
    <col min="8452" max="8452" width="5.42578125" style="22" bestFit="1" customWidth="1"/>
    <col min="8453" max="8453" width="4.42578125" style="22" bestFit="1" customWidth="1"/>
    <col min="8454" max="8454" width="6.42578125" style="22" customWidth="1"/>
    <col min="8455" max="8455" width="5" style="22" bestFit="1" customWidth="1"/>
    <col min="8456" max="8456" width="4.5703125" style="22" bestFit="1" customWidth="1"/>
    <col min="8457" max="8457" width="4.42578125" style="22" bestFit="1" customWidth="1"/>
    <col min="8458" max="8458" width="4" style="22" customWidth="1"/>
    <col min="8459" max="8686" width="11.42578125" style="22"/>
    <col min="8687" max="8687" width="14.85546875" style="22" bestFit="1" customWidth="1"/>
    <col min="8688" max="8688" width="28" style="22" bestFit="1" customWidth="1"/>
    <col min="8689" max="8689" width="4.42578125" style="22" bestFit="1" customWidth="1"/>
    <col min="8690" max="8690" width="8" style="22" bestFit="1" customWidth="1"/>
    <col min="8691" max="8691" width="11.42578125" style="22"/>
    <col min="8692" max="8692" width="22.85546875" style="22" bestFit="1" customWidth="1"/>
    <col min="8693" max="8693" width="7" style="22" customWidth="1"/>
    <col min="8694" max="8694" width="6.28515625" style="22" customWidth="1"/>
    <col min="8695" max="8695" width="5.7109375" style="22" customWidth="1"/>
    <col min="8696" max="8696" width="5.7109375" style="22" bestFit="1" customWidth="1"/>
    <col min="8697" max="8697" width="5.85546875" style="22" bestFit="1" customWidth="1"/>
    <col min="8698" max="8698" width="9.42578125" style="22" customWidth="1"/>
    <col min="8699" max="8699" width="5.140625" style="22" customWidth="1"/>
    <col min="8700" max="8700" width="9.7109375" style="22" customWidth="1"/>
    <col min="8701" max="8701" width="6.7109375" style="22" bestFit="1" customWidth="1"/>
    <col min="8702" max="8702" width="4.85546875" style="22" customWidth="1"/>
    <col min="8703" max="8703" width="5.28515625" style="22" customWidth="1"/>
    <col min="8704" max="8705" width="4.42578125" style="22" bestFit="1" customWidth="1"/>
    <col min="8706" max="8706" width="13.28515625" style="22" bestFit="1" customWidth="1"/>
    <col min="8707" max="8707" width="3.140625" style="22" customWidth="1"/>
    <col min="8708" max="8708" width="5.42578125" style="22" bestFit="1" customWidth="1"/>
    <col min="8709" max="8709" width="4.42578125" style="22" bestFit="1" customWidth="1"/>
    <col min="8710" max="8710" width="6.42578125" style="22" customWidth="1"/>
    <col min="8711" max="8711" width="5" style="22" bestFit="1" customWidth="1"/>
    <col min="8712" max="8712" width="4.5703125" style="22" bestFit="1" customWidth="1"/>
    <col min="8713" max="8713" width="4.42578125" style="22" bestFit="1" customWidth="1"/>
    <col min="8714" max="8714" width="4" style="22" customWidth="1"/>
    <col min="8715" max="8942" width="11.42578125" style="22"/>
    <col min="8943" max="8943" width="14.85546875" style="22" bestFit="1" customWidth="1"/>
    <col min="8944" max="8944" width="28" style="22" bestFit="1" customWidth="1"/>
    <col min="8945" max="8945" width="4.42578125" style="22" bestFit="1" customWidth="1"/>
    <col min="8946" max="8946" width="8" style="22" bestFit="1" customWidth="1"/>
    <col min="8947" max="8947" width="11.42578125" style="22"/>
    <col min="8948" max="8948" width="22.85546875" style="22" bestFit="1" customWidth="1"/>
    <col min="8949" max="8949" width="7" style="22" customWidth="1"/>
    <col min="8950" max="8950" width="6.28515625" style="22" customWidth="1"/>
    <col min="8951" max="8951" width="5.7109375" style="22" customWidth="1"/>
    <col min="8952" max="8952" width="5.7109375" style="22" bestFit="1" customWidth="1"/>
    <col min="8953" max="8953" width="5.85546875" style="22" bestFit="1" customWidth="1"/>
    <col min="8954" max="8954" width="9.42578125" style="22" customWidth="1"/>
    <col min="8955" max="8955" width="5.140625" style="22" customWidth="1"/>
    <col min="8956" max="8956" width="9.7109375" style="22" customWidth="1"/>
    <col min="8957" max="8957" width="6.7109375" style="22" bestFit="1" customWidth="1"/>
    <col min="8958" max="8958" width="4.85546875" style="22" customWidth="1"/>
    <col min="8959" max="8959" width="5.28515625" style="22" customWidth="1"/>
    <col min="8960" max="8961" width="4.42578125" style="22" bestFit="1" customWidth="1"/>
    <col min="8962" max="8962" width="13.28515625" style="22" bestFit="1" customWidth="1"/>
    <col min="8963" max="8963" width="3.140625" style="22" customWidth="1"/>
    <col min="8964" max="8964" width="5.42578125" style="22" bestFit="1" customWidth="1"/>
    <col min="8965" max="8965" width="4.42578125" style="22" bestFit="1" customWidth="1"/>
    <col min="8966" max="8966" width="6.42578125" style="22" customWidth="1"/>
    <col min="8967" max="8967" width="5" style="22" bestFit="1" customWidth="1"/>
    <col min="8968" max="8968" width="4.5703125" style="22" bestFit="1" customWidth="1"/>
    <col min="8969" max="8969" width="4.42578125" style="22" bestFit="1" customWidth="1"/>
    <col min="8970" max="8970" width="4" style="22" customWidth="1"/>
    <col min="8971" max="9198" width="11.42578125" style="22"/>
    <col min="9199" max="9199" width="14.85546875" style="22" bestFit="1" customWidth="1"/>
    <col min="9200" max="9200" width="28" style="22" bestFit="1" customWidth="1"/>
    <col min="9201" max="9201" width="4.42578125" style="22" bestFit="1" customWidth="1"/>
    <col min="9202" max="9202" width="8" style="22" bestFit="1" customWidth="1"/>
    <col min="9203" max="9203" width="11.42578125" style="22"/>
    <col min="9204" max="9204" width="22.85546875" style="22" bestFit="1" customWidth="1"/>
    <col min="9205" max="9205" width="7" style="22" customWidth="1"/>
    <col min="9206" max="9206" width="6.28515625" style="22" customWidth="1"/>
    <col min="9207" max="9207" width="5.7109375" style="22" customWidth="1"/>
    <col min="9208" max="9208" width="5.7109375" style="22" bestFit="1" customWidth="1"/>
    <col min="9209" max="9209" width="5.85546875" style="22" bestFit="1" customWidth="1"/>
    <col min="9210" max="9210" width="9.42578125" style="22" customWidth="1"/>
    <col min="9211" max="9211" width="5.140625" style="22" customWidth="1"/>
    <col min="9212" max="9212" width="9.7109375" style="22" customWidth="1"/>
    <col min="9213" max="9213" width="6.7109375" style="22" bestFit="1" customWidth="1"/>
    <col min="9214" max="9214" width="4.85546875" style="22" customWidth="1"/>
    <col min="9215" max="9215" width="5.28515625" style="22" customWidth="1"/>
    <col min="9216" max="9217" width="4.42578125" style="22" bestFit="1" customWidth="1"/>
    <col min="9218" max="9218" width="13.28515625" style="22" bestFit="1" customWidth="1"/>
    <col min="9219" max="9219" width="3.140625" style="22" customWidth="1"/>
    <col min="9220" max="9220" width="5.42578125" style="22" bestFit="1" customWidth="1"/>
    <col min="9221" max="9221" width="4.42578125" style="22" bestFit="1" customWidth="1"/>
    <col min="9222" max="9222" width="6.42578125" style="22" customWidth="1"/>
    <col min="9223" max="9223" width="5" style="22" bestFit="1" customWidth="1"/>
    <col min="9224" max="9224" width="4.5703125" style="22" bestFit="1" customWidth="1"/>
    <col min="9225" max="9225" width="4.42578125" style="22" bestFit="1" customWidth="1"/>
    <col min="9226" max="9226" width="4" style="22" customWidth="1"/>
    <col min="9227" max="9454" width="11.42578125" style="22"/>
    <col min="9455" max="9455" width="14.85546875" style="22" bestFit="1" customWidth="1"/>
    <col min="9456" max="9456" width="28" style="22" bestFit="1" customWidth="1"/>
    <col min="9457" max="9457" width="4.42578125" style="22" bestFit="1" customWidth="1"/>
    <col min="9458" max="9458" width="8" style="22" bestFit="1" customWidth="1"/>
    <col min="9459" max="9459" width="11.42578125" style="22"/>
    <col min="9460" max="9460" width="22.85546875" style="22" bestFit="1" customWidth="1"/>
    <col min="9461" max="9461" width="7" style="22" customWidth="1"/>
    <col min="9462" max="9462" width="6.28515625" style="22" customWidth="1"/>
    <col min="9463" max="9463" width="5.7109375" style="22" customWidth="1"/>
    <col min="9464" max="9464" width="5.7109375" style="22" bestFit="1" customWidth="1"/>
    <col min="9465" max="9465" width="5.85546875" style="22" bestFit="1" customWidth="1"/>
    <col min="9466" max="9466" width="9.42578125" style="22" customWidth="1"/>
    <col min="9467" max="9467" width="5.140625" style="22" customWidth="1"/>
    <col min="9468" max="9468" width="9.7109375" style="22" customWidth="1"/>
    <col min="9469" max="9469" width="6.7109375" style="22" bestFit="1" customWidth="1"/>
    <col min="9470" max="9470" width="4.85546875" style="22" customWidth="1"/>
    <col min="9471" max="9471" width="5.28515625" style="22" customWidth="1"/>
    <col min="9472" max="9473" width="4.42578125" style="22" bestFit="1" customWidth="1"/>
    <col min="9474" max="9474" width="13.28515625" style="22" bestFit="1" customWidth="1"/>
    <col min="9475" max="9475" width="3.140625" style="22" customWidth="1"/>
    <col min="9476" max="9476" width="5.42578125" style="22" bestFit="1" customWidth="1"/>
    <col min="9477" max="9477" width="4.42578125" style="22" bestFit="1" customWidth="1"/>
    <col min="9478" max="9478" width="6.42578125" style="22" customWidth="1"/>
    <col min="9479" max="9479" width="5" style="22" bestFit="1" customWidth="1"/>
    <col min="9480" max="9480" width="4.5703125" style="22" bestFit="1" customWidth="1"/>
    <col min="9481" max="9481" width="4.42578125" style="22" bestFit="1" customWidth="1"/>
    <col min="9482" max="9482" width="4" style="22" customWidth="1"/>
    <col min="9483" max="9710" width="11.42578125" style="22"/>
    <col min="9711" max="9711" width="14.85546875" style="22" bestFit="1" customWidth="1"/>
    <col min="9712" max="9712" width="28" style="22" bestFit="1" customWidth="1"/>
    <col min="9713" max="9713" width="4.42578125" style="22" bestFit="1" customWidth="1"/>
    <col min="9714" max="9714" width="8" style="22" bestFit="1" customWidth="1"/>
    <col min="9715" max="9715" width="11.42578125" style="22"/>
    <col min="9716" max="9716" width="22.85546875" style="22" bestFit="1" customWidth="1"/>
    <col min="9717" max="9717" width="7" style="22" customWidth="1"/>
    <col min="9718" max="9718" width="6.28515625" style="22" customWidth="1"/>
    <col min="9719" max="9719" width="5.7109375" style="22" customWidth="1"/>
    <col min="9720" max="9720" width="5.7109375" style="22" bestFit="1" customWidth="1"/>
    <col min="9721" max="9721" width="5.85546875" style="22" bestFit="1" customWidth="1"/>
    <col min="9722" max="9722" width="9.42578125" style="22" customWidth="1"/>
    <col min="9723" max="9723" width="5.140625" style="22" customWidth="1"/>
    <col min="9724" max="9724" width="9.7109375" style="22" customWidth="1"/>
    <col min="9725" max="9725" width="6.7109375" style="22" bestFit="1" customWidth="1"/>
    <col min="9726" max="9726" width="4.85546875" style="22" customWidth="1"/>
    <col min="9727" max="9727" width="5.28515625" style="22" customWidth="1"/>
    <col min="9728" max="9729" width="4.42578125" style="22" bestFit="1" customWidth="1"/>
    <col min="9730" max="9730" width="13.28515625" style="22" bestFit="1" customWidth="1"/>
    <col min="9731" max="9731" width="3.140625" style="22" customWidth="1"/>
    <col min="9732" max="9732" width="5.42578125" style="22" bestFit="1" customWidth="1"/>
    <col min="9733" max="9733" width="4.42578125" style="22" bestFit="1" customWidth="1"/>
    <col min="9734" max="9734" width="6.42578125" style="22" customWidth="1"/>
    <col min="9735" max="9735" width="5" style="22" bestFit="1" customWidth="1"/>
    <col min="9736" max="9736" width="4.5703125" style="22" bestFit="1" customWidth="1"/>
    <col min="9737" max="9737" width="4.42578125" style="22" bestFit="1" customWidth="1"/>
    <col min="9738" max="9738" width="4" style="22" customWidth="1"/>
    <col min="9739" max="9966" width="11.42578125" style="22"/>
    <col min="9967" max="9967" width="14.85546875" style="22" bestFit="1" customWidth="1"/>
    <col min="9968" max="9968" width="28" style="22" bestFit="1" customWidth="1"/>
    <col min="9969" max="9969" width="4.42578125" style="22" bestFit="1" customWidth="1"/>
    <col min="9970" max="9970" width="8" style="22" bestFit="1" customWidth="1"/>
    <col min="9971" max="9971" width="11.42578125" style="22"/>
    <col min="9972" max="9972" width="22.85546875" style="22" bestFit="1" customWidth="1"/>
    <col min="9973" max="9973" width="7" style="22" customWidth="1"/>
    <col min="9974" max="9974" width="6.28515625" style="22" customWidth="1"/>
    <col min="9975" max="9975" width="5.7109375" style="22" customWidth="1"/>
    <col min="9976" max="9976" width="5.7109375" style="22" bestFit="1" customWidth="1"/>
    <col min="9977" max="9977" width="5.85546875" style="22" bestFit="1" customWidth="1"/>
    <col min="9978" max="9978" width="9.42578125" style="22" customWidth="1"/>
    <col min="9979" max="9979" width="5.140625" style="22" customWidth="1"/>
    <col min="9980" max="9980" width="9.7109375" style="22" customWidth="1"/>
    <col min="9981" max="9981" width="6.7109375" style="22" bestFit="1" customWidth="1"/>
    <col min="9982" max="9982" width="4.85546875" style="22" customWidth="1"/>
    <col min="9983" max="9983" width="5.28515625" style="22" customWidth="1"/>
    <col min="9984" max="9985" width="4.42578125" style="22" bestFit="1" customWidth="1"/>
    <col min="9986" max="9986" width="13.28515625" style="22" bestFit="1" customWidth="1"/>
    <col min="9987" max="9987" width="3.140625" style="22" customWidth="1"/>
    <col min="9988" max="9988" width="5.42578125" style="22" bestFit="1" customWidth="1"/>
    <col min="9989" max="9989" width="4.42578125" style="22" bestFit="1" customWidth="1"/>
    <col min="9990" max="9990" width="6.42578125" style="22" customWidth="1"/>
    <col min="9991" max="9991" width="5" style="22" bestFit="1" customWidth="1"/>
    <col min="9992" max="9992" width="4.5703125" style="22" bestFit="1" customWidth="1"/>
    <col min="9993" max="9993" width="4.42578125" style="22" bestFit="1" customWidth="1"/>
    <col min="9994" max="9994" width="4" style="22" customWidth="1"/>
    <col min="9995" max="10222" width="11.42578125" style="22"/>
    <col min="10223" max="10223" width="14.85546875" style="22" bestFit="1" customWidth="1"/>
    <col min="10224" max="10224" width="28" style="22" bestFit="1" customWidth="1"/>
    <col min="10225" max="10225" width="4.42578125" style="22" bestFit="1" customWidth="1"/>
    <col min="10226" max="10226" width="8" style="22" bestFit="1" customWidth="1"/>
    <col min="10227" max="10227" width="11.42578125" style="22"/>
    <col min="10228" max="10228" width="22.85546875" style="22" bestFit="1" customWidth="1"/>
    <col min="10229" max="10229" width="7" style="22" customWidth="1"/>
    <col min="10230" max="10230" width="6.28515625" style="22" customWidth="1"/>
    <col min="10231" max="10231" width="5.7109375" style="22" customWidth="1"/>
    <col min="10232" max="10232" width="5.7109375" style="22" bestFit="1" customWidth="1"/>
    <col min="10233" max="10233" width="5.85546875" style="22" bestFit="1" customWidth="1"/>
    <col min="10234" max="10234" width="9.42578125" style="22" customWidth="1"/>
    <col min="10235" max="10235" width="5.140625" style="22" customWidth="1"/>
    <col min="10236" max="10236" width="9.7109375" style="22" customWidth="1"/>
    <col min="10237" max="10237" width="6.7109375" style="22" bestFit="1" customWidth="1"/>
    <col min="10238" max="10238" width="4.85546875" style="22" customWidth="1"/>
    <col min="10239" max="10239" width="5.28515625" style="22" customWidth="1"/>
    <col min="10240" max="10241" width="4.42578125" style="22" bestFit="1" customWidth="1"/>
    <col min="10242" max="10242" width="13.28515625" style="22" bestFit="1" customWidth="1"/>
    <col min="10243" max="10243" width="3.140625" style="22" customWidth="1"/>
    <col min="10244" max="10244" width="5.42578125" style="22" bestFit="1" customWidth="1"/>
    <col min="10245" max="10245" width="4.42578125" style="22" bestFit="1" customWidth="1"/>
    <col min="10246" max="10246" width="6.42578125" style="22" customWidth="1"/>
    <col min="10247" max="10247" width="5" style="22" bestFit="1" customWidth="1"/>
    <col min="10248" max="10248" width="4.5703125" style="22" bestFit="1" customWidth="1"/>
    <col min="10249" max="10249" width="4.42578125" style="22" bestFit="1" customWidth="1"/>
    <col min="10250" max="10250" width="4" style="22" customWidth="1"/>
    <col min="10251" max="10478" width="11.42578125" style="22"/>
    <col min="10479" max="10479" width="14.85546875" style="22" bestFit="1" customWidth="1"/>
    <col min="10480" max="10480" width="28" style="22" bestFit="1" customWidth="1"/>
    <col min="10481" max="10481" width="4.42578125" style="22" bestFit="1" customWidth="1"/>
    <col min="10482" max="10482" width="8" style="22" bestFit="1" customWidth="1"/>
    <col min="10483" max="10483" width="11.42578125" style="22"/>
    <col min="10484" max="10484" width="22.85546875" style="22" bestFit="1" customWidth="1"/>
    <col min="10485" max="10485" width="7" style="22" customWidth="1"/>
    <col min="10486" max="10486" width="6.28515625" style="22" customWidth="1"/>
    <col min="10487" max="10487" width="5.7109375" style="22" customWidth="1"/>
    <col min="10488" max="10488" width="5.7109375" style="22" bestFit="1" customWidth="1"/>
    <col min="10489" max="10489" width="5.85546875" style="22" bestFit="1" customWidth="1"/>
    <col min="10490" max="10490" width="9.42578125" style="22" customWidth="1"/>
    <col min="10491" max="10491" width="5.140625" style="22" customWidth="1"/>
    <col min="10492" max="10492" width="9.7109375" style="22" customWidth="1"/>
    <col min="10493" max="10493" width="6.7109375" style="22" bestFit="1" customWidth="1"/>
    <col min="10494" max="10494" width="4.85546875" style="22" customWidth="1"/>
    <col min="10495" max="10495" width="5.28515625" style="22" customWidth="1"/>
    <col min="10496" max="10497" width="4.42578125" style="22" bestFit="1" customWidth="1"/>
    <col min="10498" max="10498" width="13.28515625" style="22" bestFit="1" customWidth="1"/>
    <col min="10499" max="10499" width="3.140625" style="22" customWidth="1"/>
    <col min="10500" max="10500" width="5.42578125" style="22" bestFit="1" customWidth="1"/>
    <col min="10501" max="10501" width="4.42578125" style="22" bestFit="1" customWidth="1"/>
    <col min="10502" max="10502" width="6.42578125" style="22" customWidth="1"/>
    <col min="10503" max="10503" width="5" style="22" bestFit="1" customWidth="1"/>
    <col min="10504" max="10504" width="4.5703125" style="22" bestFit="1" customWidth="1"/>
    <col min="10505" max="10505" width="4.42578125" style="22" bestFit="1" customWidth="1"/>
    <col min="10506" max="10506" width="4" style="22" customWidth="1"/>
    <col min="10507" max="10734" width="11.42578125" style="22"/>
    <col min="10735" max="10735" width="14.85546875" style="22" bestFit="1" customWidth="1"/>
    <col min="10736" max="10736" width="28" style="22" bestFit="1" customWidth="1"/>
    <col min="10737" max="10737" width="4.42578125" style="22" bestFit="1" customWidth="1"/>
    <col min="10738" max="10738" width="8" style="22" bestFit="1" customWidth="1"/>
    <col min="10739" max="10739" width="11.42578125" style="22"/>
    <col min="10740" max="10740" width="22.85546875" style="22" bestFit="1" customWidth="1"/>
    <col min="10741" max="10741" width="7" style="22" customWidth="1"/>
    <col min="10742" max="10742" width="6.28515625" style="22" customWidth="1"/>
    <col min="10743" max="10743" width="5.7109375" style="22" customWidth="1"/>
    <col min="10744" max="10744" width="5.7109375" style="22" bestFit="1" customWidth="1"/>
    <col min="10745" max="10745" width="5.85546875" style="22" bestFit="1" customWidth="1"/>
    <col min="10746" max="10746" width="9.42578125" style="22" customWidth="1"/>
    <col min="10747" max="10747" width="5.140625" style="22" customWidth="1"/>
    <col min="10748" max="10748" width="9.7109375" style="22" customWidth="1"/>
    <col min="10749" max="10749" width="6.7109375" style="22" bestFit="1" customWidth="1"/>
    <col min="10750" max="10750" width="4.85546875" style="22" customWidth="1"/>
    <col min="10751" max="10751" width="5.28515625" style="22" customWidth="1"/>
    <col min="10752" max="10753" width="4.42578125" style="22" bestFit="1" customWidth="1"/>
    <col min="10754" max="10754" width="13.28515625" style="22" bestFit="1" customWidth="1"/>
    <col min="10755" max="10755" width="3.140625" style="22" customWidth="1"/>
    <col min="10756" max="10756" width="5.42578125" style="22" bestFit="1" customWidth="1"/>
    <col min="10757" max="10757" width="4.42578125" style="22" bestFit="1" customWidth="1"/>
    <col min="10758" max="10758" width="6.42578125" style="22" customWidth="1"/>
    <col min="10759" max="10759" width="5" style="22" bestFit="1" customWidth="1"/>
    <col min="10760" max="10760" width="4.5703125" style="22" bestFit="1" customWidth="1"/>
    <col min="10761" max="10761" width="4.42578125" style="22" bestFit="1" customWidth="1"/>
    <col min="10762" max="10762" width="4" style="22" customWidth="1"/>
    <col min="10763" max="10990" width="11.42578125" style="22"/>
    <col min="10991" max="10991" width="14.85546875" style="22" bestFit="1" customWidth="1"/>
    <col min="10992" max="10992" width="28" style="22" bestFit="1" customWidth="1"/>
    <col min="10993" max="10993" width="4.42578125" style="22" bestFit="1" customWidth="1"/>
    <col min="10994" max="10994" width="8" style="22" bestFit="1" customWidth="1"/>
    <col min="10995" max="10995" width="11.42578125" style="22"/>
    <col min="10996" max="10996" width="22.85546875" style="22" bestFit="1" customWidth="1"/>
    <col min="10997" max="10997" width="7" style="22" customWidth="1"/>
    <col min="10998" max="10998" width="6.28515625" style="22" customWidth="1"/>
    <col min="10999" max="10999" width="5.7109375" style="22" customWidth="1"/>
    <col min="11000" max="11000" width="5.7109375" style="22" bestFit="1" customWidth="1"/>
    <col min="11001" max="11001" width="5.85546875" style="22" bestFit="1" customWidth="1"/>
    <col min="11002" max="11002" width="9.42578125" style="22" customWidth="1"/>
    <col min="11003" max="11003" width="5.140625" style="22" customWidth="1"/>
    <col min="11004" max="11004" width="9.7109375" style="22" customWidth="1"/>
    <col min="11005" max="11005" width="6.7109375" style="22" bestFit="1" customWidth="1"/>
    <col min="11006" max="11006" width="4.85546875" style="22" customWidth="1"/>
    <col min="11007" max="11007" width="5.28515625" style="22" customWidth="1"/>
    <col min="11008" max="11009" width="4.42578125" style="22" bestFit="1" customWidth="1"/>
    <col min="11010" max="11010" width="13.28515625" style="22" bestFit="1" customWidth="1"/>
    <col min="11011" max="11011" width="3.140625" style="22" customWidth="1"/>
    <col min="11012" max="11012" width="5.42578125" style="22" bestFit="1" customWidth="1"/>
    <col min="11013" max="11013" width="4.42578125" style="22" bestFit="1" customWidth="1"/>
    <col min="11014" max="11014" width="6.42578125" style="22" customWidth="1"/>
    <col min="11015" max="11015" width="5" style="22" bestFit="1" customWidth="1"/>
    <col min="11016" max="11016" width="4.5703125" style="22" bestFit="1" customWidth="1"/>
    <col min="11017" max="11017" width="4.42578125" style="22" bestFit="1" customWidth="1"/>
    <col min="11018" max="11018" width="4" style="22" customWidth="1"/>
    <col min="11019" max="11246" width="11.42578125" style="22"/>
    <col min="11247" max="11247" width="14.85546875" style="22" bestFit="1" customWidth="1"/>
    <col min="11248" max="11248" width="28" style="22" bestFit="1" customWidth="1"/>
    <col min="11249" max="11249" width="4.42578125" style="22" bestFit="1" customWidth="1"/>
    <col min="11250" max="11250" width="8" style="22" bestFit="1" customWidth="1"/>
    <col min="11251" max="11251" width="11.42578125" style="22"/>
    <col min="11252" max="11252" width="22.85546875" style="22" bestFit="1" customWidth="1"/>
    <col min="11253" max="11253" width="7" style="22" customWidth="1"/>
    <col min="11254" max="11254" width="6.28515625" style="22" customWidth="1"/>
    <col min="11255" max="11255" width="5.7109375" style="22" customWidth="1"/>
    <col min="11256" max="11256" width="5.7109375" style="22" bestFit="1" customWidth="1"/>
    <col min="11257" max="11257" width="5.85546875" style="22" bestFit="1" customWidth="1"/>
    <col min="11258" max="11258" width="9.42578125" style="22" customWidth="1"/>
    <col min="11259" max="11259" width="5.140625" style="22" customWidth="1"/>
    <col min="11260" max="11260" width="9.7109375" style="22" customWidth="1"/>
    <col min="11261" max="11261" width="6.7109375" style="22" bestFit="1" customWidth="1"/>
    <col min="11262" max="11262" width="4.85546875" style="22" customWidth="1"/>
    <col min="11263" max="11263" width="5.28515625" style="22" customWidth="1"/>
    <col min="11264" max="11265" width="4.42578125" style="22" bestFit="1" customWidth="1"/>
    <col min="11266" max="11266" width="13.28515625" style="22" bestFit="1" customWidth="1"/>
    <col min="11267" max="11267" width="3.140625" style="22" customWidth="1"/>
    <col min="11268" max="11268" width="5.42578125" style="22" bestFit="1" customWidth="1"/>
    <col min="11269" max="11269" width="4.42578125" style="22" bestFit="1" customWidth="1"/>
    <col min="11270" max="11270" width="6.42578125" style="22" customWidth="1"/>
    <col min="11271" max="11271" width="5" style="22" bestFit="1" customWidth="1"/>
    <col min="11272" max="11272" width="4.5703125" style="22" bestFit="1" customWidth="1"/>
    <col min="11273" max="11273" width="4.42578125" style="22" bestFit="1" customWidth="1"/>
    <col min="11274" max="11274" width="4" style="22" customWidth="1"/>
    <col min="11275" max="11502" width="11.42578125" style="22"/>
    <col min="11503" max="11503" width="14.85546875" style="22" bestFit="1" customWidth="1"/>
    <col min="11504" max="11504" width="28" style="22" bestFit="1" customWidth="1"/>
    <col min="11505" max="11505" width="4.42578125" style="22" bestFit="1" customWidth="1"/>
    <col min="11506" max="11506" width="8" style="22" bestFit="1" customWidth="1"/>
    <col min="11507" max="11507" width="11.42578125" style="22"/>
    <col min="11508" max="11508" width="22.85546875" style="22" bestFit="1" customWidth="1"/>
    <col min="11509" max="11509" width="7" style="22" customWidth="1"/>
    <col min="11510" max="11510" width="6.28515625" style="22" customWidth="1"/>
    <col min="11511" max="11511" width="5.7109375" style="22" customWidth="1"/>
    <col min="11512" max="11512" width="5.7109375" style="22" bestFit="1" customWidth="1"/>
    <col min="11513" max="11513" width="5.85546875" style="22" bestFit="1" customWidth="1"/>
    <col min="11514" max="11514" width="9.42578125" style="22" customWidth="1"/>
    <col min="11515" max="11515" width="5.140625" style="22" customWidth="1"/>
    <col min="11516" max="11516" width="9.7109375" style="22" customWidth="1"/>
    <col min="11517" max="11517" width="6.7109375" style="22" bestFit="1" customWidth="1"/>
    <col min="11518" max="11518" width="4.85546875" style="22" customWidth="1"/>
    <col min="11519" max="11519" width="5.28515625" style="22" customWidth="1"/>
    <col min="11520" max="11521" width="4.42578125" style="22" bestFit="1" customWidth="1"/>
    <col min="11522" max="11522" width="13.28515625" style="22" bestFit="1" customWidth="1"/>
    <col min="11523" max="11523" width="3.140625" style="22" customWidth="1"/>
    <col min="11524" max="11524" width="5.42578125" style="22" bestFit="1" customWidth="1"/>
    <col min="11525" max="11525" width="4.42578125" style="22" bestFit="1" customWidth="1"/>
    <col min="11526" max="11526" width="6.42578125" style="22" customWidth="1"/>
    <col min="11527" max="11527" width="5" style="22" bestFit="1" customWidth="1"/>
    <col min="11528" max="11528" width="4.5703125" style="22" bestFit="1" customWidth="1"/>
    <col min="11529" max="11529" width="4.42578125" style="22" bestFit="1" customWidth="1"/>
    <col min="11530" max="11530" width="4" style="22" customWidth="1"/>
    <col min="11531" max="11758" width="11.42578125" style="22"/>
    <col min="11759" max="11759" width="14.85546875" style="22" bestFit="1" customWidth="1"/>
    <col min="11760" max="11760" width="28" style="22" bestFit="1" customWidth="1"/>
    <col min="11761" max="11761" width="4.42578125" style="22" bestFit="1" customWidth="1"/>
    <col min="11762" max="11762" width="8" style="22" bestFit="1" customWidth="1"/>
    <col min="11763" max="11763" width="11.42578125" style="22"/>
    <col min="11764" max="11764" width="22.85546875" style="22" bestFit="1" customWidth="1"/>
    <col min="11765" max="11765" width="7" style="22" customWidth="1"/>
    <col min="11766" max="11766" width="6.28515625" style="22" customWidth="1"/>
    <col min="11767" max="11767" width="5.7109375" style="22" customWidth="1"/>
    <col min="11768" max="11768" width="5.7109375" style="22" bestFit="1" customWidth="1"/>
    <col min="11769" max="11769" width="5.85546875" style="22" bestFit="1" customWidth="1"/>
    <col min="11770" max="11770" width="9.42578125" style="22" customWidth="1"/>
    <col min="11771" max="11771" width="5.140625" style="22" customWidth="1"/>
    <col min="11772" max="11772" width="9.7109375" style="22" customWidth="1"/>
    <col min="11773" max="11773" width="6.7109375" style="22" bestFit="1" customWidth="1"/>
    <col min="11774" max="11774" width="4.85546875" style="22" customWidth="1"/>
    <col min="11775" max="11775" width="5.28515625" style="22" customWidth="1"/>
    <col min="11776" max="11777" width="4.42578125" style="22" bestFit="1" customWidth="1"/>
    <col min="11778" max="11778" width="13.28515625" style="22" bestFit="1" customWidth="1"/>
    <col min="11779" max="11779" width="3.140625" style="22" customWidth="1"/>
    <col min="11780" max="11780" width="5.42578125" style="22" bestFit="1" customWidth="1"/>
    <col min="11781" max="11781" width="4.42578125" style="22" bestFit="1" customWidth="1"/>
    <col min="11782" max="11782" width="6.42578125" style="22" customWidth="1"/>
    <col min="11783" max="11783" width="5" style="22" bestFit="1" customWidth="1"/>
    <col min="11784" max="11784" width="4.5703125" style="22" bestFit="1" customWidth="1"/>
    <col min="11785" max="11785" width="4.42578125" style="22" bestFit="1" customWidth="1"/>
    <col min="11786" max="11786" width="4" style="22" customWidth="1"/>
    <col min="11787" max="12014" width="11.42578125" style="22"/>
    <col min="12015" max="12015" width="14.85546875" style="22" bestFit="1" customWidth="1"/>
    <col min="12016" max="12016" width="28" style="22" bestFit="1" customWidth="1"/>
    <col min="12017" max="12017" width="4.42578125" style="22" bestFit="1" customWidth="1"/>
    <col min="12018" max="12018" width="8" style="22" bestFit="1" customWidth="1"/>
    <col min="12019" max="12019" width="11.42578125" style="22"/>
    <col min="12020" max="12020" width="22.85546875" style="22" bestFit="1" customWidth="1"/>
    <col min="12021" max="12021" width="7" style="22" customWidth="1"/>
    <col min="12022" max="12022" width="6.28515625" style="22" customWidth="1"/>
    <col min="12023" max="12023" width="5.7109375" style="22" customWidth="1"/>
    <col min="12024" max="12024" width="5.7109375" style="22" bestFit="1" customWidth="1"/>
    <col min="12025" max="12025" width="5.85546875" style="22" bestFit="1" customWidth="1"/>
    <col min="12026" max="12026" width="9.42578125" style="22" customWidth="1"/>
    <col min="12027" max="12027" width="5.140625" style="22" customWidth="1"/>
    <col min="12028" max="12028" width="9.7109375" style="22" customWidth="1"/>
    <col min="12029" max="12029" width="6.7109375" style="22" bestFit="1" customWidth="1"/>
    <col min="12030" max="12030" width="4.85546875" style="22" customWidth="1"/>
    <col min="12031" max="12031" width="5.28515625" style="22" customWidth="1"/>
    <col min="12032" max="12033" width="4.42578125" style="22" bestFit="1" customWidth="1"/>
    <col min="12034" max="12034" width="13.28515625" style="22" bestFit="1" customWidth="1"/>
    <col min="12035" max="12035" width="3.140625" style="22" customWidth="1"/>
    <col min="12036" max="12036" width="5.42578125" style="22" bestFit="1" customWidth="1"/>
    <col min="12037" max="12037" width="4.42578125" style="22" bestFit="1" customWidth="1"/>
    <col min="12038" max="12038" width="6.42578125" style="22" customWidth="1"/>
    <col min="12039" max="12039" width="5" style="22" bestFit="1" customWidth="1"/>
    <col min="12040" max="12040" width="4.5703125" style="22" bestFit="1" customWidth="1"/>
    <col min="12041" max="12041" width="4.42578125" style="22" bestFit="1" customWidth="1"/>
    <col min="12042" max="12042" width="4" style="22" customWidth="1"/>
    <col min="12043" max="12270" width="11.42578125" style="22"/>
    <col min="12271" max="12271" width="14.85546875" style="22" bestFit="1" customWidth="1"/>
    <col min="12272" max="12272" width="28" style="22" bestFit="1" customWidth="1"/>
    <col min="12273" max="12273" width="4.42578125" style="22" bestFit="1" customWidth="1"/>
    <col min="12274" max="12274" width="8" style="22" bestFit="1" customWidth="1"/>
    <col min="12275" max="12275" width="11.42578125" style="22"/>
    <col min="12276" max="12276" width="22.85546875" style="22" bestFit="1" customWidth="1"/>
    <col min="12277" max="12277" width="7" style="22" customWidth="1"/>
    <col min="12278" max="12278" width="6.28515625" style="22" customWidth="1"/>
    <col min="12279" max="12279" width="5.7109375" style="22" customWidth="1"/>
    <col min="12280" max="12280" width="5.7109375" style="22" bestFit="1" customWidth="1"/>
    <col min="12281" max="12281" width="5.85546875" style="22" bestFit="1" customWidth="1"/>
    <col min="12282" max="12282" width="9.42578125" style="22" customWidth="1"/>
    <col min="12283" max="12283" width="5.140625" style="22" customWidth="1"/>
    <col min="12284" max="12284" width="9.7109375" style="22" customWidth="1"/>
    <col min="12285" max="12285" width="6.7109375" style="22" bestFit="1" customWidth="1"/>
    <col min="12286" max="12286" width="4.85546875" style="22" customWidth="1"/>
    <col min="12287" max="12287" width="5.28515625" style="22" customWidth="1"/>
    <col min="12288" max="12289" width="4.42578125" style="22" bestFit="1" customWidth="1"/>
    <col min="12290" max="12290" width="13.28515625" style="22" bestFit="1" customWidth="1"/>
    <col min="12291" max="12291" width="3.140625" style="22" customWidth="1"/>
    <col min="12292" max="12292" width="5.42578125" style="22" bestFit="1" customWidth="1"/>
    <col min="12293" max="12293" width="4.42578125" style="22" bestFit="1" customWidth="1"/>
    <col min="12294" max="12294" width="6.42578125" style="22" customWidth="1"/>
    <col min="12295" max="12295" width="5" style="22" bestFit="1" customWidth="1"/>
    <col min="12296" max="12296" width="4.5703125" style="22" bestFit="1" customWidth="1"/>
    <col min="12297" max="12297" width="4.42578125" style="22" bestFit="1" customWidth="1"/>
    <col min="12298" max="12298" width="4" style="22" customWidth="1"/>
    <col min="12299" max="12526" width="11.42578125" style="22"/>
    <col min="12527" max="12527" width="14.85546875" style="22" bestFit="1" customWidth="1"/>
    <col min="12528" max="12528" width="28" style="22" bestFit="1" customWidth="1"/>
    <col min="12529" max="12529" width="4.42578125" style="22" bestFit="1" customWidth="1"/>
    <col min="12530" max="12530" width="8" style="22" bestFit="1" customWidth="1"/>
    <col min="12531" max="12531" width="11.42578125" style="22"/>
    <col min="12532" max="12532" width="22.85546875" style="22" bestFit="1" customWidth="1"/>
    <col min="12533" max="12533" width="7" style="22" customWidth="1"/>
    <col min="12534" max="12534" width="6.28515625" style="22" customWidth="1"/>
    <col min="12535" max="12535" width="5.7109375" style="22" customWidth="1"/>
    <col min="12536" max="12536" width="5.7109375" style="22" bestFit="1" customWidth="1"/>
    <col min="12537" max="12537" width="5.85546875" style="22" bestFit="1" customWidth="1"/>
    <col min="12538" max="12538" width="9.42578125" style="22" customWidth="1"/>
    <col min="12539" max="12539" width="5.140625" style="22" customWidth="1"/>
    <col min="12540" max="12540" width="9.7109375" style="22" customWidth="1"/>
    <col min="12541" max="12541" width="6.7109375" style="22" bestFit="1" customWidth="1"/>
    <col min="12542" max="12542" width="4.85546875" style="22" customWidth="1"/>
    <col min="12543" max="12543" width="5.28515625" style="22" customWidth="1"/>
    <col min="12544" max="12545" width="4.42578125" style="22" bestFit="1" customWidth="1"/>
    <col min="12546" max="12546" width="13.28515625" style="22" bestFit="1" customWidth="1"/>
    <col min="12547" max="12547" width="3.140625" style="22" customWidth="1"/>
    <col min="12548" max="12548" width="5.42578125" style="22" bestFit="1" customWidth="1"/>
    <col min="12549" max="12549" width="4.42578125" style="22" bestFit="1" customWidth="1"/>
    <col min="12550" max="12550" width="6.42578125" style="22" customWidth="1"/>
    <col min="12551" max="12551" width="5" style="22" bestFit="1" customWidth="1"/>
    <col min="12552" max="12552" width="4.5703125" style="22" bestFit="1" customWidth="1"/>
    <col min="12553" max="12553" width="4.42578125" style="22" bestFit="1" customWidth="1"/>
    <col min="12554" max="12554" width="4" style="22" customWidth="1"/>
    <col min="12555" max="12782" width="11.42578125" style="22"/>
    <col min="12783" max="12783" width="14.85546875" style="22" bestFit="1" customWidth="1"/>
    <col min="12784" max="12784" width="28" style="22" bestFit="1" customWidth="1"/>
    <col min="12785" max="12785" width="4.42578125" style="22" bestFit="1" customWidth="1"/>
    <col min="12786" max="12786" width="8" style="22" bestFit="1" customWidth="1"/>
    <col min="12787" max="12787" width="11.42578125" style="22"/>
    <col min="12788" max="12788" width="22.85546875" style="22" bestFit="1" customWidth="1"/>
    <col min="12789" max="12789" width="7" style="22" customWidth="1"/>
    <col min="12790" max="12790" width="6.28515625" style="22" customWidth="1"/>
    <col min="12791" max="12791" width="5.7109375" style="22" customWidth="1"/>
    <col min="12792" max="12792" width="5.7109375" style="22" bestFit="1" customWidth="1"/>
    <col min="12793" max="12793" width="5.85546875" style="22" bestFit="1" customWidth="1"/>
    <col min="12794" max="12794" width="9.42578125" style="22" customWidth="1"/>
    <col min="12795" max="12795" width="5.140625" style="22" customWidth="1"/>
    <col min="12796" max="12796" width="9.7109375" style="22" customWidth="1"/>
    <col min="12797" max="12797" width="6.7109375" style="22" bestFit="1" customWidth="1"/>
    <col min="12798" max="12798" width="4.85546875" style="22" customWidth="1"/>
    <col min="12799" max="12799" width="5.28515625" style="22" customWidth="1"/>
    <col min="12800" max="12801" width="4.42578125" style="22" bestFit="1" customWidth="1"/>
    <col min="12802" max="12802" width="13.28515625" style="22" bestFit="1" customWidth="1"/>
    <col min="12803" max="12803" width="3.140625" style="22" customWidth="1"/>
    <col min="12804" max="12804" width="5.42578125" style="22" bestFit="1" customWidth="1"/>
    <col min="12805" max="12805" width="4.42578125" style="22" bestFit="1" customWidth="1"/>
    <col min="12806" max="12806" width="6.42578125" style="22" customWidth="1"/>
    <col min="12807" max="12807" width="5" style="22" bestFit="1" customWidth="1"/>
    <col min="12808" max="12808" width="4.5703125" style="22" bestFit="1" customWidth="1"/>
    <col min="12809" max="12809" width="4.42578125" style="22" bestFit="1" customWidth="1"/>
    <col min="12810" max="12810" width="4" style="22" customWidth="1"/>
    <col min="12811" max="13038" width="11.42578125" style="22"/>
    <col min="13039" max="13039" width="14.85546875" style="22" bestFit="1" customWidth="1"/>
    <col min="13040" max="13040" width="28" style="22" bestFit="1" customWidth="1"/>
    <col min="13041" max="13041" width="4.42578125" style="22" bestFit="1" customWidth="1"/>
    <col min="13042" max="13042" width="8" style="22" bestFit="1" customWidth="1"/>
    <col min="13043" max="13043" width="11.42578125" style="22"/>
    <col min="13044" max="13044" width="22.85546875" style="22" bestFit="1" customWidth="1"/>
    <col min="13045" max="13045" width="7" style="22" customWidth="1"/>
    <col min="13046" max="13046" width="6.28515625" style="22" customWidth="1"/>
    <col min="13047" max="13047" width="5.7109375" style="22" customWidth="1"/>
    <col min="13048" max="13048" width="5.7109375" style="22" bestFit="1" customWidth="1"/>
    <col min="13049" max="13049" width="5.85546875" style="22" bestFit="1" customWidth="1"/>
    <col min="13050" max="13050" width="9.42578125" style="22" customWidth="1"/>
    <col min="13051" max="13051" width="5.140625" style="22" customWidth="1"/>
    <col min="13052" max="13052" width="9.7109375" style="22" customWidth="1"/>
    <col min="13053" max="13053" width="6.7109375" style="22" bestFit="1" customWidth="1"/>
    <col min="13054" max="13054" width="4.85546875" style="22" customWidth="1"/>
    <col min="13055" max="13055" width="5.28515625" style="22" customWidth="1"/>
    <col min="13056" max="13057" width="4.42578125" style="22" bestFit="1" customWidth="1"/>
    <col min="13058" max="13058" width="13.28515625" style="22" bestFit="1" customWidth="1"/>
    <col min="13059" max="13059" width="3.140625" style="22" customWidth="1"/>
    <col min="13060" max="13060" width="5.42578125" style="22" bestFit="1" customWidth="1"/>
    <col min="13061" max="13061" width="4.42578125" style="22" bestFit="1" customWidth="1"/>
    <col min="13062" max="13062" width="6.42578125" style="22" customWidth="1"/>
    <col min="13063" max="13063" width="5" style="22" bestFit="1" customWidth="1"/>
    <col min="13064" max="13064" width="4.5703125" style="22" bestFit="1" customWidth="1"/>
    <col min="13065" max="13065" width="4.42578125" style="22" bestFit="1" customWidth="1"/>
    <col min="13066" max="13066" width="4" style="22" customWidth="1"/>
    <col min="13067" max="13294" width="11.42578125" style="22"/>
    <col min="13295" max="13295" width="14.85546875" style="22" bestFit="1" customWidth="1"/>
    <col min="13296" max="13296" width="28" style="22" bestFit="1" customWidth="1"/>
    <col min="13297" max="13297" width="4.42578125" style="22" bestFit="1" customWidth="1"/>
    <col min="13298" max="13298" width="8" style="22" bestFit="1" customWidth="1"/>
    <col min="13299" max="13299" width="11.42578125" style="22"/>
    <col min="13300" max="13300" width="22.85546875" style="22" bestFit="1" customWidth="1"/>
    <col min="13301" max="13301" width="7" style="22" customWidth="1"/>
    <col min="13302" max="13302" width="6.28515625" style="22" customWidth="1"/>
    <col min="13303" max="13303" width="5.7109375" style="22" customWidth="1"/>
    <col min="13304" max="13304" width="5.7109375" style="22" bestFit="1" customWidth="1"/>
    <col min="13305" max="13305" width="5.85546875" style="22" bestFit="1" customWidth="1"/>
    <col min="13306" max="13306" width="9.42578125" style="22" customWidth="1"/>
    <col min="13307" max="13307" width="5.140625" style="22" customWidth="1"/>
    <col min="13308" max="13308" width="9.7109375" style="22" customWidth="1"/>
    <col min="13309" max="13309" width="6.7109375" style="22" bestFit="1" customWidth="1"/>
    <col min="13310" max="13310" width="4.85546875" style="22" customWidth="1"/>
    <col min="13311" max="13311" width="5.28515625" style="22" customWidth="1"/>
    <col min="13312" max="13313" width="4.42578125" style="22" bestFit="1" customWidth="1"/>
    <col min="13314" max="13314" width="13.28515625" style="22" bestFit="1" customWidth="1"/>
    <col min="13315" max="13315" width="3.140625" style="22" customWidth="1"/>
    <col min="13316" max="13316" width="5.42578125" style="22" bestFit="1" customWidth="1"/>
    <col min="13317" max="13317" width="4.42578125" style="22" bestFit="1" customWidth="1"/>
    <col min="13318" max="13318" width="6.42578125" style="22" customWidth="1"/>
    <col min="13319" max="13319" width="5" style="22" bestFit="1" customWidth="1"/>
    <col min="13320" max="13320" width="4.5703125" style="22" bestFit="1" customWidth="1"/>
    <col min="13321" max="13321" width="4.42578125" style="22" bestFit="1" customWidth="1"/>
    <col min="13322" max="13322" width="4" style="22" customWidth="1"/>
    <col min="13323" max="13550" width="11.42578125" style="22"/>
    <col min="13551" max="13551" width="14.85546875" style="22" bestFit="1" customWidth="1"/>
    <col min="13552" max="13552" width="28" style="22" bestFit="1" customWidth="1"/>
    <col min="13553" max="13553" width="4.42578125" style="22" bestFit="1" customWidth="1"/>
    <col min="13554" max="13554" width="8" style="22" bestFit="1" customWidth="1"/>
    <col min="13555" max="13555" width="11.42578125" style="22"/>
    <col min="13556" max="13556" width="22.85546875" style="22" bestFit="1" customWidth="1"/>
    <col min="13557" max="13557" width="7" style="22" customWidth="1"/>
    <col min="13558" max="13558" width="6.28515625" style="22" customWidth="1"/>
    <col min="13559" max="13559" width="5.7109375" style="22" customWidth="1"/>
    <col min="13560" max="13560" width="5.7109375" style="22" bestFit="1" customWidth="1"/>
    <col min="13561" max="13561" width="5.85546875" style="22" bestFit="1" customWidth="1"/>
    <col min="13562" max="13562" width="9.42578125" style="22" customWidth="1"/>
    <col min="13563" max="13563" width="5.140625" style="22" customWidth="1"/>
    <col min="13564" max="13564" width="9.7109375" style="22" customWidth="1"/>
    <col min="13565" max="13565" width="6.7109375" style="22" bestFit="1" customWidth="1"/>
    <col min="13566" max="13566" width="4.85546875" style="22" customWidth="1"/>
    <col min="13567" max="13567" width="5.28515625" style="22" customWidth="1"/>
    <col min="13568" max="13569" width="4.42578125" style="22" bestFit="1" customWidth="1"/>
    <col min="13570" max="13570" width="13.28515625" style="22" bestFit="1" customWidth="1"/>
    <col min="13571" max="13571" width="3.140625" style="22" customWidth="1"/>
    <col min="13572" max="13572" width="5.42578125" style="22" bestFit="1" customWidth="1"/>
    <col min="13573" max="13573" width="4.42578125" style="22" bestFit="1" customWidth="1"/>
    <col min="13574" max="13574" width="6.42578125" style="22" customWidth="1"/>
    <col min="13575" max="13575" width="5" style="22" bestFit="1" customWidth="1"/>
    <col min="13576" max="13576" width="4.5703125" style="22" bestFit="1" customWidth="1"/>
    <col min="13577" max="13577" width="4.42578125" style="22" bestFit="1" customWidth="1"/>
    <col min="13578" max="13578" width="4" style="22" customWidth="1"/>
    <col min="13579" max="13806" width="11.42578125" style="22"/>
    <col min="13807" max="13807" width="14.85546875" style="22" bestFit="1" customWidth="1"/>
    <col min="13808" max="13808" width="28" style="22" bestFit="1" customWidth="1"/>
    <col min="13809" max="13809" width="4.42578125" style="22" bestFit="1" customWidth="1"/>
    <col min="13810" max="13810" width="8" style="22" bestFit="1" customWidth="1"/>
    <col min="13811" max="13811" width="11.42578125" style="22"/>
    <col min="13812" max="13812" width="22.85546875" style="22" bestFit="1" customWidth="1"/>
    <col min="13813" max="13813" width="7" style="22" customWidth="1"/>
    <col min="13814" max="13814" width="6.28515625" style="22" customWidth="1"/>
    <col min="13815" max="13815" width="5.7109375" style="22" customWidth="1"/>
    <col min="13816" max="13816" width="5.7109375" style="22" bestFit="1" customWidth="1"/>
    <col min="13817" max="13817" width="5.85546875" style="22" bestFit="1" customWidth="1"/>
    <col min="13818" max="13818" width="9.42578125" style="22" customWidth="1"/>
    <col min="13819" max="13819" width="5.140625" style="22" customWidth="1"/>
    <col min="13820" max="13820" width="9.7109375" style="22" customWidth="1"/>
    <col min="13821" max="13821" width="6.7109375" style="22" bestFit="1" customWidth="1"/>
    <col min="13822" max="13822" width="4.85546875" style="22" customWidth="1"/>
    <col min="13823" max="13823" width="5.28515625" style="22" customWidth="1"/>
    <col min="13824" max="13825" width="4.42578125" style="22" bestFit="1" customWidth="1"/>
    <col min="13826" max="13826" width="13.28515625" style="22" bestFit="1" customWidth="1"/>
    <col min="13827" max="13827" width="3.140625" style="22" customWidth="1"/>
    <col min="13828" max="13828" width="5.42578125" style="22" bestFit="1" customWidth="1"/>
    <col min="13829" max="13829" width="4.42578125" style="22" bestFit="1" customWidth="1"/>
    <col min="13830" max="13830" width="6.42578125" style="22" customWidth="1"/>
    <col min="13831" max="13831" width="5" style="22" bestFit="1" customWidth="1"/>
    <col min="13832" max="13832" width="4.5703125" style="22" bestFit="1" customWidth="1"/>
    <col min="13833" max="13833" width="4.42578125" style="22" bestFit="1" customWidth="1"/>
    <col min="13834" max="13834" width="4" style="22" customWidth="1"/>
    <col min="13835" max="14062" width="11.42578125" style="22"/>
    <col min="14063" max="14063" width="14.85546875" style="22" bestFit="1" customWidth="1"/>
    <col min="14064" max="14064" width="28" style="22" bestFit="1" customWidth="1"/>
    <col min="14065" max="14065" width="4.42578125" style="22" bestFit="1" customWidth="1"/>
    <col min="14066" max="14066" width="8" style="22" bestFit="1" customWidth="1"/>
    <col min="14067" max="14067" width="11.42578125" style="22"/>
    <col min="14068" max="14068" width="22.85546875" style="22" bestFit="1" customWidth="1"/>
    <col min="14069" max="14069" width="7" style="22" customWidth="1"/>
    <col min="14070" max="14070" width="6.28515625" style="22" customWidth="1"/>
    <col min="14071" max="14071" width="5.7109375" style="22" customWidth="1"/>
    <col min="14072" max="14072" width="5.7109375" style="22" bestFit="1" customWidth="1"/>
    <col min="14073" max="14073" width="5.85546875" style="22" bestFit="1" customWidth="1"/>
    <col min="14074" max="14074" width="9.42578125" style="22" customWidth="1"/>
    <col min="14075" max="14075" width="5.140625" style="22" customWidth="1"/>
    <col min="14076" max="14076" width="9.7109375" style="22" customWidth="1"/>
    <col min="14077" max="14077" width="6.7109375" style="22" bestFit="1" customWidth="1"/>
    <col min="14078" max="14078" width="4.85546875" style="22" customWidth="1"/>
    <col min="14079" max="14079" width="5.28515625" style="22" customWidth="1"/>
    <col min="14080" max="14081" width="4.42578125" style="22" bestFit="1" customWidth="1"/>
    <col min="14082" max="14082" width="13.28515625" style="22" bestFit="1" customWidth="1"/>
    <col min="14083" max="14083" width="3.140625" style="22" customWidth="1"/>
    <col min="14084" max="14084" width="5.42578125" style="22" bestFit="1" customWidth="1"/>
    <col min="14085" max="14085" width="4.42578125" style="22" bestFit="1" customWidth="1"/>
    <col min="14086" max="14086" width="6.42578125" style="22" customWidth="1"/>
    <col min="14087" max="14087" width="5" style="22" bestFit="1" customWidth="1"/>
    <col min="14088" max="14088" width="4.5703125" style="22" bestFit="1" customWidth="1"/>
    <col min="14089" max="14089" width="4.42578125" style="22" bestFit="1" customWidth="1"/>
    <col min="14090" max="14090" width="4" style="22" customWidth="1"/>
    <col min="14091" max="14318" width="11.42578125" style="22"/>
    <col min="14319" max="14319" width="14.85546875" style="22" bestFit="1" customWidth="1"/>
    <col min="14320" max="14320" width="28" style="22" bestFit="1" customWidth="1"/>
    <col min="14321" max="14321" width="4.42578125" style="22" bestFit="1" customWidth="1"/>
    <col min="14322" max="14322" width="8" style="22" bestFit="1" customWidth="1"/>
    <col min="14323" max="14323" width="11.42578125" style="22"/>
    <col min="14324" max="14324" width="22.85546875" style="22" bestFit="1" customWidth="1"/>
    <col min="14325" max="14325" width="7" style="22" customWidth="1"/>
    <col min="14326" max="14326" width="6.28515625" style="22" customWidth="1"/>
    <col min="14327" max="14327" width="5.7109375" style="22" customWidth="1"/>
    <col min="14328" max="14328" width="5.7109375" style="22" bestFit="1" customWidth="1"/>
    <col min="14329" max="14329" width="5.85546875" style="22" bestFit="1" customWidth="1"/>
    <col min="14330" max="14330" width="9.42578125" style="22" customWidth="1"/>
    <col min="14331" max="14331" width="5.140625" style="22" customWidth="1"/>
    <col min="14332" max="14332" width="9.7109375" style="22" customWidth="1"/>
    <col min="14333" max="14333" width="6.7109375" style="22" bestFit="1" customWidth="1"/>
    <col min="14334" max="14334" width="4.85546875" style="22" customWidth="1"/>
    <col min="14335" max="14335" width="5.28515625" style="22" customWidth="1"/>
    <col min="14336" max="14337" width="4.42578125" style="22" bestFit="1" customWidth="1"/>
    <col min="14338" max="14338" width="13.28515625" style="22" bestFit="1" customWidth="1"/>
    <col min="14339" max="14339" width="3.140625" style="22" customWidth="1"/>
    <col min="14340" max="14340" width="5.42578125" style="22" bestFit="1" customWidth="1"/>
    <col min="14341" max="14341" width="4.42578125" style="22" bestFit="1" customWidth="1"/>
    <col min="14342" max="14342" width="6.42578125" style="22" customWidth="1"/>
    <col min="14343" max="14343" width="5" style="22" bestFit="1" customWidth="1"/>
    <col min="14344" max="14344" width="4.5703125" style="22" bestFit="1" customWidth="1"/>
    <col min="14345" max="14345" width="4.42578125" style="22" bestFit="1" customWidth="1"/>
    <col min="14346" max="14346" width="4" style="22" customWidth="1"/>
    <col min="14347" max="14574" width="11.42578125" style="22"/>
    <col min="14575" max="14575" width="14.85546875" style="22" bestFit="1" customWidth="1"/>
    <col min="14576" max="14576" width="28" style="22" bestFit="1" customWidth="1"/>
    <col min="14577" max="14577" width="4.42578125" style="22" bestFit="1" customWidth="1"/>
    <col min="14578" max="14578" width="8" style="22" bestFit="1" customWidth="1"/>
    <col min="14579" max="14579" width="11.42578125" style="22"/>
    <col min="14580" max="14580" width="22.85546875" style="22" bestFit="1" customWidth="1"/>
    <col min="14581" max="14581" width="7" style="22" customWidth="1"/>
    <col min="14582" max="14582" width="6.28515625" style="22" customWidth="1"/>
    <col min="14583" max="14583" width="5.7109375" style="22" customWidth="1"/>
    <col min="14584" max="14584" width="5.7109375" style="22" bestFit="1" customWidth="1"/>
    <col min="14585" max="14585" width="5.85546875" style="22" bestFit="1" customWidth="1"/>
    <col min="14586" max="14586" width="9.42578125" style="22" customWidth="1"/>
    <col min="14587" max="14587" width="5.140625" style="22" customWidth="1"/>
    <col min="14588" max="14588" width="9.7109375" style="22" customWidth="1"/>
    <col min="14589" max="14589" width="6.7109375" style="22" bestFit="1" customWidth="1"/>
    <col min="14590" max="14590" width="4.85546875" style="22" customWidth="1"/>
    <col min="14591" max="14591" width="5.28515625" style="22" customWidth="1"/>
    <col min="14592" max="14593" width="4.42578125" style="22" bestFit="1" customWidth="1"/>
    <col min="14594" max="14594" width="13.28515625" style="22" bestFit="1" customWidth="1"/>
    <col min="14595" max="14595" width="3.140625" style="22" customWidth="1"/>
    <col min="14596" max="14596" width="5.42578125" style="22" bestFit="1" customWidth="1"/>
    <col min="14597" max="14597" width="4.42578125" style="22" bestFit="1" customWidth="1"/>
    <col min="14598" max="14598" width="6.42578125" style="22" customWidth="1"/>
    <col min="14599" max="14599" width="5" style="22" bestFit="1" customWidth="1"/>
    <col min="14600" max="14600" width="4.5703125" style="22" bestFit="1" customWidth="1"/>
    <col min="14601" max="14601" width="4.42578125" style="22" bestFit="1" customWidth="1"/>
    <col min="14602" max="14602" width="4" style="22" customWidth="1"/>
    <col min="14603" max="14830" width="11.42578125" style="22"/>
    <col min="14831" max="14831" width="14.85546875" style="22" bestFit="1" customWidth="1"/>
    <col min="14832" max="14832" width="28" style="22" bestFit="1" customWidth="1"/>
    <col min="14833" max="14833" width="4.42578125" style="22" bestFit="1" customWidth="1"/>
    <col min="14834" max="14834" width="8" style="22" bestFit="1" customWidth="1"/>
    <col min="14835" max="14835" width="11.42578125" style="22"/>
    <col min="14836" max="14836" width="22.85546875" style="22" bestFit="1" customWidth="1"/>
    <col min="14837" max="14837" width="7" style="22" customWidth="1"/>
    <col min="14838" max="14838" width="6.28515625" style="22" customWidth="1"/>
    <col min="14839" max="14839" width="5.7109375" style="22" customWidth="1"/>
    <col min="14840" max="14840" width="5.7109375" style="22" bestFit="1" customWidth="1"/>
    <col min="14841" max="14841" width="5.85546875" style="22" bestFit="1" customWidth="1"/>
    <col min="14842" max="14842" width="9.42578125" style="22" customWidth="1"/>
    <col min="14843" max="14843" width="5.140625" style="22" customWidth="1"/>
    <col min="14844" max="14844" width="9.7109375" style="22" customWidth="1"/>
    <col min="14845" max="14845" width="6.7109375" style="22" bestFit="1" customWidth="1"/>
    <col min="14846" max="14846" width="4.85546875" style="22" customWidth="1"/>
    <col min="14847" max="14847" width="5.28515625" style="22" customWidth="1"/>
    <col min="14848" max="14849" width="4.42578125" style="22" bestFit="1" customWidth="1"/>
    <col min="14850" max="14850" width="13.28515625" style="22" bestFit="1" customWidth="1"/>
    <col min="14851" max="14851" width="3.140625" style="22" customWidth="1"/>
    <col min="14852" max="14852" width="5.42578125" style="22" bestFit="1" customWidth="1"/>
    <col min="14853" max="14853" width="4.42578125" style="22" bestFit="1" customWidth="1"/>
    <col min="14854" max="14854" width="6.42578125" style="22" customWidth="1"/>
    <col min="14855" max="14855" width="5" style="22" bestFit="1" customWidth="1"/>
    <col min="14856" max="14856" width="4.5703125" style="22" bestFit="1" customWidth="1"/>
    <col min="14857" max="14857" width="4.42578125" style="22" bestFit="1" customWidth="1"/>
    <col min="14858" max="14858" width="4" style="22" customWidth="1"/>
    <col min="14859" max="15086" width="11.42578125" style="22"/>
    <col min="15087" max="15087" width="14.85546875" style="22" bestFit="1" customWidth="1"/>
    <col min="15088" max="15088" width="28" style="22" bestFit="1" customWidth="1"/>
    <col min="15089" max="15089" width="4.42578125" style="22" bestFit="1" customWidth="1"/>
    <col min="15090" max="15090" width="8" style="22" bestFit="1" customWidth="1"/>
    <col min="15091" max="15091" width="11.42578125" style="22"/>
    <col min="15092" max="15092" width="22.85546875" style="22" bestFit="1" customWidth="1"/>
    <col min="15093" max="15093" width="7" style="22" customWidth="1"/>
    <col min="15094" max="15094" width="6.28515625" style="22" customWidth="1"/>
    <col min="15095" max="15095" width="5.7109375" style="22" customWidth="1"/>
    <col min="15096" max="15096" width="5.7109375" style="22" bestFit="1" customWidth="1"/>
    <col min="15097" max="15097" width="5.85546875" style="22" bestFit="1" customWidth="1"/>
    <col min="15098" max="15098" width="9.42578125" style="22" customWidth="1"/>
    <col min="15099" max="15099" width="5.140625" style="22" customWidth="1"/>
    <col min="15100" max="15100" width="9.7109375" style="22" customWidth="1"/>
    <col min="15101" max="15101" width="6.7109375" style="22" bestFit="1" customWidth="1"/>
    <col min="15102" max="15102" width="4.85546875" style="22" customWidth="1"/>
    <col min="15103" max="15103" width="5.28515625" style="22" customWidth="1"/>
    <col min="15104" max="15105" width="4.42578125" style="22" bestFit="1" customWidth="1"/>
    <col min="15106" max="15106" width="13.28515625" style="22" bestFit="1" customWidth="1"/>
    <col min="15107" max="15107" width="3.140625" style="22" customWidth="1"/>
    <col min="15108" max="15108" width="5.42578125" style="22" bestFit="1" customWidth="1"/>
    <col min="15109" max="15109" width="4.42578125" style="22" bestFit="1" customWidth="1"/>
    <col min="15110" max="15110" width="6.42578125" style="22" customWidth="1"/>
    <col min="15111" max="15111" width="5" style="22" bestFit="1" customWidth="1"/>
    <col min="15112" max="15112" width="4.5703125" style="22" bestFit="1" customWidth="1"/>
    <col min="15113" max="15113" width="4.42578125" style="22" bestFit="1" customWidth="1"/>
    <col min="15114" max="15114" width="4" style="22" customWidth="1"/>
    <col min="15115" max="15342" width="11.42578125" style="22"/>
    <col min="15343" max="15343" width="14.85546875" style="22" bestFit="1" customWidth="1"/>
    <col min="15344" max="15344" width="28" style="22" bestFit="1" customWidth="1"/>
    <col min="15345" max="15345" width="4.42578125" style="22" bestFit="1" customWidth="1"/>
    <col min="15346" max="15346" width="8" style="22" bestFit="1" customWidth="1"/>
    <col min="15347" max="15347" width="11.42578125" style="22"/>
    <col min="15348" max="15348" width="22.85546875" style="22" bestFit="1" customWidth="1"/>
    <col min="15349" max="15349" width="7" style="22" customWidth="1"/>
    <col min="15350" max="15350" width="6.28515625" style="22" customWidth="1"/>
    <col min="15351" max="15351" width="5.7109375" style="22" customWidth="1"/>
    <col min="15352" max="15352" width="5.7109375" style="22" bestFit="1" customWidth="1"/>
    <col min="15353" max="15353" width="5.85546875" style="22" bestFit="1" customWidth="1"/>
    <col min="15354" max="15354" width="9.42578125" style="22" customWidth="1"/>
    <col min="15355" max="15355" width="5.140625" style="22" customWidth="1"/>
    <col min="15356" max="15356" width="9.7109375" style="22" customWidth="1"/>
    <col min="15357" max="15357" width="6.7109375" style="22" bestFit="1" customWidth="1"/>
    <col min="15358" max="15358" width="4.85546875" style="22" customWidth="1"/>
    <col min="15359" max="15359" width="5.28515625" style="22" customWidth="1"/>
    <col min="15360" max="15361" width="4.42578125" style="22" bestFit="1" customWidth="1"/>
    <col min="15362" max="15362" width="13.28515625" style="22" bestFit="1" customWidth="1"/>
    <col min="15363" max="15363" width="3.140625" style="22" customWidth="1"/>
    <col min="15364" max="15364" width="5.42578125" style="22" bestFit="1" customWidth="1"/>
    <col min="15365" max="15365" width="4.42578125" style="22" bestFit="1" customWidth="1"/>
    <col min="15366" max="15366" width="6.42578125" style="22" customWidth="1"/>
    <col min="15367" max="15367" width="5" style="22" bestFit="1" customWidth="1"/>
    <col min="15368" max="15368" width="4.5703125" style="22" bestFit="1" customWidth="1"/>
    <col min="15369" max="15369" width="4.42578125" style="22" bestFit="1" customWidth="1"/>
    <col min="15370" max="15370" width="4" style="22" customWidth="1"/>
    <col min="15371" max="15598" width="11.42578125" style="22"/>
    <col min="15599" max="15599" width="14.85546875" style="22" bestFit="1" customWidth="1"/>
    <col min="15600" max="15600" width="28" style="22" bestFit="1" customWidth="1"/>
    <col min="15601" max="15601" width="4.42578125" style="22" bestFit="1" customWidth="1"/>
    <col min="15602" max="15602" width="8" style="22" bestFit="1" customWidth="1"/>
    <col min="15603" max="15603" width="11.42578125" style="22"/>
    <col min="15604" max="15604" width="22.85546875" style="22" bestFit="1" customWidth="1"/>
    <col min="15605" max="15605" width="7" style="22" customWidth="1"/>
    <col min="15606" max="15606" width="6.28515625" style="22" customWidth="1"/>
    <col min="15607" max="15607" width="5.7109375" style="22" customWidth="1"/>
    <col min="15608" max="15608" width="5.7109375" style="22" bestFit="1" customWidth="1"/>
    <col min="15609" max="15609" width="5.85546875" style="22" bestFit="1" customWidth="1"/>
    <col min="15610" max="15610" width="9.42578125" style="22" customWidth="1"/>
    <col min="15611" max="15611" width="5.140625" style="22" customWidth="1"/>
    <col min="15612" max="15612" width="9.7109375" style="22" customWidth="1"/>
    <col min="15613" max="15613" width="6.7109375" style="22" bestFit="1" customWidth="1"/>
    <col min="15614" max="15614" width="4.85546875" style="22" customWidth="1"/>
    <col min="15615" max="15615" width="5.28515625" style="22" customWidth="1"/>
    <col min="15616" max="15617" width="4.42578125" style="22" bestFit="1" customWidth="1"/>
    <col min="15618" max="15618" width="13.28515625" style="22" bestFit="1" customWidth="1"/>
    <col min="15619" max="15619" width="3.140625" style="22" customWidth="1"/>
    <col min="15620" max="15620" width="5.42578125" style="22" bestFit="1" customWidth="1"/>
    <col min="15621" max="15621" width="4.42578125" style="22" bestFit="1" customWidth="1"/>
    <col min="15622" max="15622" width="6.42578125" style="22" customWidth="1"/>
    <col min="15623" max="15623" width="5" style="22" bestFit="1" customWidth="1"/>
    <col min="15624" max="15624" width="4.5703125" style="22" bestFit="1" customWidth="1"/>
    <col min="15625" max="15625" width="4.42578125" style="22" bestFit="1" customWidth="1"/>
    <col min="15626" max="15626" width="4" style="22" customWidth="1"/>
    <col min="15627" max="15854" width="11.42578125" style="22"/>
    <col min="15855" max="15855" width="14.85546875" style="22" bestFit="1" customWidth="1"/>
    <col min="15856" max="15856" width="28" style="22" bestFit="1" customWidth="1"/>
    <col min="15857" max="15857" width="4.42578125" style="22" bestFit="1" customWidth="1"/>
    <col min="15858" max="15858" width="8" style="22" bestFit="1" customWidth="1"/>
    <col min="15859" max="15859" width="11.42578125" style="22"/>
    <col min="15860" max="15860" width="22.85546875" style="22" bestFit="1" customWidth="1"/>
    <col min="15861" max="15861" width="7" style="22" customWidth="1"/>
    <col min="15862" max="15862" width="6.28515625" style="22" customWidth="1"/>
    <col min="15863" max="15863" width="5.7109375" style="22" customWidth="1"/>
    <col min="15864" max="15864" width="5.7109375" style="22" bestFit="1" customWidth="1"/>
    <col min="15865" max="15865" width="5.85546875" style="22" bestFit="1" customWidth="1"/>
    <col min="15866" max="15866" width="9.42578125" style="22" customWidth="1"/>
    <col min="15867" max="15867" width="5.140625" style="22" customWidth="1"/>
    <col min="15868" max="15868" width="9.7109375" style="22" customWidth="1"/>
    <col min="15869" max="15869" width="6.7109375" style="22" bestFit="1" customWidth="1"/>
    <col min="15870" max="15870" width="4.85546875" style="22" customWidth="1"/>
    <col min="15871" max="15871" width="5.28515625" style="22" customWidth="1"/>
    <col min="15872" max="15873" width="4.42578125" style="22" bestFit="1" customWidth="1"/>
    <col min="15874" max="15874" width="13.28515625" style="22" bestFit="1" customWidth="1"/>
    <col min="15875" max="15875" width="3.140625" style="22" customWidth="1"/>
    <col min="15876" max="15876" width="5.42578125" style="22" bestFit="1" customWidth="1"/>
    <col min="15877" max="15877" width="4.42578125" style="22" bestFit="1" customWidth="1"/>
    <col min="15878" max="15878" width="6.42578125" style="22" customWidth="1"/>
    <col min="15879" max="15879" width="5" style="22" bestFit="1" customWidth="1"/>
    <col min="15880" max="15880" width="4.5703125" style="22" bestFit="1" customWidth="1"/>
    <col min="15881" max="15881" width="4.42578125" style="22" bestFit="1" customWidth="1"/>
    <col min="15882" max="15882" width="4" style="22" customWidth="1"/>
    <col min="15883" max="16110" width="11.42578125" style="22"/>
    <col min="16111" max="16111" width="14.85546875" style="22" bestFit="1" customWidth="1"/>
    <col min="16112" max="16112" width="28" style="22" bestFit="1" customWidth="1"/>
    <col min="16113" max="16113" width="4.42578125" style="22" bestFit="1" customWidth="1"/>
    <col min="16114" max="16114" width="8" style="22" bestFit="1" customWidth="1"/>
    <col min="16115" max="16115" width="11.42578125" style="22"/>
    <col min="16116" max="16116" width="22.85546875" style="22" bestFit="1" customWidth="1"/>
    <col min="16117" max="16117" width="7" style="22" customWidth="1"/>
    <col min="16118" max="16118" width="6.28515625" style="22" customWidth="1"/>
    <col min="16119" max="16119" width="5.7109375" style="22" customWidth="1"/>
    <col min="16120" max="16120" width="5.7109375" style="22" bestFit="1" customWidth="1"/>
    <col min="16121" max="16121" width="5.85546875" style="22" bestFit="1" customWidth="1"/>
    <col min="16122" max="16122" width="9.42578125" style="22" customWidth="1"/>
    <col min="16123" max="16123" width="5.140625" style="22" customWidth="1"/>
    <col min="16124" max="16124" width="9.7109375" style="22" customWidth="1"/>
    <col min="16125" max="16125" width="6.7109375" style="22" bestFit="1" customWidth="1"/>
    <col min="16126" max="16126" width="4.85546875" style="22" customWidth="1"/>
    <col min="16127" max="16127" width="5.28515625" style="22" customWidth="1"/>
    <col min="16128" max="16129" width="4.42578125" style="22" bestFit="1" customWidth="1"/>
    <col min="16130" max="16130" width="13.28515625" style="22" bestFit="1" customWidth="1"/>
    <col min="16131" max="16131" width="3.140625" style="22" customWidth="1"/>
    <col min="16132" max="16132" width="5.42578125" style="22" bestFit="1" customWidth="1"/>
    <col min="16133" max="16133" width="4.42578125" style="22" bestFit="1" customWidth="1"/>
    <col min="16134" max="16134" width="6.42578125" style="22" customWidth="1"/>
    <col min="16135" max="16135" width="5" style="22" bestFit="1" customWidth="1"/>
    <col min="16136" max="16136" width="4.5703125" style="22" bestFit="1" customWidth="1"/>
    <col min="16137" max="16137" width="4.42578125" style="22" bestFit="1" customWidth="1"/>
    <col min="16138" max="16138" width="4" style="22" customWidth="1"/>
    <col min="16139" max="16384" width="11.42578125" style="22"/>
  </cols>
  <sheetData>
    <row r="1" spans="1:24">
      <c r="A1" s="1"/>
      <c r="B1" s="1"/>
      <c r="C1" s="490" t="s">
        <v>0</v>
      </c>
      <c r="D1" s="491"/>
      <c r="E1" s="491"/>
      <c r="F1" s="491"/>
      <c r="G1" s="491"/>
      <c r="H1" s="492"/>
      <c r="I1" s="339"/>
      <c r="J1" s="491" t="s">
        <v>1</v>
      </c>
      <c r="K1" s="491"/>
      <c r="L1" s="491"/>
      <c r="M1" s="491"/>
      <c r="N1" s="491"/>
      <c r="O1" s="491"/>
      <c r="P1" s="491"/>
      <c r="Q1" s="1"/>
    </row>
    <row r="2" spans="1:24" ht="15" customHeight="1">
      <c r="A2" s="1"/>
      <c r="B2" s="1"/>
      <c r="C2" s="493" t="s">
        <v>2</v>
      </c>
      <c r="D2" s="494"/>
      <c r="E2" s="495" t="s">
        <v>3</v>
      </c>
      <c r="F2" s="494"/>
      <c r="G2" s="494"/>
      <c r="H2" s="494"/>
      <c r="I2" s="3"/>
      <c r="J2" s="496" t="s">
        <v>4</v>
      </c>
      <c r="K2" s="498" t="s">
        <v>5</v>
      </c>
      <c r="L2" s="499"/>
      <c r="M2" s="499"/>
      <c r="N2" s="499"/>
      <c r="O2" s="499"/>
      <c r="P2" s="483"/>
      <c r="Q2" s="1"/>
      <c r="R2" s="109"/>
      <c r="S2" s="110"/>
      <c r="T2" s="109"/>
      <c r="U2" s="111" t="s">
        <v>90</v>
      </c>
      <c r="V2" s="110"/>
      <c r="W2" s="112"/>
    </row>
    <row r="3" spans="1:24" s="396" customFormat="1" ht="38.25">
      <c r="A3" s="4"/>
      <c r="B3" s="4"/>
      <c r="C3" s="5"/>
      <c r="D3" s="5"/>
      <c r="E3" s="501" t="s">
        <v>377</v>
      </c>
      <c r="F3" s="494"/>
      <c r="G3" s="501" t="s">
        <v>7</v>
      </c>
      <c r="H3" s="494"/>
      <c r="I3" s="8" t="s">
        <v>378</v>
      </c>
      <c r="J3" s="497"/>
      <c r="K3" s="500"/>
      <c r="L3" s="499"/>
      <c r="M3" s="499"/>
      <c r="N3" s="499"/>
      <c r="O3" s="499"/>
      <c r="P3" s="483"/>
      <c r="Q3" s="4"/>
      <c r="R3" s="113"/>
      <c r="S3" s="114"/>
      <c r="T3" s="114"/>
      <c r="U3" s="114"/>
      <c r="V3" s="114"/>
      <c r="W3" s="112"/>
    </row>
    <row r="4" spans="1:24" ht="1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49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379</v>
      </c>
      <c r="Q4" s="397"/>
      <c r="R4" s="115" t="s">
        <v>10</v>
      </c>
      <c r="S4" s="115" t="s">
        <v>91</v>
      </c>
      <c r="T4" s="115" t="s">
        <v>92</v>
      </c>
      <c r="U4" s="116" t="s">
        <v>93</v>
      </c>
      <c r="V4" s="117" t="s">
        <v>94</v>
      </c>
      <c r="W4" s="117" t="s">
        <v>95</v>
      </c>
    </row>
    <row r="5" spans="1:24" ht="15">
      <c r="A5" s="17"/>
      <c r="B5" s="18"/>
      <c r="C5" s="19">
        <f>SUM(C7:C46)-C19-C32</f>
        <v>272.91929624030632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P7+P23+P26+P37+P40+P41+P46+P43</f>
        <v>164.52629258657473</v>
      </c>
      <c r="Q5" s="397"/>
      <c r="R5" s="118">
        <f>SUM(R13:R46)</f>
        <v>164.4842925865747</v>
      </c>
      <c r="S5" s="118">
        <f>SUM(S7:S46)</f>
        <v>2.8600000000000003</v>
      </c>
      <c r="T5" s="118">
        <f>SUM(T7:T46)</f>
        <v>48.174292586574701</v>
      </c>
      <c r="U5" s="118">
        <f>SUM(U7:U46)</f>
        <v>40.805099762525607</v>
      </c>
      <c r="V5" s="118">
        <f>SUM(V7:V46)</f>
        <v>21.754900237474391</v>
      </c>
      <c r="W5" s="118">
        <f t="shared" ref="W5" si="0">SUM(W7:W46)</f>
        <v>50.89</v>
      </c>
      <c r="X5" s="41"/>
    </row>
    <row r="6" spans="1:24">
      <c r="A6" s="1"/>
      <c r="B6" s="1"/>
      <c r="C6" s="27">
        <f>C5+8-275.27-L12</f>
        <v>0.1992962403063423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P5-161.69+8-0.12+1.23-11.9</f>
        <v>4.6292586574729455E-2</v>
      </c>
      <c r="Q6" s="28"/>
      <c r="R6" s="119">
        <f>R5-161.69+8-0.12+1.23-11.9</f>
        <v>4.2925865746994418E-3</v>
      </c>
      <c r="S6" s="36">
        <f>S5-2.86</f>
        <v>0</v>
      </c>
      <c r="T6" s="36">
        <f>T5-31.32-6.08-11.9+1.23</f>
        <v>0.10429258657470042</v>
      </c>
      <c r="U6" s="1"/>
      <c r="V6" s="398">
        <f>U5+V5-70.56+8</f>
        <v>0</v>
      </c>
      <c r="W6" s="36">
        <f>W5-50.87</f>
        <v>2.0000000000003126E-2</v>
      </c>
    </row>
    <row r="7" spans="1:24">
      <c r="A7" s="486" t="s">
        <v>15</v>
      </c>
      <c r="B7" s="1" t="s">
        <v>17</v>
      </c>
      <c r="C7" s="17">
        <f>0.4*(1+0.22/117.36)</f>
        <v>0.40074982958418542</v>
      </c>
      <c r="D7" s="487">
        <f>SUM(C7:C20)</f>
        <v>134.57929624030641</v>
      </c>
      <c r="E7" s="30"/>
      <c r="F7" s="488">
        <f>SUM(E7:E19)</f>
        <v>86.031195097422682</v>
      </c>
      <c r="G7" s="17">
        <f>C7-E7</f>
        <v>0.40074982958418542</v>
      </c>
      <c r="H7" s="488">
        <f>SUM(G6:G19)</f>
        <v>48.548101142883738</v>
      </c>
      <c r="J7" s="487">
        <f>H7-I13</f>
        <v>44.418101142883735</v>
      </c>
      <c r="K7" s="31"/>
      <c r="L7" s="31"/>
      <c r="M7" s="31"/>
      <c r="N7" s="338"/>
      <c r="O7" s="344"/>
      <c r="P7" s="489">
        <f>J7-K12-L12-M12</f>
        <v>37</v>
      </c>
      <c r="Q7" s="399"/>
      <c r="R7" s="120"/>
      <c r="S7" s="121"/>
      <c r="T7" s="122"/>
      <c r="U7" s="123"/>
      <c r="V7" s="122"/>
      <c r="W7" s="123"/>
    </row>
    <row r="8" spans="1:24">
      <c r="A8" s="486"/>
      <c r="B8" s="1" t="s">
        <v>18</v>
      </c>
      <c r="C8" s="17">
        <f>(5.49-C7-C9)*(1+0.22/117.36)</f>
        <v>5.0084526066881994</v>
      </c>
      <c r="D8" s="487"/>
      <c r="E8" s="30">
        <f>0.1*C8</f>
        <v>0.50084526066881996</v>
      </c>
      <c r="F8" s="488"/>
      <c r="G8" s="17">
        <f>0.9*C8</f>
        <v>4.5076073460193795</v>
      </c>
      <c r="H8" s="488"/>
      <c r="J8" s="487"/>
      <c r="K8" s="31"/>
      <c r="L8" s="31"/>
      <c r="M8" s="31"/>
      <c r="N8" s="338"/>
      <c r="O8" s="344"/>
      <c r="P8" s="489"/>
      <c r="Q8" s="399"/>
      <c r="R8" s="124"/>
      <c r="S8" s="125"/>
      <c r="T8" s="126"/>
      <c r="U8" s="127"/>
      <c r="V8" s="126"/>
      <c r="W8" s="127"/>
    </row>
    <row r="9" spans="1:24">
      <c r="A9" s="486"/>
      <c r="B9" s="1" t="s">
        <v>19</v>
      </c>
      <c r="C9" s="17">
        <f>0.09*(1+0.22/117.36)</f>
        <v>9.0168711656441719E-2</v>
      </c>
      <c r="D9" s="487"/>
      <c r="E9" s="30"/>
      <c r="F9" s="488"/>
      <c r="G9" s="17">
        <f t="shared" ref="G9" si="1">C9-E9</f>
        <v>9.0168711656441719E-2</v>
      </c>
      <c r="H9" s="488"/>
      <c r="J9" s="487"/>
      <c r="K9" s="31"/>
      <c r="L9" s="31"/>
      <c r="M9" s="31"/>
      <c r="N9" s="338"/>
      <c r="O9" s="344"/>
      <c r="P9" s="489"/>
      <c r="Q9" s="399"/>
      <c r="R9" s="124"/>
      <c r="S9" s="125"/>
      <c r="T9" s="126"/>
      <c r="U9" s="127"/>
      <c r="V9" s="126"/>
      <c r="W9" s="127"/>
    </row>
    <row r="10" spans="1:24" ht="13.5" customHeight="1">
      <c r="A10" s="486"/>
      <c r="B10" s="1" t="s">
        <v>20</v>
      </c>
      <c r="C10" s="17">
        <f>117.32*(1+0.22/117.36)</f>
        <v>117.53992501704157</v>
      </c>
      <c r="D10" s="487"/>
      <c r="E10" s="30">
        <f>C10*'[2]FLUX 2010'!I10/'[2]FLUX 2010'!G10</f>
        <v>78.751749761417841</v>
      </c>
      <c r="F10" s="488"/>
      <c r="G10" s="30">
        <f>C10-E10</f>
        <v>38.788175255623727</v>
      </c>
      <c r="H10" s="488"/>
      <c r="J10" s="487"/>
      <c r="K10" s="31"/>
      <c r="L10" s="31"/>
      <c r="M10" s="31"/>
      <c r="N10" s="338"/>
      <c r="O10" s="344"/>
      <c r="P10" s="489"/>
      <c r="Q10" s="399"/>
      <c r="R10" s="124"/>
      <c r="S10" s="125"/>
      <c r="T10" s="126"/>
      <c r="U10" s="127"/>
      <c r="V10" s="126"/>
      <c r="W10" s="127"/>
    </row>
    <row r="11" spans="1:24">
      <c r="A11" s="486"/>
      <c r="B11" s="1" t="s">
        <v>21</v>
      </c>
      <c r="C11" s="17"/>
      <c r="D11" s="487"/>
      <c r="E11" s="30"/>
      <c r="F11" s="488"/>
      <c r="G11" s="17">
        <f>C11-E11</f>
        <v>0</v>
      </c>
      <c r="H11" s="488"/>
      <c r="J11" s="487"/>
      <c r="K11" s="31"/>
      <c r="L11" s="31"/>
      <c r="M11" s="31"/>
      <c r="N11" s="338"/>
      <c r="O11" s="344"/>
      <c r="P11" s="489"/>
      <c r="Q11" s="399"/>
      <c r="R11" s="124"/>
      <c r="S11" s="125"/>
      <c r="T11" s="126"/>
      <c r="U11" s="127"/>
      <c r="V11" s="126"/>
      <c r="W11" s="127"/>
    </row>
    <row r="12" spans="1:24">
      <c r="A12" s="486"/>
      <c r="B12" s="1" t="s">
        <v>22</v>
      </c>
      <c r="C12" s="17">
        <f>1.46</f>
        <v>1.46</v>
      </c>
      <c r="D12" s="487"/>
      <c r="E12" s="30">
        <f t="shared" ref="E12:E18" si="2">C12-G12</f>
        <v>1.1679999999999999</v>
      </c>
      <c r="F12" s="488"/>
      <c r="G12" s="17">
        <f>0.2*C12</f>
        <v>0.29199999999999998</v>
      </c>
      <c r="H12" s="488"/>
      <c r="J12" s="487"/>
      <c r="K12" s="31">
        <f>(J7-L12)-R13</f>
        <v>1.9681011428837394</v>
      </c>
      <c r="L12" s="31">
        <f>6.18-0.73</f>
        <v>5.4499999999999993</v>
      </c>
      <c r="M12" s="31"/>
      <c r="N12" s="338"/>
      <c r="O12" s="344"/>
      <c r="P12" s="489"/>
      <c r="Q12" s="400"/>
      <c r="R12" s="124"/>
      <c r="S12" s="125"/>
      <c r="T12" s="126"/>
      <c r="U12" s="127"/>
      <c r="V12" s="126"/>
      <c r="W12" s="127"/>
    </row>
    <row r="13" spans="1:24">
      <c r="A13" s="486"/>
      <c r="B13" s="1" t="s">
        <v>23</v>
      </c>
      <c r="C13" s="17"/>
      <c r="D13" s="487"/>
      <c r="E13" s="30">
        <f t="shared" si="2"/>
        <v>0</v>
      </c>
      <c r="F13" s="488"/>
      <c r="G13" s="17"/>
      <c r="H13" s="488"/>
      <c r="I13" s="34">
        <f>2.85+1.28</f>
        <v>4.13</v>
      </c>
      <c r="J13" s="487"/>
      <c r="K13" s="31"/>
      <c r="L13" s="31"/>
      <c r="M13" s="31"/>
      <c r="N13" s="338"/>
      <c r="O13" s="344"/>
      <c r="P13" s="489"/>
      <c r="Q13" s="1"/>
      <c r="R13" s="124">
        <f>SUM(S7:W19)</f>
        <v>37</v>
      </c>
      <c r="S13" s="128">
        <v>0.28999999999999998</v>
      </c>
      <c r="T13" s="126">
        <f>10.73+0.96</f>
        <v>11.690000000000001</v>
      </c>
      <c r="U13" s="126">
        <f>23.98*12.6/(12.6+11)</f>
        <v>12.802881355932204</v>
      </c>
      <c r="V13" s="126">
        <f>23.98*11/(12.6+11)</f>
        <v>11.177118644067797</v>
      </c>
      <c r="W13" s="126">
        <f>1.04</f>
        <v>1.04</v>
      </c>
      <c r="X13" s="34"/>
    </row>
    <row r="14" spans="1:24">
      <c r="A14" s="486"/>
      <c r="B14" s="1" t="s">
        <v>24</v>
      </c>
      <c r="C14" s="17"/>
      <c r="D14" s="487"/>
      <c r="E14" s="30">
        <f t="shared" si="2"/>
        <v>0</v>
      </c>
      <c r="F14" s="488"/>
      <c r="G14" s="17"/>
      <c r="H14" s="488"/>
      <c r="J14" s="487"/>
      <c r="K14" s="31"/>
      <c r="L14" s="31"/>
      <c r="M14" s="31"/>
      <c r="N14" s="338"/>
      <c r="O14" s="344"/>
      <c r="P14" s="489"/>
      <c r="Q14" s="1"/>
      <c r="R14" s="124"/>
      <c r="S14" s="125"/>
      <c r="T14" s="126"/>
      <c r="U14" s="127"/>
      <c r="V14" s="126"/>
      <c r="W14" s="127"/>
    </row>
    <row r="15" spans="1:24">
      <c r="A15" s="486"/>
      <c r="B15" s="1" t="s">
        <v>25</v>
      </c>
      <c r="C15" s="17">
        <f>[2]électricité!D30*0.086</f>
        <v>7.5335997971706095E-8</v>
      </c>
      <c r="D15" s="487"/>
      <c r="E15" s="30">
        <f t="shared" si="2"/>
        <v>7.5335997971706095E-8</v>
      </c>
      <c r="F15" s="488"/>
      <c r="G15" s="17"/>
      <c r="H15" s="488"/>
      <c r="J15" s="487"/>
      <c r="K15" s="31"/>
      <c r="L15" s="31"/>
      <c r="M15" s="31"/>
      <c r="N15" s="338"/>
      <c r="O15" s="344"/>
      <c r="P15" s="489"/>
      <c r="Q15" s="1"/>
      <c r="R15" s="124"/>
      <c r="S15" s="125"/>
      <c r="T15" s="126"/>
      <c r="U15" s="127"/>
      <c r="V15" s="126"/>
      <c r="W15" s="127"/>
    </row>
    <row r="16" spans="1:24">
      <c r="A16" s="486"/>
      <c r="B16" s="1" t="s">
        <v>26</v>
      </c>
      <c r="C16" s="17">
        <v>0</v>
      </c>
      <c r="D16" s="487"/>
      <c r="E16" s="30">
        <f t="shared" si="2"/>
        <v>0</v>
      </c>
      <c r="F16" s="488"/>
      <c r="G16" s="17"/>
      <c r="H16" s="488"/>
      <c r="J16" s="487"/>
      <c r="K16" s="31"/>
      <c r="L16" s="31"/>
      <c r="M16" s="31"/>
      <c r="N16" s="338"/>
      <c r="O16" s="344"/>
      <c r="P16" s="489"/>
      <c r="Q16" s="1"/>
      <c r="R16" s="124"/>
      <c r="S16" s="125"/>
      <c r="T16" s="126"/>
      <c r="U16" s="127"/>
      <c r="V16" s="126"/>
      <c r="W16" s="127"/>
    </row>
    <row r="17" spans="1:23">
      <c r="A17" s="486"/>
      <c r="B17" s="1" t="s">
        <v>27</v>
      </c>
      <c r="C17" s="17">
        <f>1.36+0.14-0.19</f>
        <v>1.31</v>
      </c>
      <c r="D17" s="487"/>
      <c r="E17" s="30">
        <f t="shared" si="2"/>
        <v>0.81220000000000003</v>
      </c>
      <c r="F17" s="488"/>
      <c r="G17" s="17">
        <f>0.38*C17</f>
        <v>0.49780000000000002</v>
      </c>
      <c r="H17" s="488"/>
      <c r="J17" s="487"/>
      <c r="K17" s="31"/>
      <c r="L17" s="31"/>
      <c r="M17" s="31"/>
      <c r="N17" s="338"/>
      <c r="O17" s="344"/>
      <c r="P17" s="489"/>
      <c r="Q17" s="1"/>
      <c r="R17" s="124"/>
      <c r="S17" s="125"/>
      <c r="T17" s="126"/>
      <c r="U17" s="127"/>
      <c r="V17" s="126"/>
      <c r="W17" s="127"/>
    </row>
    <row r="18" spans="1:23">
      <c r="A18" s="486"/>
      <c r="B18" s="1" t="s">
        <v>28</v>
      </c>
      <c r="C18" s="17">
        <v>5.22</v>
      </c>
      <c r="D18" s="487"/>
      <c r="E18" s="30">
        <f t="shared" si="2"/>
        <v>3.2363999999999997</v>
      </c>
      <c r="F18" s="488"/>
      <c r="G18" s="17">
        <f>0.38*C18</f>
        <v>1.9836</v>
      </c>
      <c r="H18" s="488"/>
      <c r="J18" s="487"/>
      <c r="K18" s="31"/>
      <c r="L18" s="31"/>
      <c r="M18" s="31"/>
      <c r="N18" s="338"/>
      <c r="O18" s="344"/>
      <c r="P18" s="489"/>
      <c r="Q18" s="1"/>
      <c r="R18" s="124"/>
      <c r="S18" s="125"/>
      <c r="T18" s="126"/>
      <c r="U18" s="127"/>
      <c r="V18" s="126"/>
      <c r="W18" s="127"/>
    </row>
    <row r="19" spans="1:23">
      <c r="A19" s="486"/>
      <c r="B19" s="1" t="s">
        <v>29</v>
      </c>
      <c r="C19" s="17">
        <f>2.74+0.81</f>
        <v>3.5500000000000003</v>
      </c>
      <c r="D19" s="487"/>
      <c r="E19" s="30">
        <f>C19-G19</f>
        <v>1.5619999999999998</v>
      </c>
      <c r="F19" s="488"/>
      <c r="G19" s="17">
        <f>0.56*C19</f>
        <v>1.9880000000000004</v>
      </c>
      <c r="H19" s="488"/>
      <c r="J19" s="487"/>
      <c r="K19" s="31"/>
      <c r="L19" s="31"/>
      <c r="M19" s="31"/>
      <c r="N19" s="338"/>
      <c r="O19" s="344"/>
      <c r="P19" s="489"/>
      <c r="Q19" s="1"/>
      <c r="R19" s="129"/>
      <c r="S19" s="130"/>
      <c r="T19" s="131"/>
      <c r="U19" s="132"/>
      <c r="V19" s="131"/>
      <c r="W19" s="132"/>
    </row>
    <row r="20" spans="1:23" ht="13.5" thickBot="1">
      <c r="A20" s="1"/>
      <c r="B20" s="1"/>
      <c r="C20" s="1"/>
      <c r="D20" s="36">
        <f>SUM(C7:C19)-(117.36+6.18-0.73+5.22+1.36+2.74+0.81+1.46+0.22)</f>
        <v>-4.0703759693627717E-2</v>
      </c>
      <c r="E20" s="17"/>
      <c r="F20" s="36">
        <f>SUM(C12:C19)-SUM(G12:G19)-6.52-0.32</f>
        <v>-6.1399924664001737E-2</v>
      </c>
      <c r="G20" s="17"/>
      <c r="H20" s="36">
        <f>SUM(G12:G19)-5.07+0.32</f>
        <v>1.1399999999999799E-2</v>
      </c>
      <c r="I20" s="1"/>
      <c r="J20" s="1"/>
      <c r="K20" s="62">
        <f>81.34-E10-K12</f>
        <v>0.62014909569842303</v>
      </c>
      <c r="L20" s="1"/>
      <c r="M20" s="1"/>
      <c r="N20" s="1"/>
      <c r="O20" s="1"/>
      <c r="P20" s="37">
        <f>P7-37</f>
        <v>0</v>
      </c>
      <c r="Q20" s="401"/>
      <c r="R20" s="17"/>
      <c r="S20" s="1"/>
      <c r="T20" s="17"/>
      <c r="U20" s="1"/>
      <c r="V20" s="17"/>
      <c r="W20" s="1"/>
    </row>
    <row r="21" spans="1:23">
      <c r="A21" s="481" t="s">
        <v>13</v>
      </c>
      <c r="B21" s="1" t="s">
        <v>21</v>
      </c>
      <c r="C21" s="17"/>
      <c r="D21" s="482">
        <f>SUM(C21:C24)</f>
        <v>38.920000000000009</v>
      </c>
      <c r="F21" s="482"/>
      <c r="G21" s="17">
        <f t="shared" ref="G21:G45" si="3">C21-E21</f>
        <v>0</v>
      </c>
      <c r="H21" s="484">
        <f>SUM(G21:G24)</f>
        <v>38.330000000000013</v>
      </c>
      <c r="I21" s="17"/>
      <c r="J21" s="484">
        <f>H21</f>
        <v>38.330000000000013</v>
      </c>
      <c r="K21" s="476"/>
      <c r="L21" s="476"/>
      <c r="M21" s="476"/>
      <c r="N21" s="38"/>
      <c r="O21" s="38"/>
      <c r="P21" s="38"/>
      <c r="Q21" s="1"/>
      <c r="R21" s="402"/>
      <c r="S21" s="403"/>
      <c r="T21" s="404"/>
      <c r="U21" s="404"/>
      <c r="V21" s="404"/>
      <c r="W21" s="405"/>
    </row>
    <row r="22" spans="1:23">
      <c r="A22" s="481"/>
      <c r="B22" s="1" t="s">
        <v>30</v>
      </c>
      <c r="C22" s="17">
        <v>0.2</v>
      </c>
      <c r="D22" s="483"/>
      <c r="F22" s="483"/>
      <c r="G22" s="17">
        <f t="shared" si="3"/>
        <v>0.2</v>
      </c>
      <c r="H22" s="485"/>
      <c r="I22" s="17"/>
      <c r="J22" s="484"/>
      <c r="K22" s="476"/>
      <c r="L22" s="476"/>
      <c r="M22" s="476"/>
      <c r="N22" s="340"/>
      <c r="O22" s="40"/>
      <c r="P22" s="40"/>
      <c r="Q22" s="1"/>
      <c r="R22" s="406"/>
      <c r="S22" s="407"/>
      <c r="T22" s="408"/>
      <c r="U22" s="408"/>
      <c r="V22" s="408"/>
      <c r="W22" s="409"/>
    </row>
    <row r="23" spans="1:23">
      <c r="A23" s="481"/>
      <c r="B23" s="1" t="s">
        <v>31</v>
      </c>
      <c r="C23" s="17"/>
      <c r="D23" s="483"/>
      <c r="E23" s="41"/>
      <c r="F23" s="483"/>
      <c r="G23" s="17">
        <f t="shared" si="3"/>
        <v>0</v>
      </c>
      <c r="H23" s="485"/>
      <c r="I23" s="17"/>
      <c r="J23" s="484"/>
      <c r="K23" s="476"/>
      <c r="L23" s="476"/>
      <c r="M23" s="476"/>
      <c r="N23" s="340">
        <f>C32</f>
        <v>2</v>
      </c>
      <c r="O23" s="40">
        <f>C19</f>
        <v>3.5500000000000003</v>
      </c>
      <c r="P23" s="40">
        <f>J21-N23-O23</f>
        <v>32.780000000000015</v>
      </c>
      <c r="Q23" s="1"/>
      <c r="R23" s="406">
        <f>SUM(S23:W23)</f>
        <v>33.32115764979639</v>
      </c>
      <c r="S23" s="410">
        <v>0.3</v>
      </c>
      <c r="T23" s="410">
        <f>(11.86+0.62-0.47)*P23/(P23+G32)</f>
        <v>11.451070389761487</v>
      </c>
      <c r="U23" s="410">
        <f>(22.56*16.7/(16.7+5.7))*P23/(P23+G32)</f>
        <v>16.036538269758161</v>
      </c>
      <c r="V23" s="410">
        <f>(22.56*5.7/(16.7+5.7))*P23/(P23+G32)</f>
        <v>5.4735489902767389</v>
      </c>
      <c r="W23" s="411">
        <v>0.06</v>
      </c>
    </row>
    <row r="24" spans="1:23">
      <c r="A24" s="481"/>
      <c r="B24" s="1" t="s">
        <v>32</v>
      </c>
      <c r="C24" s="17">
        <f>40.34-C45</f>
        <v>38.720000000000006</v>
      </c>
      <c r="D24" s="483"/>
      <c r="E24" s="22">
        <f>1.4-0.81</f>
        <v>0.58999999999999986</v>
      </c>
      <c r="F24" s="483"/>
      <c r="G24" s="17">
        <f t="shared" si="3"/>
        <v>38.13000000000001</v>
      </c>
      <c r="H24" s="485"/>
      <c r="I24" s="42"/>
      <c r="J24" s="484"/>
      <c r="K24" s="476"/>
      <c r="L24" s="476"/>
      <c r="M24" s="476"/>
      <c r="N24" s="340"/>
      <c r="O24" s="40"/>
      <c r="P24" s="40"/>
      <c r="Q24" s="1"/>
      <c r="R24" s="412"/>
      <c r="S24" s="413"/>
      <c r="T24" s="414"/>
      <c r="U24" s="414"/>
      <c r="V24" s="414"/>
      <c r="W24" s="415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P23+G32-35.4+0.47</f>
        <v>-0.54999999999998184</v>
      </c>
      <c r="Q25" s="1"/>
      <c r="R25" s="416"/>
      <c r="S25" s="417"/>
      <c r="T25" s="324"/>
      <c r="U25" s="324"/>
      <c r="V25" s="324"/>
      <c r="W25" s="418"/>
    </row>
    <row r="26" spans="1:23">
      <c r="A26" s="477" t="s">
        <v>14</v>
      </c>
      <c r="B26" s="1" t="s">
        <v>21</v>
      </c>
      <c r="C26" s="43"/>
      <c r="D26" s="478">
        <f>SUM(C26:C32)</f>
        <v>2.74</v>
      </c>
      <c r="E26" s="43"/>
      <c r="F26" s="479"/>
      <c r="G26" s="41">
        <f>C26-E26</f>
        <v>0</v>
      </c>
      <c r="H26" s="479">
        <f>SUM(G26:G32)</f>
        <v>2.1920000000000002</v>
      </c>
      <c r="I26" s="1"/>
      <c r="J26" s="478">
        <f>H26</f>
        <v>2.1920000000000002</v>
      </c>
      <c r="K26" s="480"/>
      <c r="L26" s="480"/>
      <c r="M26" s="480"/>
      <c r="N26" s="470"/>
      <c r="O26" s="471"/>
      <c r="P26" s="471">
        <f>J26-K26-M26</f>
        <v>2.1920000000000002</v>
      </c>
      <c r="Q26" s="1"/>
      <c r="R26" s="419"/>
      <c r="S26" s="420"/>
      <c r="T26" s="420"/>
      <c r="U26" s="420"/>
      <c r="V26" s="421"/>
      <c r="W26" s="422"/>
    </row>
    <row r="27" spans="1:23">
      <c r="A27" s="477"/>
      <c r="B27" s="1" t="s">
        <v>22</v>
      </c>
      <c r="C27" s="43">
        <f>0.2+0.54</f>
        <v>0.74</v>
      </c>
      <c r="D27" s="478"/>
      <c r="E27" s="43">
        <f>C27*0.2</f>
        <v>0.14799999999999999</v>
      </c>
      <c r="F27" s="479"/>
      <c r="G27" s="41">
        <f t="shared" ref="G27:G32" si="4">C27-E27</f>
        <v>0.59199999999999997</v>
      </c>
      <c r="H27" s="479"/>
      <c r="I27" s="1"/>
      <c r="J27" s="478"/>
      <c r="K27" s="480"/>
      <c r="L27" s="480"/>
      <c r="M27" s="480"/>
      <c r="N27" s="470"/>
      <c r="O27" s="471"/>
      <c r="P27" s="471"/>
      <c r="Q27" s="1"/>
      <c r="R27" s="406"/>
      <c r="S27" s="408"/>
      <c r="T27" s="408"/>
      <c r="U27" s="408"/>
      <c r="V27" s="407"/>
      <c r="W27" s="423"/>
    </row>
    <row r="28" spans="1:23">
      <c r="A28" s="477"/>
      <c r="B28" s="1" t="s">
        <v>26</v>
      </c>
      <c r="C28" s="43"/>
      <c r="D28" s="478"/>
      <c r="E28" s="43"/>
      <c r="F28" s="479"/>
      <c r="G28" s="41">
        <f t="shared" si="4"/>
        <v>0</v>
      </c>
      <c r="H28" s="479"/>
      <c r="I28" s="1"/>
      <c r="J28" s="478"/>
      <c r="K28" s="480"/>
      <c r="L28" s="480" t="e">
        <v>#REF!</v>
      </c>
      <c r="M28" s="480"/>
      <c r="N28" s="470" t="e">
        <v>#REF!</v>
      </c>
      <c r="O28" s="471" t="e">
        <v>#REF!</v>
      </c>
      <c r="P28" s="471"/>
      <c r="Q28" s="1"/>
      <c r="R28" s="406"/>
      <c r="S28" s="408"/>
      <c r="T28" s="408"/>
      <c r="U28" s="408"/>
      <c r="V28" s="407"/>
      <c r="W28" s="423"/>
    </row>
    <row r="29" spans="1:23">
      <c r="A29" s="477"/>
      <c r="B29" s="1" t="s">
        <v>23</v>
      </c>
      <c r="C29" s="424">
        <v>0</v>
      </c>
      <c r="D29" s="478"/>
      <c r="E29" s="43">
        <f t="shared" ref="E29:E31" si="5">C29*0.2</f>
        <v>0</v>
      </c>
      <c r="F29" s="479"/>
      <c r="G29" s="41">
        <f>C29-E29</f>
        <v>0</v>
      </c>
      <c r="H29" s="479"/>
      <c r="I29" s="1"/>
      <c r="J29" s="478"/>
      <c r="K29" s="480"/>
      <c r="L29" s="480" t="e">
        <v>#REF!</v>
      </c>
      <c r="M29" s="480"/>
      <c r="N29" s="470" t="e">
        <v>#REF!</v>
      </c>
      <c r="O29" s="471" t="e">
        <v>#REF!</v>
      </c>
      <c r="P29" s="471"/>
      <c r="Q29" s="1"/>
      <c r="R29" s="425">
        <f>SUM(S29:W29)</f>
        <v>3.4388423502036063</v>
      </c>
      <c r="S29" s="426">
        <f>0.05</f>
        <v>0.05</v>
      </c>
      <c r="T29" s="426">
        <f>(11.86+0.62-0.47)*G32/(P23+G32)+1.25</f>
        <v>1.8089296102385104</v>
      </c>
      <c r="U29" s="426">
        <f>(22.56*16.7/(16.7+5.7))*G32/(P23+G32)+0.93*7.3/(7.3+0.7)-U38</f>
        <v>1.2313724445275489</v>
      </c>
      <c r="V29" s="426">
        <f>(22.56*5.7/(16.7+5.7))*G32/(P23+G32)+0.93*0.7/(7.3+0.7)</f>
        <v>0.34854029543754661</v>
      </c>
      <c r="W29" s="427">
        <v>0</v>
      </c>
    </row>
    <row r="30" spans="1:23">
      <c r="A30" s="477"/>
      <c r="B30" s="1" t="s">
        <v>24</v>
      </c>
      <c r="C30" s="43"/>
      <c r="D30" s="478"/>
      <c r="E30" s="43">
        <f t="shared" si="5"/>
        <v>0</v>
      </c>
      <c r="F30" s="479"/>
      <c r="G30" s="41">
        <f t="shared" si="4"/>
        <v>0</v>
      </c>
      <c r="H30" s="479"/>
      <c r="I30" s="1"/>
      <c r="J30" s="478"/>
      <c r="K30" s="480"/>
      <c r="L30" s="480"/>
      <c r="M30" s="480"/>
      <c r="N30" s="470"/>
      <c r="O30" s="471"/>
      <c r="P30" s="471"/>
      <c r="Q30" s="1"/>
      <c r="R30" s="406"/>
      <c r="S30" s="408"/>
      <c r="T30" s="408"/>
      <c r="U30" s="408"/>
      <c r="V30" s="407"/>
      <c r="W30" s="423"/>
    </row>
    <row r="31" spans="1:23">
      <c r="A31" s="477"/>
      <c r="B31" s="1" t="s">
        <v>33</v>
      </c>
      <c r="C31" s="43"/>
      <c r="D31" s="478"/>
      <c r="E31" s="43">
        <f t="shared" si="5"/>
        <v>0</v>
      </c>
      <c r="F31" s="479"/>
      <c r="G31" s="41">
        <f t="shared" si="4"/>
        <v>0</v>
      </c>
      <c r="H31" s="479"/>
      <c r="I31" s="1"/>
      <c r="J31" s="478"/>
      <c r="K31" s="480"/>
      <c r="L31" s="480"/>
      <c r="M31" s="480"/>
      <c r="N31" s="470"/>
      <c r="O31" s="471"/>
      <c r="P31" s="471"/>
      <c r="Q31" s="1"/>
      <c r="R31" s="406"/>
      <c r="S31" s="408"/>
      <c r="T31" s="408"/>
      <c r="U31" s="408"/>
      <c r="V31" s="407"/>
      <c r="W31" s="423"/>
    </row>
    <row r="32" spans="1:23">
      <c r="A32" s="477"/>
      <c r="B32" s="1" t="s">
        <v>29</v>
      </c>
      <c r="C32" s="43">
        <v>2</v>
      </c>
      <c r="D32" s="478"/>
      <c r="E32" s="43">
        <f>C32*0.2</f>
        <v>0.4</v>
      </c>
      <c r="F32" s="479"/>
      <c r="G32" s="41">
        <f t="shared" si="4"/>
        <v>1.6</v>
      </c>
      <c r="H32" s="479"/>
      <c r="I32" s="1"/>
      <c r="J32" s="478"/>
      <c r="K32" s="480"/>
      <c r="L32" s="480"/>
      <c r="M32" s="480"/>
      <c r="N32" s="470"/>
      <c r="O32" s="471"/>
      <c r="P32" s="471"/>
      <c r="Q32" s="1"/>
      <c r="R32" s="412"/>
      <c r="S32" s="414"/>
      <c r="T32" s="414"/>
      <c r="U32" s="414"/>
      <c r="V32" s="413"/>
      <c r="W32" s="428"/>
    </row>
    <row r="33" spans="1:24">
      <c r="A33" s="341"/>
      <c r="B33" s="1"/>
      <c r="C33" s="34"/>
      <c r="D33" s="348"/>
      <c r="E33" s="34"/>
      <c r="F33" s="342"/>
      <c r="G33" s="41"/>
      <c r="H33" s="342"/>
      <c r="I33" s="1"/>
      <c r="J33" s="348"/>
      <c r="K33" s="342"/>
      <c r="L33" s="342"/>
      <c r="M33" s="342"/>
      <c r="N33" s="342"/>
      <c r="O33" s="342"/>
      <c r="P33" s="342"/>
      <c r="Q33" s="1"/>
      <c r="R33" s="429"/>
      <c r="S33" s="430"/>
      <c r="T33" s="430"/>
      <c r="U33" s="430"/>
      <c r="V33" s="430"/>
      <c r="W33" s="409"/>
    </row>
    <row r="34" spans="1:24">
      <c r="A34" s="341"/>
      <c r="B34" s="1"/>
      <c r="C34" s="34"/>
      <c r="D34" s="348"/>
      <c r="E34" s="34"/>
      <c r="F34" s="342"/>
      <c r="G34" s="41"/>
      <c r="H34" s="342"/>
      <c r="I34" s="1"/>
      <c r="J34" s="348"/>
      <c r="K34" s="342"/>
      <c r="L34" s="342"/>
      <c r="M34" s="342"/>
      <c r="N34" s="342"/>
      <c r="O34" s="342"/>
      <c r="P34" s="342"/>
      <c r="Q34" s="1"/>
      <c r="R34" s="429"/>
      <c r="S34" s="430"/>
      <c r="T34" s="430"/>
      <c r="U34" s="430"/>
      <c r="V34" s="430"/>
      <c r="W34" s="409"/>
    </row>
    <row r="35" spans="1:24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431">
        <f>SUM(G36:G41,G26:G31,G21:G23)-10.91+8</f>
        <v>0.78200000000000003</v>
      </c>
      <c r="Q35" s="1"/>
      <c r="R35" s="416"/>
      <c r="S35" s="417"/>
      <c r="T35" s="324"/>
      <c r="U35" s="324"/>
      <c r="V35" s="324"/>
      <c r="W35" s="418"/>
      <c r="X35" s="432">
        <f>SUM(U23:V38)-22.56-0.93</f>
        <v>-3.8857805861880479E-15</v>
      </c>
    </row>
    <row r="36" spans="1:24">
      <c r="A36" s="472" t="s">
        <v>34</v>
      </c>
      <c r="B36" s="1" t="s">
        <v>21</v>
      </c>
      <c r="D36" s="472">
        <f>SUM(C36:C46)</f>
        <v>102.23</v>
      </c>
      <c r="E36" s="346"/>
      <c r="F36" s="474"/>
      <c r="G36" s="17">
        <f t="shared" si="3"/>
        <v>0</v>
      </c>
      <c r="H36" s="472">
        <f>SUM(G36:G46)</f>
        <v>97.17</v>
      </c>
      <c r="I36" s="345"/>
      <c r="J36" s="345"/>
      <c r="K36" s="345"/>
      <c r="L36" s="345"/>
      <c r="M36" s="345"/>
      <c r="N36" s="345"/>
      <c r="O36" s="345"/>
      <c r="P36" s="49"/>
      <c r="R36" s="433"/>
      <c r="S36" s="420"/>
      <c r="T36" s="434"/>
      <c r="U36" s="420"/>
      <c r="V36" s="435"/>
      <c r="W36" s="436"/>
    </row>
    <row r="37" spans="1:24">
      <c r="A37" s="472"/>
      <c r="B37" s="1" t="s">
        <v>23</v>
      </c>
      <c r="C37" s="41">
        <f>9.8-8-C22</f>
        <v>1.6000000000000008</v>
      </c>
      <c r="D37" s="472"/>
      <c r="E37" s="346">
        <v>0</v>
      </c>
      <c r="F37" s="474"/>
      <c r="G37" s="17">
        <f>C37-E37</f>
        <v>1.6000000000000008</v>
      </c>
      <c r="H37" s="472"/>
      <c r="I37" s="345"/>
      <c r="J37" s="345"/>
      <c r="K37" s="345"/>
      <c r="L37" s="345"/>
      <c r="M37" s="345"/>
      <c r="N37" s="345"/>
      <c r="O37" s="345"/>
      <c r="P37" s="51">
        <f>SUM(G36:G40)</f>
        <v>2.2000000000000006</v>
      </c>
      <c r="R37" s="429">
        <f>SUM(S37:W39)</f>
        <v>0.4</v>
      </c>
      <c r="S37" s="295"/>
      <c r="T37" s="295"/>
      <c r="U37" s="295"/>
      <c r="V37" s="295">
        <v>0</v>
      </c>
      <c r="W37" s="437"/>
    </row>
    <row r="38" spans="1:24">
      <c r="A38" s="472"/>
      <c r="B38" s="1" t="s">
        <v>33</v>
      </c>
      <c r="C38" s="41"/>
      <c r="D38" s="472"/>
      <c r="E38" s="346"/>
      <c r="F38" s="474"/>
      <c r="G38" s="17">
        <f t="shared" si="3"/>
        <v>0</v>
      </c>
      <c r="H38" s="472"/>
      <c r="I38" s="345"/>
      <c r="J38" s="345"/>
      <c r="K38" s="345"/>
      <c r="L38" s="345"/>
      <c r="M38" s="345"/>
      <c r="N38" s="50">
        <f>SUM(P23,P26,P37)-R23-R29-R37</f>
        <v>1.200000000002166E-2</v>
      </c>
      <c r="O38" s="345"/>
      <c r="P38" s="53"/>
      <c r="R38" s="429"/>
      <c r="S38" s="438"/>
      <c r="T38" s="294">
        <v>0</v>
      </c>
      <c r="U38" s="295">
        <f>G40</f>
        <v>0.4</v>
      </c>
      <c r="V38" s="410">
        <v>0</v>
      </c>
      <c r="W38" s="418"/>
    </row>
    <row r="39" spans="1:24" ht="13.5" thickBot="1">
      <c r="A39" s="472"/>
      <c r="B39" s="1" t="s">
        <v>35</v>
      </c>
      <c r="C39" s="41">
        <v>0.2</v>
      </c>
      <c r="D39" s="472"/>
      <c r="E39" s="346"/>
      <c r="F39" s="474"/>
      <c r="G39" s="17">
        <f t="shared" si="3"/>
        <v>0.2</v>
      </c>
      <c r="H39" s="472"/>
      <c r="I39" s="345"/>
      <c r="J39" s="345"/>
      <c r="K39" s="345"/>
      <c r="L39" s="345"/>
      <c r="M39" s="345"/>
      <c r="N39" s="345"/>
      <c r="O39" s="345"/>
      <c r="P39" s="53"/>
      <c r="R39" s="429"/>
      <c r="S39" s="439"/>
      <c r="T39" s="440"/>
      <c r="U39" s="440"/>
      <c r="V39" s="441"/>
      <c r="W39" s="442"/>
    </row>
    <row r="40" spans="1:24">
      <c r="A40" s="472"/>
      <c r="B40" s="1" t="s">
        <v>36</v>
      </c>
      <c r="C40" s="41">
        <v>0.4</v>
      </c>
      <c r="D40" s="472"/>
      <c r="E40" s="346"/>
      <c r="F40" s="474"/>
      <c r="G40" s="17">
        <f t="shared" si="3"/>
        <v>0.4</v>
      </c>
      <c r="H40" s="472"/>
      <c r="I40" s="345"/>
      <c r="J40" s="345"/>
      <c r="K40" s="345"/>
      <c r="L40" s="345"/>
      <c r="M40" s="345"/>
      <c r="N40" s="345"/>
      <c r="O40" s="345"/>
      <c r="P40" s="51">
        <f>G41</f>
        <v>0.7</v>
      </c>
      <c r="R40" s="443">
        <f>W40</f>
        <v>0.7</v>
      </c>
      <c r="S40" s="134"/>
      <c r="T40" s="135"/>
      <c r="U40" s="134"/>
      <c r="V40" s="135"/>
      <c r="W40" s="135">
        <f>G41</f>
        <v>0.7</v>
      </c>
    </row>
    <row r="41" spans="1:24">
      <c r="A41" s="472"/>
      <c r="B41" s="1" t="s">
        <v>37</v>
      </c>
      <c r="C41" s="41">
        <v>0.7</v>
      </c>
      <c r="D41" s="472"/>
      <c r="E41" s="54"/>
      <c r="F41" s="474"/>
      <c r="G41" s="17">
        <f t="shared" si="3"/>
        <v>0.7</v>
      </c>
      <c r="H41" s="472"/>
      <c r="I41" s="345"/>
      <c r="J41" s="345"/>
      <c r="K41" s="345"/>
      <c r="L41" s="345"/>
      <c r="M41" s="345"/>
      <c r="N41" s="345"/>
      <c r="O41" s="345"/>
      <c r="P41" s="51">
        <f>G42</f>
        <v>71.989999999999995</v>
      </c>
      <c r="R41" s="444">
        <f>SUM(S41:W41)</f>
        <v>71.960000000000008</v>
      </c>
      <c r="S41" s="135">
        <v>2.2200000000000002</v>
      </c>
      <c r="T41" s="135">
        <v>5.93</v>
      </c>
      <c r="U41" s="135">
        <f>14.72*8.8/(8.8+4.2)</f>
        <v>9.9643076923076954</v>
      </c>
      <c r="V41" s="135">
        <f>14.72*4.2/(8.8+4.2)</f>
        <v>4.7556923076923079</v>
      </c>
      <c r="W41" s="136">
        <f>49.09</f>
        <v>49.09</v>
      </c>
    </row>
    <row r="42" spans="1:24">
      <c r="A42" s="472"/>
      <c r="B42" s="1" t="s">
        <v>38</v>
      </c>
      <c r="C42" s="41">
        <f>91.82-C43-C17</f>
        <v>76.829999999999984</v>
      </c>
      <c r="D42" s="472"/>
      <c r="E42" s="54">
        <f>C42-G42</f>
        <v>4.8399999999999892</v>
      </c>
      <c r="F42" s="474"/>
      <c r="G42" s="17">
        <f>71.99</f>
        <v>71.989999999999995</v>
      </c>
      <c r="H42" s="472"/>
      <c r="I42" s="345"/>
      <c r="J42" s="345"/>
      <c r="K42" s="345"/>
      <c r="L42" s="345"/>
      <c r="M42" s="345"/>
      <c r="N42" s="345"/>
      <c r="O42" s="345"/>
      <c r="P42" s="53"/>
      <c r="R42" s="444"/>
      <c r="S42" s="134"/>
      <c r="T42" s="134"/>
      <c r="U42" s="134"/>
      <c r="V42" s="134"/>
      <c r="W42" s="134"/>
    </row>
    <row r="43" spans="1:24">
      <c r="A43" s="472"/>
      <c r="B43" s="1" t="s">
        <v>39</v>
      </c>
      <c r="C43" s="41">
        <v>13.68</v>
      </c>
      <c r="D43" s="472"/>
      <c r="E43" s="54"/>
      <c r="F43" s="474"/>
      <c r="G43" s="17">
        <f>13.68</f>
        <v>13.68</v>
      </c>
      <c r="H43" s="472"/>
      <c r="I43" s="345"/>
      <c r="J43" s="345"/>
      <c r="K43" s="345"/>
      <c r="L43" s="345"/>
      <c r="M43" s="345"/>
      <c r="N43" s="345"/>
      <c r="O43" s="345"/>
      <c r="P43" s="51">
        <f>G43-E53</f>
        <v>11.913402765132105</v>
      </c>
      <c r="R43" s="444">
        <f t="shared" ref="R43" si="6">SUM(S43:W43)</f>
        <v>11.913402765132105</v>
      </c>
      <c r="S43" s="135"/>
      <c r="T43" s="135">
        <f>P43</f>
        <v>11.913402765132105</v>
      </c>
      <c r="U43" s="135"/>
      <c r="V43" s="135"/>
      <c r="W43" s="135"/>
    </row>
    <row r="44" spans="1:24">
      <c r="A44" s="472"/>
      <c r="B44" s="1" t="s">
        <v>40</v>
      </c>
      <c r="C44" s="41"/>
      <c r="D44" s="472"/>
      <c r="E44" s="54"/>
      <c r="F44" s="474"/>
      <c r="G44" s="17">
        <f t="shared" si="3"/>
        <v>0</v>
      </c>
      <c r="H44" s="472"/>
      <c r="I44" s="345"/>
      <c r="J44" s="345"/>
      <c r="K44" s="345"/>
      <c r="L44" s="345"/>
      <c r="M44" s="345"/>
      <c r="N44" s="345"/>
      <c r="O44" s="345"/>
      <c r="P44" s="53"/>
      <c r="R44" s="444"/>
      <c r="S44" s="135"/>
      <c r="T44" s="135"/>
      <c r="U44" s="135"/>
      <c r="V44" s="135"/>
      <c r="W44" s="135"/>
    </row>
    <row r="45" spans="1:24">
      <c r="A45" s="472"/>
      <c r="B45" s="1" t="s">
        <v>41</v>
      </c>
      <c r="C45" s="41">
        <v>1.62</v>
      </c>
      <c r="D45" s="472"/>
      <c r="E45" s="54"/>
      <c r="F45" s="474"/>
      <c r="G45" s="17">
        <f t="shared" si="3"/>
        <v>1.62</v>
      </c>
      <c r="H45" s="472"/>
      <c r="I45" s="345"/>
      <c r="J45" s="345"/>
      <c r="K45" s="345"/>
      <c r="L45" s="345"/>
      <c r="M45" s="345"/>
      <c r="N45" s="345"/>
      <c r="O45" s="345"/>
      <c r="P45" s="53"/>
      <c r="R45" s="444"/>
      <c r="S45" s="136"/>
      <c r="T45" s="135"/>
      <c r="U45" s="136"/>
      <c r="V45" s="160"/>
      <c r="W45" s="135"/>
    </row>
    <row r="46" spans="1:24">
      <c r="A46" s="473"/>
      <c r="B46" s="1" t="s">
        <v>42</v>
      </c>
      <c r="C46" s="41">
        <f>12.42-C18</f>
        <v>7.2</v>
      </c>
      <c r="D46" s="473"/>
      <c r="E46" s="55"/>
      <c r="F46" s="475"/>
      <c r="G46" s="17">
        <f>3.42+3.44+0.12</f>
        <v>6.9799999999999995</v>
      </c>
      <c r="H46" s="473"/>
      <c r="I46" s="345"/>
      <c r="J46" s="345"/>
      <c r="K46" s="345"/>
      <c r="L46" s="345"/>
      <c r="M46" s="345"/>
      <c r="N46" s="345"/>
      <c r="O46" s="345"/>
      <c r="P46" s="56">
        <f>G46-E51</f>
        <v>5.7508898214426036</v>
      </c>
      <c r="R46" s="445">
        <f>SUM(S46:W46)</f>
        <v>5.7508898214426036</v>
      </c>
      <c r="S46" s="162"/>
      <c r="T46" s="163">
        <f>P46-U46</f>
        <v>5.3808898214426035</v>
      </c>
      <c r="U46" s="164">
        <f>0.31+0.06</f>
        <v>0.37</v>
      </c>
      <c r="V46" s="165"/>
      <c r="W46" s="166"/>
    </row>
    <row r="47" spans="1:24">
      <c r="A47" s="1"/>
      <c r="B47" s="1"/>
      <c r="C47" s="57"/>
      <c r="D47" s="1"/>
      <c r="E47" s="58">
        <f>SUM(E26:E27,E29:E32)-(0.5+0.08)</f>
        <v>-3.1999999999999917E-2</v>
      </c>
      <c r="F47" s="1"/>
      <c r="G47" s="17"/>
      <c r="H47" s="1"/>
      <c r="I47" s="1"/>
      <c r="J47" s="1"/>
      <c r="K47" s="1"/>
      <c r="L47" s="1"/>
      <c r="M47" s="1"/>
      <c r="N47" s="1"/>
      <c r="O47" s="1"/>
      <c r="P47" s="59">
        <f>G42-71.99</f>
        <v>0</v>
      </c>
      <c r="Q47" s="1"/>
      <c r="R47" s="446"/>
    </row>
    <row r="48" spans="1:24">
      <c r="B48" s="1"/>
      <c r="C48" s="60"/>
      <c r="D48" s="61"/>
      <c r="E48" s="62">
        <f>E42-(83.02-78.11+0.14-0.19-0.07)</f>
        <v>4.9999999999993605E-2</v>
      </c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>
        <f>G46-3.42-3.44-0.12</f>
        <v>-3.3306690738754696E-16</v>
      </c>
      <c r="Q48" s="1"/>
      <c r="R48" s="432"/>
    </row>
    <row r="49" spans="1:17">
      <c r="C49" s="66"/>
      <c r="D49" s="61"/>
      <c r="E49" s="62">
        <f>E46-(3.65-3.22-0.57+0.36)</f>
        <v>-0.21999999999999975</v>
      </c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  <c r="Q49" s="1"/>
    </row>
    <row r="50" spans="1:17">
      <c r="A50" s="22" t="s">
        <v>43</v>
      </c>
      <c r="C50" s="66"/>
      <c r="D50" s="61"/>
      <c r="G50" s="61"/>
      <c r="H50" s="61"/>
      <c r="I50" s="34"/>
      <c r="J50" s="67"/>
      <c r="K50" s="67"/>
      <c r="L50" s="64"/>
      <c r="M50" s="61"/>
      <c r="N50" s="67"/>
      <c r="O50" s="67"/>
      <c r="P50" s="1"/>
      <c r="Q50" s="1"/>
    </row>
    <row r="51" spans="1:17">
      <c r="B51" s="1" t="s">
        <v>44</v>
      </c>
      <c r="C51" s="68"/>
      <c r="D51" s="61"/>
      <c r="E51" s="17">
        <f>[3]Table10s2!$S$21*1000/4000000</f>
        <v>1.2291101785573955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Q51" s="1"/>
    </row>
    <row r="52" spans="1:17">
      <c r="B52" s="1" t="s">
        <v>41</v>
      </c>
      <c r="C52" s="69"/>
      <c r="D52" s="17"/>
      <c r="E52" s="70">
        <f>G45</f>
        <v>1.62</v>
      </c>
      <c r="G52" s="61"/>
      <c r="H52" s="61"/>
      <c r="I52" s="34"/>
      <c r="J52" s="67"/>
      <c r="K52" s="67"/>
      <c r="L52" s="64"/>
      <c r="M52" s="61"/>
      <c r="N52" s="67"/>
      <c r="O52" s="67"/>
      <c r="P52" s="1"/>
      <c r="Q52" s="1"/>
    </row>
    <row r="53" spans="1:17">
      <c r="B53" s="1" t="s">
        <v>39</v>
      </c>
      <c r="C53" s="69"/>
      <c r="D53" s="17"/>
      <c r="E53" s="71">
        <f>(([3]Table10s2!$S$20+[3]Table10s2!$S$22)*1000-E52*2.394*1000000)/3200000</f>
        <v>1.7665972348678951</v>
      </c>
      <c r="G53" s="61"/>
      <c r="H53" s="61"/>
      <c r="I53" s="34"/>
      <c r="J53" s="67"/>
      <c r="K53" s="67"/>
      <c r="L53" s="64"/>
      <c r="M53" s="64"/>
      <c r="N53" s="67"/>
      <c r="O53" s="67"/>
      <c r="P53" s="1"/>
      <c r="Q53" s="1"/>
    </row>
    <row r="54" spans="1:17">
      <c r="B54" s="1"/>
      <c r="C54" s="69"/>
      <c r="D54" s="17"/>
      <c r="E54" s="447"/>
      <c r="F54" s="447"/>
      <c r="G54" s="61"/>
      <c r="H54" s="61"/>
      <c r="I54" s="34"/>
      <c r="J54" s="67"/>
      <c r="K54" s="67"/>
      <c r="L54" s="64"/>
      <c r="M54" s="61"/>
      <c r="N54" s="67"/>
      <c r="O54" s="67"/>
      <c r="P54" s="1"/>
      <c r="Q54" s="1"/>
    </row>
    <row r="55" spans="1:17">
      <c r="B55" s="1"/>
      <c r="C55" s="69"/>
      <c r="D55" s="17"/>
      <c r="E55" s="447"/>
      <c r="F55" s="447"/>
      <c r="G55" s="61"/>
      <c r="H55" s="61"/>
      <c r="I55" s="34"/>
      <c r="J55" s="67"/>
      <c r="K55" s="67"/>
      <c r="L55" s="66"/>
      <c r="M55" s="61"/>
      <c r="N55" s="60"/>
      <c r="O55" s="60"/>
      <c r="P55" s="1"/>
      <c r="Q55" s="1"/>
    </row>
    <row r="56" spans="1:17">
      <c r="B56" s="1"/>
      <c r="C56" s="69"/>
      <c r="D56" s="17"/>
      <c r="E56" s="447"/>
      <c r="F56" s="447"/>
      <c r="G56" s="61"/>
      <c r="H56" s="61"/>
      <c r="I56" s="34"/>
      <c r="J56" s="67"/>
      <c r="K56" s="67"/>
      <c r="L56" s="64"/>
      <c r="M56" s="61"/>
      <c r="N56" s="67"/>
      <c r="O56" s="67"/>
      <c r="P56" s="1"/>
      <c r="Q56" s="1"/>
    </row>
    <row r="57" spans="1:17">
      <c r="B57" s="1"/>
      <c r="C57" s="69"/>
      <c r="D57" s="17"/>
      <c r="E57" s="447"/>
      <c r="F57" s="447"/>
      <c r="G57" s="61"/>
      <c r="H57" s="61"/>
      <c r="I57" s="67"/>
      <c r="J57" s="67"/>
      <c r="K57" s="67"/>
      <c r="L57" s="64"/>
      <c r="M57" s="61"/>
      <c r="N57" s="67"/>
      <c r="O57" s="67"/>
      <c r="P57" s="1"/>
      <c r="Q57" s="1"/>
    </row>
    <row r="58" spans="1:17">
      <c r="B58" s="1"/>
      <c r="C58" s="448"/>
      <c r="D58" s="448"/>
      <c r="E58" s="448"/>
      <c r="F58" s="448"/>
      <c r="G58" s="61"/>
      <c r="H58" s="61"/>
      <c r="I58" s="67"/>
      <c r="J58" s="67"/>
      <c r="K58" s="67"/>
      <c r="L58" s="64"/>
      <c r="M58" s="64"/>
      <c r="N58" s="64"/>
      <c r="O58" s="64"/>
      <c r="P58" s="1"/>
      <c r="Q58" s="1"/>
    </row>
    <row r="59" spans="1:17">
      <c r="B59" s="1"/>
      <c r="C59" s="61"/>
      <c r="D59" s="61"/>
      <c r="E59" s="61"/>
      <c r="F59" s="61"/>
      <c r="G59" s="61"/>
      <c r="H59" s="61"/>
      <c r="I59" s="67"/>
      <c r="J59" s="67"/>
      <c r="K59" s="67"/>
      <c r="L59" s="64"/>
      <c r="M59" s="449"/>
      <c r="N59" s="450"/>
      <c r="O59" s="450"/>
      <c r="P59" s="1"/>
      <c r="Q59" s="1"/>
    </row>
    <row r="60" spans="1:17">
      <c r="B60" s="1"/>
      <c r="C60" s="61"/>
      <c r="D60" s="61"/>
      <c r="E60" s="61"/>
      <c r="F60" s="61"/>
      <c r="G60" s="61"/>
      <c r="H60" s="61"/>
      <c r="I60" s="67"/>
      <c r="J60" s="67"/>
      <c r="K60" s="67"/>
      <c r="L60" s="64"/>
      <c r="M60" s="449"/>
      <c r="N60" s="450"/>
      <c r="O60" s="450"/>
      <c r="P60" s="1"/>
      <c r="Q60" s="1"/>
    </row>
    <row r="64" spans="1:17">
      <c r="C64" s="451"/>
    </row>
    <row r="65" spans="3:3">
      <c r="C65" s="452"/>
    </row>
    <row r="66" spans="3:3">
      <c r="C66" s="451"/>
    </row>
    <row r="67" spans="3:3">
      <c r="C67" s="451"/>
    </row>
    <row r="68" spans="3:3">
      <c r="C68" s="453"/>
    </row>
  </sheetData>
  <mergeCells count="37">
    <mergeCell ref="P7:P19"/>
    <mergeCell ref="C1:H1"/>
    <mergeCell ref="J1:P1"/>
    <mergeCell ref="C2:D2"/>
    <mergeCell ref="E2:H2"/>
    <mergeCell ref="J2:J4"/>
    <mergeCell ref="K2:P3"/>
    <mergeCell ref="E3:F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N26:N32"/>
    <mergeCell ref="O26:O32"/>
    <mergeCell ref="P26:P32"/>
    <mergeCell ref="A36:A46"/>
    <mergeCell ref="D36:D46"/>
    <mergeCell ref="F36:F46"/>
    <mergeCell ref="H36:H46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K10"/>
  <sheetViews>
    <sheetView workbookViewId="0"/>
  </sheetViews>
  <sheetFormatPr baseColWidth="10" defaultRowHeight="15"/>
  <cols>
    <col min="1" max="16384" width="11.42578125" style="300"/>
  </cols>
  <sheetData>
    <row r="1" spans="1:11">
      <c r="A1" s="300" t="s">
        <v>222</v>
      </c>
    </row>
    <row r="3" spans="1:11">
      <c r="B3" s="300" t="s">
        <v>239</v>
      </c>
    </row>
    <row r="4" spans="1:11">
      <c r="C4" s="300" t="s">
        <v>54</v>
      </c>
      <c r="D4" s="300" t="s">
        <v>224</v>
      </c>
      <c r="E4" s="300" t="s">
        <v>225</v>
      </c>
      <c r="F4" s="300" t="s">
        <v>226</v>
      </c>
      <c r="G4" s="300" t="s">
        <v>134</v>
      </c>
      <c r="H4" s="300" t="s">
        <v>227</v>
      </c>
      <c r="I4" s="300" t="s">
        <v>10</v>
      </c>
      <c r="J4" s="300" t="s">
        <v>228</v>
      </c>
      <c r="K4" s="300" t="s">
        <v>229</v>
      </c>
    </row>
    <row r="5" spans="1:11">
      <c r="A5" s="300" t="s">
        <v>230</v>
      </c>
      <c r="B5" s="300" t="s">
        <v>231</v>
      </c>
      <c r="C5" s="300">
        <v>3.0888198</v>
      </c>
      <c r="D5" s="300">
        <v>1.1872600000000001E-2</v>
      </c>
      <c r="E5" s="300">
        <v>19.294653</v>
      </c>
      <c r="F5" s="300">
        <v>9.7085719000000008</v>
      </c>
      <c r="G5" s="300">
        <v>33.971479000000002</v>
      </c>
      <c r="H5" s="300">
        <v>1.666364</v>
      </c>
      <c r="I5" s="300">
        <v>67.741760299999996</v>
      </c>
      <c r="J5" s="300">
        <v>19.417143800000002</v>
      </c>
      <c r="K5" s="300">
        <v>87.158904100000001</v>
      </c>
    </row>
    <row r="6" spans="1:11">
      <c r="B6" s="300" t="s">
        <v>232</v>
      </c>
      <c r="C6" s="300">
        <v>2.4270782</v>
      </c>
      <c r="D6" s="300">
        <v>7.4991199999999994E-2</v>
      </c>
      <c r="E6" s="300">
        <v>3.1854347000000001</v>
      </c>
      <c r="F6" s="300">
        <v>3.2323195</v>
      </c>
      <c r="G6" s="300">
        <v>1.4911114999999999</v>
      </c>
      <c r="H6" s="300">
        <v>1.0726507000000001</v>
      </c>
      <c r="I6" s="300">
        <v>11.4835858</v>
      </c>
      <c r="J6" s="300">
        <v>6.464639</v>
      </c>
      <c r="K6" s="300">
        <v>17.948224799999998</v>
      </c>
    </row>
    <row r="7" spans="1:11">
      <c r="B7" s="300" t="s">
        <v>233</v>
      </c>
      <c r="C7" s="300">
        <v>7.6454529999999998</v>
      </c>
      <c r="D7" s="300">
        <v>0.26575090000000001</v>
      </c>
      <c r="E7" s="300">
        <v>6.5657907</v>
      </c>
      <c r="F7" s="300">
        <v>3.0998155999999999</v>
      </c>
      <c r="G7" s="300">
        <v>0</v>
      </c>
      <c r="H7" s="300">
        <v>13.403691</v>
      </c>
      <c r="I7" s="300">
        <v>30.980501199999999</v>
      </c>
      <c r="J7" s="300">
        <v>6.1996311999999998</v>
      </c>
      <c r="K7" s="300">
        <v>37.180132399999998</v>
      </c>
    </row>
    <row r="8" spans="1:11">
      <c r="B8" s="300" t="s">
        <v>234</v>
      </c>
      <c r="C8" s="300">
        <v>4.0471668999999997</v>
      </c>
      <c r="D8" s="300">
        <v>0</v>
      </c>
      <c r="E8" s="300">
        <v>1.6206830000000001</v>
      </c>
      <c r="F8" s="300">
        <v>0.73463590000000001</v>
      </c>
      <c r="G8" s="300">
        <v>1.4266155</v>
      </c>
      <c r="H8" s="300">
        <v>5.0775933999999996</v>
      </c>
      <c r="I8" s="300">
        <v>12.906694699999999</v>
      </c>
      <c r="J8" s="300">
        <v>1.4692718</v>
      </c>
      <c r="K8" s="300">
        <v>14.375966500000001</v>
      </c>
    </row>
    <row r="9" spans="1:11">
      <c r="B9" s="300" t="s">
        <v>10</v>
      </c>
      <c r="C9" s="300">
        <v>17.2085179</v>
      </c>
      <c r="D9" s="300">
        <v>0.3526147</v>
      </c>
      <c r="E9" s="300">
        <v>30.666561399999999</v>
      </c>
      <c r="F9" s="300">
        <v>16.775342899999998</v>
      </c>
      <c r="G9" s="300">
        <v>36.889206000000001</v>
      </c>
      <c r="H9" s="300">
        <v>21.220299099999998</v>
      </c>
      <c r="I9" s="300">
        <v>123.112542</v>
      </c>
      <c r="J9" s="300">
        <v>33.550685799999997</v>
      </c>
      <c r="K9" s="300">
        <v>156.66322779999999</v>
      </c>
    </row>
    <row r="10" spans="1:11">
      <c r="C10" s="300">
        <v>0.109844014716515</v>
      </c>
      <c r="D10" s="300">
        <v>2.2507815327931099E-3</v>
      </c>
      <c r="E10" s="300">
        <v>0.19574830565312801</v>
      </c>
      <c r="F10" s="300">
        <v>0.107079007215502</v>
      </c>
      <c r="G10" s="300">
        <v>0.23546818559804999</v>
      </c>
      <c r="H10" s="300">
        <v>0.13545169085300801</v>
      </c>
      <c r="I10" s="300">
        <v>0.78584198556899598</v>
      </c>
      <c r="J10" s="300">
        <v>0.21415801443100399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/>
  <dimension ref="A1:G35"/>
  <sheetViews>
    <sheetView workbookViewId="0"/>
  </sheetViews>
  <sheetFormatPr baseColWidth="10" defaultRowHeight="15"/>
  <sheetData>
    <row r="1" spans="1:7">
      <c r="A1" t="s">
        <v>240</v>
      </c>
    </row>
    <row r="3" spans="1:7">
      <c r="A3" t="s">
        <v>212</v>
      </c>
    </row>
    <row r="4" spans="1:7">
      <c r="A4" t="s">
        <v>128</v>
      </c>
      <c r="B4">
        <v>2015</v>
      </c>
      <c r="C4">
        <v>2020</v>
      </c>
      <c r="D4">
        <v>2025</v>
      </c>
      <c r="E4">
        <v>2030</v>
      </c>
      <c r="F4">
        <v>2040</v>
      </c>
      <c r="G4">
        <v>2050</v>
      </c>
    </row>
    <row r="5" spans="1:7">
      <c r="A5" t="s">
        <v>104</v>
      </c>
      <c r="B5">
        <v>25.308019668171202</v>
      </c>
      <c r="C5">
        <v>24.344010698547201</v>
      </c>
      <c r="D5">
        <v>22.530538802537901</v>
      </c>
      <c r="E5">
        <v>16.5347505482708</v>
      </c>
      <c r="F5">
        <v>13.312344444513601</v>
      </c>
      <c r="G5">
        <v>2.1146503112217898</v>
      </c>
    </row>
    <row r="6" spans="1:7">
      <c r="A6" t="s">
        <v>54</v>
      </c>
      <c r="B6">
        <v>18.981014751128399</v>
      </c>
      <c r="C6">
        <v>16.9677157901945</v>
      </c>
      <c r="D6">
        <v>14.034981027112799</v>
      </c>
      <c r="E6">
        <v>12.003004101707701</v>
      </c>
      <c r="F6">
        <v>5.9734878917689302</v>
      </c>
      <c r="G6">
        <v>3.7006380446381302</v>
      </c>
    </row>
    <row r="7" spans="1:7">
      <c r="A7" t="s">
        <v>224</v>
      </c>
      <c r="B7">
        <v>4.2180032780285304</v>
      </c>
      <c r="C7">
        <v>2.9087512783190701</v>
      </c>
      <c r="D7">
        <v>0.91309174478370303</v>
      </c>
      <c r="E7">
        <v>0</v>
      </c>
      <c r="F7">
        <v>0</v>
      </c>
      <c r="G7">
        <v>0</v>
      </c>
    </row>
    <row r="8" spans="1:7">
      <c r="A8" t="s">
        <v>135</v>
      </c>
      <c r="B8">
        <v>1.0545008195071299</v>
      </c>
      <c r="C8">
        <v>1.54406781362761</v>
      </c>
      <c r="D8">
        <v>2.01373746957703</v>
      </c>
      <c r="E8">
        <v>2.4430777996853998</v>
      </c>
      <c r="F8">
        <v>3.2696986354945698</v>
      </c>
      <c r="G8">
        <v>4.4518953920458797</v>
      </c>
    </row>
    <row r="9" spans="1:7">
      <c r="A9" t="s">
        <v>241</v>
      </c>
      <c r="B9">
        <v>1.5817512292607001</v>
      </c>
      <c r="C9">
        <v>2.2892949875659299</v>
      </c>
      <c r="D9">
        <v>4.8292407835226996</v>
      </c>
      <c r="E9">
        <v>8.5735743583626398</v>
      </c>
      <c r="F9">
        <v>12.0797199589105</v>
      </c>
      <c r="G9">
        <v>19.736736238070002</v>
      </c>
    </row>
    <row r="10" spans="1:7">
      <c r="A10" t="s">
        <v>242</v>
      </c>
      <c r="B10">
        <v>1.0545008195071299</v>
      </c>
      <c r="C10">
        <v>0.969583759439688</v>
      </c>
      <c r="D10">
        <v>1.3582239703657599</v>
      </c>
      <c r="E10">
        <v>2.14339358959066</v>
      </c>
      <c r="F10">
        <v>3.9823252611792901</v>
      </c>
      <c r="G10">
        <v>3.7006380446381302</v>
      </c>
    </row>
    <row r="11" spans="1:7">
      <c r="A11" t="s">
        <v>243</v>
      </c>
      <c r="B11">
        <v>0.52725040975356696</v>
      </c>
      <c r="C11">
        <v>0.484791879719844</v>
      </c>
      <c r="D11">
        <v>0.45274132345525298</v>
      </c>
      <c r="E11">
        <v>0.857357435836264</v>
      </c>
      <c r="F11">
        <v>1.1946975783537901</v>
      </c>
      <c r="G11">
        <v>1.85031902231906</v>
      </c>
    </row>
    <row r="12" spans="1:7">
      <c r="A12" t="s">
        <v>10</v>
      </c>
      <c r="B12">
        <v>52.725040975356698</v>
      </c>
      <c r="C12">
        <v>49.508216207413902</v>
      </c>
      <c r="D12">
        <v>46.132555121355203</v>
      </c>
      <c r="E12">
        <v>42.555157833453499</v>
      </c>
      <c r="F12">
        <v>39.812273770220699</v>
      </c>
      <c r="G12">
        <v>35.554877052933001</v>
      </c>
    </row>
    <row r="14" spans="1:7">
      <c r="A14" t="s">
        <v>140</v>
      </c>
    </row>
    <row r="15" spans="1:7">
      <c r="A15" t="s">
        <v>244</v>
      </c>
      <c r="B15">
        <v>2015</v>
      </c>
      <c r="C15">
        <v>2020</v>
      </c>
      <c r="D15">
        <v>2025</v>
      </c>
      <c r="E15">
        <v>2030</v>
      </c>
      <c r="F15">
        <v>2040</v>
      </c>
      <c r="G15">
        <v>2050</v>
      </c>
    </row>
    <row r="16" spans="1:7">
      <c r="A16" t="s">
        <v>41</v>
      </c>
      <c r="B16">
        <v>11.0276342788289</v>
      </c>
      <c r="C16">
        <v>9.3829992656699002</v>
      </c>
      <c r="D16">
        <v>7.4799597463327601</v>
      </c>
      <c r="E16">
        <v>6.50801172424993</v>
      </c>
      <c r="F16">
        <v>6.0948723369684901</v>
      </c>
      <c r="G16">
        <v>4.4438696697774303</v>
      </c>
    </row>
    <row r="17" spans="1:7">
      <c r="A17" t="s">
        <v>180</v>
      </c>
      <c r="B17">
        <v>7.1939435732653196</v>
      </c>
      <c r="C17">
        <v>6.3466515714263503</v>
      </c>
      <c r="D17">
        <v>4.8145263292626801</v>
      </c>
      <c r="E17">
        <v>3.2409945700553902</v>
      </c>
      <c r="F17">
        <v>1.6456155309814899</v>
      </c>
      <c r="G17">
        <v>1.6555592887406101</v>
      </c>
    </row>
    <row r="18" spans="1:7">
      <c r="A18" t="s">
        <v>104</v>
      </c>
      <c r="B18">
        <v>13.0631221479058</v>
      </c>
      <c r="C18">
        <v>14.9032163518961</v>
      </c>
      <c r="D18">
        <v>18.727809663392801</v>
      </c>
      <c r="E18">
        <v>20.893769374254902</v>
      </c>
      <c r="F18">
        <v>21.9415404130865</v>
      </c>
      <c r="G18">
        <v>22.306483048294499</v>
      </c>
    </row>
    <row r="19" spans="1:7">
      <c r="A19" t="s">
        <v>10</v>
      </c>
      <c r="B19">
        <v>31.284700000000001</v>
      </c>
      <c r="C19">
        <v>30.6328671889923</v>
      </c>
      <c r="D19">
        <v>31.022295738988198</v>
      </c>
      <c r="E19">
        <v>30.642775668560201</v>
      </c>
      <c r="F19">
        <v>29.682028281036501</v>
      </c>
      <c r="G19">
        <v>28.4059120068125</v>
      </c>
    </row>
    <row r="21" spans="1:7">
      <c r="A21" t="s">
        <v>141</v>
      </c>
    </row>
    <row r="22" spans="1:7">
      <c r="B22">
        <v>2015</v>
      </c>
      <c r="C22">
        <v>2020</v>
      </c>
      <c r="D22">
        <v>2025</v>
      </c>
      <c r="E22">
        <v>2030</v>
      </c>
      <c r="F22">
        <v>2050</v>
      </c>
    </row>
    <row r="23" spans="1:7">
      <c r="A23" t="s">
        <v>245</v>
      </c>
      <c r="B23">
        <v>8.247522</v>
      </c>
      <c r="C23">
        <v>6.914360984</v>
      </c>
      <c r="D23">
        <v>5.4399118480000004</v>
      </c>
      <c r="E23">
        <v>3.8476310444999999</v>
      </c>
      <c r="F23">
        <v>2.7900163349999998</v>
      </c>
    </row>
    <row r="25" spans="1:7">
      <c r="A25" t="s">
        <v>143</v>
      </c>
    </row>
    <row r="27" spans="1:7">
      <c r="A27" t="s">
        <v>128</v>
      </c>
      <c r="B27">
        <v>2015</v>
      </c>
      <c r="C27">
        <v>2020</v>
      </c>
      <c r="D27">
        <v>2025</v>
      </c>
      <c r="E27">
        <v>2030</v>
      </c>
      <c r="F27">
        <v>2050</v>
      </c>
    </row>
    <row r="28" spans="1:7">
      <c r="A28" t="s">
        <v>104</v>
      </c>
      <c r="B28">
        <v>0.565565939792534</v>
      </c>
      <c r="C28">
        <v>0.86061670840319104</v>
      </c>
      <c r="D28">
        <v>1.25109084860822</v>
      </c>
      <c r="E28">
        <v>1.4752842591356601</v>
      </c>
      <c r="F28">
        <v>2.1980218817885699</v>
      </c>
    </row>
    <row r="29" spans="1:7">
      <c r="A29" t="s">
        <v>135</v>
      </c>
      <c r="B29">
        <v>5.9533256820266797E-3</v>
      </c>
      <c r="C29">
        <v>9.1554968979062797E-3</v>
      </c>
      <c r="D29">
        <v>2.8114401092319601E-2</v>
      </c>
      <c r="E29">
        <v>5.39738143586216E-2</v>
      </c>
      <c r="F29">
        <v>0.18316849014904699</v>
      </c>
    </row>
    <row r="30" spans="1:7">
      <c r="A30" t="s">
        <v>246</v>
      </c>
      <c r="B30">
        <v>2.3813302728106701E-2</v>
      </c>
      <c r="C30">
        <v>4.5777484489531402E-2</v>
      </c>
      <c r="D30">
        <v>0.12651480491543801</v>
      </c>
      <c r="E30">
        <v>0.26986907179310798</v>
      </c>
      <c r="F30">
        <v>1.2821794310433301</v>
      </c>
    </row>
    <row r="31" spans="1:7">
      <c r="A31" t="s">
        <v>10</v>
      </c>
      <c r="B31">
        <v>0.595332568202668</v>
      </c>
      <c r="C31">
        <v>0.91554968979062801</v>
      </c>
      <c r="D31">
        <v>1.40572005461598</v>
      </c>
      <c r="E31">
        <v>1.79912714528739</v>
      </c>
      <c r="F31">
        <v>3.6633698029809501</v>
      </c>
    </row>
    <row r="33" spans="1:6">
      <c r="A33" t="s">
        <v>213</v>
      </c>
    </row>
    <row r="34" spans="1:6">
      <c r="A34" t="s">
        <v>128</v>
      </c>
      <c r="B34">
        <v>2015</v>
      </c>
      <c r="C34">
        <v>2020</v>
      </c>
      <c r="D34">
        <v>2025</v>
      </c>
      <c r="E34">
        <v>2030</v>
      </c>
      <c r="F34">
        <v>2050</v>
      </c>
    </row>
    <row r="35" spans="1:6">
      <c r="A35" t="s">
        <v>247</v>
      </c>
      <c r="B35">
        <v>63.628359610598103</v>
      </c>
      <c r="C35">
        <v>60.705245610807602</v>
      </c>
      <c r="D35">
        <v>57.2669859004478</v>
      </c>
      <c r="E35">
        <v>53.588829719739699</v>
      </c>
      <c r="F35">
        <v>49.965433346804502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/>
  <dimension ref="A1:F35"/>
  <sheetViews>
    <sheetView workbookViewId="0"/>
  </sheetViews>
  <sheetFormatPr baseColWidth="10" defaultRowHeight="15"/>
  <cols>
    <col min="1" max="16384" width="11.42578125" style="300"/>
  </cols>
  <sheetData>
    <row r="1" spans="1:6">
      <c r="A1" s="300" t="s">
        <v>240</v>
      </c>
    </row>
    <row r="3" spans="1:6">
      <c r="A3" s="300" t="s">
        <v>212</v>
      </c>
    </row>
    <row r="4" spans="1:6">
      <c r="A4" s="300" t="s">
        <v>128</v>
      </c>
      <c r="B4" s="300">
        <v>2020</v>
      </c>
      <c r="C4" s="300">
        <v>2025</v>
      </c>
      <c r="D4" s="300">
        <v>2030</v>
      </c>
      <c r="E4" s="300">
        <v>2040</v>
      </c>
      <c r="F4" s="300">
        <v>2050</v>
      </c>
    </row>
    <row r="5" spans="1:6">
      <c r="A5" s="300" t="s">
        <v>104</v>
      </c>
      <c r="B5" s="300">
        <v>24.344010698547201</v>
      </c>
      <c r="C5" s="300">
        <v>22.530538802537901</v>
      </c>
      <c r="D5" s="300">
        <v>16.5347505482708</v>
      </c>
      <c r="E5" s="300">
        <v>13.312344444513601</v>
      </c>
      <c r="F5" s="300">
        <v>2.1146503112217898</v>
      </c>
    </row>
    <row r="6" spans="1:6">
      <c r="A6" s="300" t="s">
        <v>54</v>
      </c>
      <c r="B6" s="300">
        <v>16.9677157901945</v>
      </c>
      <c r="C6" s="300">
        <v>14.034981027112799</v>
      </c>
      <c r="D6" s="300">
        <v>12.003004101707701</v>
      </c>
      <c r="E6" s="300">
        <v>5.9734878917689302</v>
      </c>
      <c r="F6" s="300">
        <v>3.7006380446381302</v>
      </c>
    </row>
    <row r="7" spans="1:6">
      <c r="A7" s="300" t="s">
        <v>224</v>
      </c>
      <c r="B7" s="300">
        <v>2.9087512783190701</v>
      </c>
      <c r="C7" s="300">
        <v>0.91309174478370303</v>
      </c>
      <c r="D7" s="300">
        <v>0</v>
      </c>
      <c r="E7" s="300">
        <v>0</v>
      </c>
      <c r="F7" s="300">
        <v>0</v>
      </c>
    </row>
    <row r="8" spans="1:6">
      <c r="A8" s="300" t="s">
        <v>135</v>
      </c>
      <c r="B8" s="300">
        <v>1.54406781362761</v>
      </c>
      <c r="C8" s="300">
        <v>2.01373746957703</v>
      </c>
      <c r="D8" s="300">
        <v>2.4430777996853998</v>
      </c>
      <c r="E8" s="300">
        <v>3.2696986354945698</v>
      </c>
      <c r="F8" s="300">
        <v>4.4518953920458797</v>
      </c>
    </row>
    <row r="9" spans="1:6">
      <c r="A9" s="300" t="s">
        <v>241</v>
      </c>
      <c r="B9" s="300">
        <v>2.2892949875659299</v>
      </c>
      <c r="C9" s="300">
        <v>4.8292407835226996</v>
      </c>
      <c r="D9" s="300">
        <v>8.5735743583626398</v>
      </c>
      <c r="E9" s="300">
        <v>12.0797199589105</v>
      </c>
      <c r="F9" s="300">
        <v>19.736736238070002</v>
      </c>
    </row>
    <row r="10" spans="1:6">
      <c r="A10" s="300" t="s">
        <v>242</v>
      </c>
      <c r="B10" s="300">
        <v>0.969583759439688</v>
      </c>
      <c r="C10" s="300">
        <v>1.3582239703657599</v>
      </c>
      <c r="D10" s="300">
        <v>2.14339358959066</v>
      </c>
      <c r="E10" s="300">
        <v>3.9823252611792901</v>
      </c>
      <c r="F10" s="300">
        <v>3.7006380446381302</v>
      </c>
    </row>
    <row r="11" spans="1:6">
      <c r="A11" s="300" t="s">
        <v>243</v>
      </c>
      <c r="B11" s="300">
        <v>0.484791879719844</v>
      </c>
      <c r="C11" s="300">
        <v>0.45274132345525298</v>
      </c>
      <c r="D11" s="300">
        <v>0.857357435836264</v>
      </c>
      <c r="E11" s="300">
        <v>1.1946975783537901</v>
      </c>
      <c r="F11" s="300">
        <v>1.85031902231906</v>
      </c>
    </row>
    <row r="12" spans="1:6">
      <c r="A12" s="300" t="s">
        <v>10</v>
      </c>
      <c r="B12" s="300">
        <v>49.508216207413902</v>
      </c>
      <c r="C12" s="300">
        <v>46.132555121355203</v>
      </c>
      <c r="D12" s="300">
        <v>42.555157833453499</v>
      </c>
      <c r="E12" s="300">
        <v>39.812273770220699</v>
      </c>
      <c r="F12" s="300">
        <v>35.554877052933001</v>
      </c>
    </row>
    <row r="14" spans="1:6">
      <c r="A14" s="300" t="s">
        <v>140</v>
      </c>
    </row>
    <row r="15" spans="1:6">
      <c r="A15" s="300" t="s">
        <v>244</v>
      </c>
      <c r="B15" s="300">
        <v>2020</v>
      </c>
      <c r="C15" s="300">
        <v>2025</v>
      </c>
      <c r="D15" s="300">
        <v>2030</v>
      </c>
      <c r="E15" s="300">
        <v>2040</v>
      </c>
      <c r="F15" s="300">
        <v>2050</v>
      </c>
    </row>
    <row r="16" spans="1:6">
      <c r="A16" s="300" t="s">
        <v>41</v>
      </c>
      <c r="B16" s="300">
        <v>9.3829992656699002</v>
      </c>
      <c r="C16" s="300">
        <v>7.4799597463327601</v>
      </c>
      <c r="D16" s="300">
        <v>6.50801172424993</v>
      </c>
      <c r="E16" s="300">
        <v>6.0948723369684901</v>
      </c>
      <c r="F16" s="300">
        <v>4.4438696697774303</v>
      </c>
    </row>
    <row r="17" spans="1:6">
      <c r="A17" s="300" t="s">
        <v>180</v>
      </c>
      <c r="B17" s="300">
        <v>6.3466515714263503</v>
      </c>
      <c r="C17" s="300">
        <v>4.8145263292626801</v>
      </c>
      <c r="D17" s="300">
        <v>3.2409945700553902</v>
      </c>
      <c r="E17" s="300">
        <v>1.6456155309814899</v>
      </c>
      <c r="F17" s="300">
        <v>1.6555592887406101</v>
      </c>
    </row>
    <row r="18" spans="1:6">
      <c r="A18" s="300" t="s">
        <v>104</v>
      </c>
      <c r="B18" s="300">
        <v>14.9032163518961</v>
      </c>
      <c r="C18" s="300">
        <v>18.727809663392801</v>
      </c>
      <c r="D18" s="300">
        <v>20.893769374254902</v>
      </c>
      <c r="E18" s="300">
        <v>21.9415404130865</v>
      </c>
      <c r="F18" s="300">
        <v>22.306483048294499</v>
      </c>
    </row>
    <row r="19" spans="1:6">
      <c r="A19" s="300" t="s">
        <v>10</v>
      </c>
      <c r="B19" s="300">
        <v>30.6328671889923</v>
      </c>
      <c r="C19" s="300">
        <v>31.022295738988198</v>
      </c>
      <c r="D19" s="300">
        <v>30.642775668560201</v>
      </c>
      <c r="E19" s="300">
        <v>29.682028281036501</v>
      </c>
      <c r="F19" s="300">
        <v>28.4059120068125</v>
      </c>
    </row>
    <row r="21" spans="1:6">
      <c r="A21" s="300" t="s">
        <v>141</v>
      </c>
    </row>
    <row r="22" spans="1:6">
      <c r="B22" s="300">
        <v>2020</v>
      </c>
      <c r="C22" s="300">
        <v>2025</v>
      </c>
      <c r="D22" s="300">
        <v>2030</v>
      </c>
      <c r="E22" s="300">
        <v>2050</v>
      </c>
    </row>
    <row r="23" spans="1:6">
      <c r="A23" s="300" t="s">
        <v>245</v>
      </c>
      <c r="B23" s="300">
        <v>6.914360984</v>
      </c>
      <c r="C23" s="300">
        <v>5.4399118480000004</v>
      </c>
      <c r="D23" s="300">
        <v>3.8476310444999999</v>
      </c>
      <c r="E23" s="300">
        <v>2.7900163349999998</v>
      </c>
    </row>
    <row r="25" spans="1:6">
      <c r="A25" s="300" t="s">
        <v>143</v>
      </c>
    </row>
    <row r="27" spans="1:6">
      <c r="A27" s="300" t="s">
        <v>128</v>
      </c>
      <c r="B27" s="300">
        <v>2020</v>
      </c>
      <c r="C27" s="300">
        <v>2025</v>
      </c>
      <c r="D27" s="300">
        <v>2030</v>
      </c>
      <c r="E27" s="300">
        <v>2050</v>
      </c>
    </row>
    <row r="28" spans="1:6">
      <c r="A28" s="300" t="s">
        <v>104</v>
      </c>
      <c r="B28" s="300">
        <v>0.86061670840319104</v>
      </c>
      <c r="C28" s="300">
        <v>1.25109084860822</v>
      </c>
      <c r="D28" s="300">
        <v>1.4752842591356601</v>
      </c>
      <c r="E28" s="300">
        <v>2.1980218817885699</v>
      </c>
    </row>
    <row r="29" spans="1:6">
      <c r="A29" s="300" t="s">
        <v>135</v>
      </c>
      <c r="B29" s="300">
        <v>9.1554968979062797E-3</v>
      </c>
      <c r="C29" s="300">
        <v>2.8114401092319601E-2</v>
      </c>
      <c r="D29" s="300">
        <v>5.39738143586216E-2</v>
      </c>
      <c r="E29" s="300">
        <v>0.18316849014904699</v>
      </c>
    </row>
    <row r="30" spans="1:6">
      <c r="A30" s="300" t="s">
        <v>246</v>
      </c>
      <c r="B30" s="300">
        <v>4.5777484489531402E-2</v>
      </c>
      <c r="C30" s="300">
        <v>0.12651480491543801</v>
      </c>
      <c r="D30" s="300">
        <v>0.26986907179310798</v>
      </c>
      <c r="E30" s="300">
        <v>1.2821794310433301</v>
      </c>
    </row>
    <row r="31" spans="1:6">
      <c r="A31" s="300" t="s">
        <v>10</v>
      </c>
      <c r="B31" s="300">
        <v>0.91554968979062801</v>
      </c>
      <c r="C31" s="300">
        <v>1.40572005461598</v>
      </c>
      <c r="D31" s="300">
        <v>1.79912714528739</v>
      </c>
      <c r="E31" s="300">
        <v>3.6633698029809501</v>
      </c>
    </row>
    <row r="33" spans="1:5">
      <c r="A33" s="300" t="s">
        <v>213</v>
      </c>
    </row>
    <row r="34" spans="1:5">
      <c r="A34" s="300" t="s">
        <v>128</v>
      </c>
      <c r="B34" s="300">
        <v>2020</v>
      </c>
      <c r="C34" s="300">
        <v>2025</v>
      </c>
      <c r="D34" s="300">
        <v>2030</v>
      </c>
      <c r="E34" s="300">
        <v>2050</v>
      </c>
    </row>
    <row r="35" spans="1:5">
      <c r="A35" s="300" t="s">
        <v>247</v>
      </c>
      <c r="B35" s="300">
        <v>60.705245610807602</v>
      </c>
      <c r="C35" s="300">
        <v>57.2669859004478</v>
      </c>
      <c r="D35" s="300">
        <v>53.588829719739699</v>
      </c>
      <c r="E35" s="300">
        <v>49.965433346804502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/>
  <dimension ref="A1:E35"/>
  <sheetViews>
    <sheetView workbookViewId="0"/>
  </sheetViews>
  <sheetFormatPr baseColWidth="10" defaultRowHeight="15"/>
  <cols>
    <col min="1" max="16384" width="11.42578125" style="300"/>
  </cols>
  <sheetData>
    <row r="1" spans="1:5">
      <c r="A1" s="300" t="s">
        <v>240</v>
      </c>
    </row>
    <row r="3" spans="1:5">
      <c r="A3" s="300" t="s">
        <v>212</v>
      </c>
    </row>
    <row r="4" spans="1:5">
      <c r="A4" s="300" t="s">
        <v>128</v>
      </c>
      <c r="B4" s="300">
        <v>2025</v>
      </c>
      <c r="C4" s="300">
        <v>2030</v>
      </c>
      <c r="D4" s="300">
        <v>2040</v>
      </c>
      <c r="E4" s="300">
        <v>2050</v>
      </c>
    </row>
    <row r="5" spans="1:5">
      <c r="A5" s="300" t="s">
        <v>104</v>
      </c>
      <c r="B5" s="300">
        <v>22.530538802537901</v>
      </c>
      <c r="C5" s="300">
        <v>16.5347505482708</v>
      </c>
      <c r="D5" s="300">
        <v>13.312344444513601</v>
      </c>
      <c r="E5" s="300">
        <v>2.1146503112217898</v>
      </c>
    </row>
    <row r="6" spans="1:5">
      <c r="A6" s="300" t="s">
        <v>54</v>
      </c>
      <c r="B6" s="300">
        <v>14.034981027112799</v>
      </c>
      <c r="C6" s="300">
        <v>12.003004101707701</v>
      </c>
      <c r="D6" s="300">
        <v>5.9734878917689302</v>
      </c>
      <c r="E6" s="300">
        <v>3.7006380446381302</v>
      </c>
    </row>
    <row r="7" spans="1:5">
      <c r="A7" s="300" t="s">
        <v>224</v>
      </c>
      <c r="B7" s="300">
        <v>0.91309174478370303</v>
      </c>
      <c r="C7" s="300">
        <v>0</v>
      </c>
      <c r="D7" s="300">
        <v>0</v>
      </c>
      <c r="E7" s="300">
        <v>0</v>
      </c>
    </row>
    <row r="8" spans="1:5">
      <c r="A8" s="300" t="s">
        <v>135</v>
      </c>
      <c r="B8" s="300">
        <v>2.01373746957703</v>
      </c>
      <c r="C8" s="300">
        <v>2.4430777996853998</v>
      </c>
      <c r="D8" s="300">
        <v>3.2696986354945698</v>
      </c>
      <c r="E8" s="300">
        <v>4.4518953920458797</v>
      </c>
    </row>
    <row r="9" spans="1:5">
      <c r="A9" s="300" t="s">
        <v>241</v>
      </c>
      <c r="B9" s="300">
        <v>4.8292407835226996</v>
      </c>
      <c r="C9" s="300">
        <v>8.5735743583626398</v>
      </c>
      <c r="D9" s="300">
        <v>12.0797199589105</v>
      </c>
      <c r="E9" s="300">
        <v>19.736736238070002</v>
      </c>
    </row>
    <row r="10" spans="1:5">
      <c r="A10" s="300" t="s">
        <v>242</v>
      </c>
      <c r="B10" s="300">
        <v>1.3582239703657599</v>
      </c>
      <c r="C10" s="300">
        <v>2.14339358959066</v>
      </c>
      <c r="D10" s="300">
        <v>3.9823252611792901</v>
      </c>
      <c r="E10" s="300">
        <v>3.7006380446381302</v>
      </c>
    </row>
    <row r="11" spans="1:5">
      <c r="A11" s="300" t="s">
        <v>243</v>
      </c>
      <c r="B11" s="300">
        <v>0.45274132345525298</v>
      </c>
      <c r="C11" s="300">
        <v>0.857357435836264</v>
      </c>
      <c r="D11" s="300">
        <v>1.1946975783537901</v>
      </c>
      <c r="E11" s="300">
        <v>1.85031902231906</v>
      </c>
    </row>
    <row r="12" spans="1:5">
      <c r="A12" s="300" t="s">
        <v>10</v>
      </c>
      <c r="B12" s="300">
        <v>46.132555121355203</v>
      </c>
      <c r="C12" s="300">
        <v>42.555157833453499</v>
      </c>
      <c r="D12" s="300">
        <v>39.812273770220699</v>
      </c>
      <c r="E12" s="300">
        <v>35.554877052933001</v>
      </c>
    </row>
    <row r="14" spans="1:5">
      <c r="A14" s="300" t="s">
        <v>140</v>
      </c>
    </row>
    <row r="15" spans="1:5">
      <c r="A15" s="300" t="s">
        <v>244</v>
      </c>
      <c r="B15" s="300">
        <v>2025</v>
      </c>
      <c r="C15" s="300">
        <v>2030</v>
      </c>
      <c r="D15" s="300">
        <v>2040</v>
      </c>
      <c r="E15" s="300">
        <v>2050</v>
      </c>
    </row>
    <row r="16" spans="1:5">
      <c r="A16" s="300" t="s">
        <v>41</v>
      </c>
      <c r="B16" s="300">
        <v>7.4799597463327601</v>
      </c>
      <c r="C16" s="300">
        <v>6.50801172424993</v>
      </c>
      <c r="D16" s="300">
        <v>6.0948723369684901</v>
      </c>
      <c r="E16" s="300">
        <v>4.4438696697774303</v>
      </c>
    </row>
    <row r="17" spans="1:5">
      <c r="A17" s="300" t="s">
        <v>180</v>
      </c>
      <c r="B17" s="300">
        <v>4.8145263292626801</v>
      </c>
      <c r="C17" s="300">
        <v>3.2409945700553902</v>
      </c>
      <c r="D17" s="300">
        <v>1.6456155309814899</v>
      </c>
      <c r="E17" s="300">
        <v>1.6555592887406101</v>
      </c>
    </row>
    <row r="18" spans="1:5">
      <c r="A18" s="300" t="s">
        <v>104</v>
      </c>
      <c r="B18" s="300">
        <v>18.727809663392801</v>
      </c>
      <c r="C18" s="300">
        <v>20.893769374254902</v>
      </c>
      <c r="D18" s="300">
        <v>21.9415404130865</v>
      </c>
      <c r="E18" s="300">
        <v>22.306483048294499</v>
      </c>
    </row>
    <row r="19" spans="1:5">
      <c r="A19" s="300" t="s">
        <v>10</v>
      </c>
      <c r="B19" s="300">
        <v>31.022295738988198</v>
      </c>
      <c r="C19" s="300">
        <v>30.642775668560201</v>
      </c>
      <c r="D19" s="300">
        <v>29.682028281036501</v>
      </c>
      <c r="E19" s="300">
        <v>28.4059120068125</v>
      </c>
    </row>
    <row r="21" spans="1:5">
      <c r="A21" s="300" t="s">
        <v>141</v>
      </c>
    </row>
    <row r="22" spans="1:5">
      <c r="B22" s="300">
        <v>2025</v>
      </c>
      <c r="C22" s="300">
        <v>2030</v>
      </c>
      <c r="D22" s="300">
        <v>2050</v>
      </c>
    </row>
    <row r="23" spans="1:5">
      <c r="A23" s="300" t="s">
        <v>245</v>
      </c>
      <c r="B23" s="300">
        <v>5.4399118480000004</v>
      </c>
      <c r="C23" s="300">
        <v>3.8476310444999999</v>
      </c>
      <c r="D23" s="300">
        <v>2.7900163349999998</v>
      </c>
    </row>
    <row r="25" spans="1:5">
      <c r="A25" s="300" t="s">
        <v>143</v>
      </c>
    </row>
    <row r="27" spans="1:5">
      <c r="A27" s="300" t="s">
        <v>128</v>
      </c>
      <c r="B27" s="300">
        <v>2025</v>
      </c>
      <c r="C27" s="300">
        <v>2030</v>
      </c>
      <c r="D27" s="300">
        <v>2050</v>
      </c>
    </row>
    <row r="28" spans="1:5">
      <c r="A28" s="300" t="s">
        <v>104</v>
      </c>
      <c r="B28" s="300">
        <v>1.25109084860822</v>
      </c>
      <c r="C28" s="300">
        <v>1.4752842591356601</v>
      </c>
      <c r="D28" s="300">
        <v>2.1980218817885699</v>
      </c>
    </row>
    <row r="29" spans="1:5">
      <c r="A29" s="300" t="s">
        <v>135</v>
      </c>
      <c r="B29" s="300">
        <v>2.8114401092319601E-2</v>
      </c>
      <c r="C29" s="300">
        <v>5.39738143586216E-2</v>
      </c>
      <c r="D29" s="300">
        <v>0.18316849014904699</v>
      </c>
    </row>
    <row r="30" spans="1:5">
      <c r="A30" s="300" t="s">
        <v>246</v>
      </c>
      <c r="B30" s="300">
        <v>0.12651480491543801</v>
      </c>
      <c r="C30" s="300">
        <v>0.26986907179310798</v>
      </c>
      <c r="D30" s="300">
        <v>1.2821794310433301</v>
      </c>
    </row>
    <row r="31" spans="1:5">
      <c r="A31" s="300" t="s">
        <v>10</v>
      </c>
      <c r="B31" s="300">
        <v>1.40572005461598</v>
      </c>
      <c r="C31" s="300">
        <v>1.79912714528739</v>
      </c>
      <c r="D31" s="300">
        <v>3.6633698029809501</v>
      </c>
    </row>
    <row r="33" spans="1:4">
      <c r="A33" s="300" t="s">
        <v>213</v>
      </c>
    </row>
    <row r="34" spans="1:4">
      <c r="A34" s="300" t="s">
        <v>128</v>
      </c>
      <c r="B34" s="300">
        <v>2025</v>
      </c>
      <c r="C34" s="300">
        <v>2030</v>
      </c>
      <c r="D34" s="300">
        <v>2050</v>
      </c>
    </row>
    <row r="35" spans="1:4">
      <c r="A35" s="300" t="s">
        <v>247</v>
      </c>
      <c r="B35" s="300">
        <v>57.2669859004478</v>
      </c>
      <c r="C35" s="300">
        <v>53.588829719739699</v>
      </c>
      <c r="D35" s="300">
        <v>49.965433346804502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0"/>
  <dimension ref="A1:D35"/>
  <sheetViews>
    <sheetView workbookViewId="0"/>
  </sheetViews>
  <sheetFormatPr baseColWidth="10" defaultRowHeight="15"/>
  <cols>
    <col min="1" max="16384" width="11.42578125" style="300"/>
  </cols>
  <sheetData>
    <row r="1" spans="1:4">
      <c r="A1" s="300" t="s">
        <v>240</v>
      </c>
    </row>
    <row r="3" spans="1:4">
      <c r="A3" s="300" t="s">
        <v>212</v>
      </c>
    </row>
    <row r="4" spans="1:4">
      <c r="A4" s="300" t="s">
        <v>128</v>
      </c>
      <c r="B4" s="300">
        <v>2030</v>
      </c>
      <c r="C4" s="300">
        <v>2040</v>
      </c>
      <c r="D4" s="300">
        <v>2050</v>
      </c>
    </row>
    <row r="5" spans="1:4">
      <c r="A5" s="300" t="s">
        <v>104</v>
      </c>
      <c r="B5" s="300">
        <v>16.5347505482708</v>
      </c>
      <c r="C5" s="300">
        <v>13.312344444513601</v>
      </c>
      <c r="D5" s="300">
        <v>2.1146503112217898</v>
      </c>
    </row>
    <row r="6" spans="1:4">
      <c r="A6" s="300" t="s">
        <v>54</v>
      </c>
      <c r="B6" s="300">
        <v>12.003004101707701</v>
      </c>
      <c r="C6" s="300">
        <v>5.9734878917689302</v>
      </c>
      <c r="D6" s="300">
        <v>3.7006380446381302</v>
      </c>
    </row>
    <row r="7" spans="1:4">
      <c r="A7" s="300" t="s">
        <v>224</v>
      </c>
      <c r="B7" s="300">
        <v>0</v>
      </c>
      <c r="C7" s="300">
        <v>0</v>
      </c>
      <c r="D7" s="300">
        <v>0</v>
      </c>
    </row>
    <row r="8" spans="1:4">
      <c r="A8" s="300" t="s">
        <v>135</v>
      </c>
      <c r="B8" s="300">
        <v>2.4430777996853998</v>
      </c>
      <c r="C8" s="300">
        <v>3.2696986354945698</v>
      </c>
      <c r="D8" s="300">
        <v>4.4518953920458797</v>
      </c>
    </row>
    <row r="9" spans="1:4">
      <c r="A9" s="300" t="s">
        <v>241</v>
      </c>
      <c r="B9" s="300">
        <v>8.5735743583626398</v>
      </c>
      <c r="C9" s="300">
        <v>12.0797199589105</v>
      </c>
      <c r="D9" s="300">
        <v>19.736736238070002</v>
      </c>
    </row>
    <row r="10" spans="1:4">
      <c r="A10" s="300" t="s">
        <v>242</v>
      </c>
      <c r="B10" s="300">
        <v>2.14339358959066</v>
      </c>
      <c r="C10" s="300">
        <v>3.9823252611792901</v>
      </c>
      <c r="D10" s="300">
        <v>3.7006380446381302</v>
      </c>
    </row>
    <row r="11" spans="1:4">
      <c r="A11" s="300" t="s">
        <v>243</v>
      </c>
      <c r="B11" s="300">
        <v>0.857357435836264</v>
      </c>
      <c r="C11" s="300">
        <v>1.1946975783537901</v>
      </c>
      <c r="D11" s="300">
        <v>1.85031902231906</v>
      </c>
    </row>
    <row r="12" spans="1:4">
      <c r="A12" s="300" t="s">
        <v>10</v>
      </c>
      <c r="B12" s="300">
        <v>42.555157833453499</v>
      </c>
      <c r="C12" s="300">
        <v>39.812273770220699</v>
      </c>
      <c r="D12" s="300">
        <v>35.554877052933001</v>
      </c>
    </row>
    <row r="14" spans="1:4">
      <c r="A14" s="300" t="s">
        <v>140</v>
      </c>
    </row>
    <row r="15" spans="1:4">
      <c r="A15" s="300" t="s">
        <v>244</v>
      </c>
      <c r="B15" s="300">
        <v>2030</v>
      </c>
      <c r="C15" s="300">
        <v>2040</v>
      </c>
      <c r="D15" s="300">
        <v>2050</v>
      </c>
    </row>
    <row r="16" spans="1:4">
      <c r="A16" s="300" t="s">
        <v>41</v>
      </c>
      <c r="B16" s="300">
        <v>6.50801172424993</v>
      </c>
      <c r="C16" s="300">
        <v>6.0948723369684901</v>
      </c>
      <c r="D16" s="300">
        <v>4.4438696697774303</v>
      </c>
    </row>
    <row r="17" spans="1:4">
      <c r="A17" s="300" t="s">
        <v>180</v>
      </c>
      <c r="B17" s="300">
        <v>3.2409945700553902</v>
      </c>
      <c r="C17" s="300">
        <v>1.6456155309814899</v>
      </c>
      <c r="D17" s="300">
        <v>1.6555592887406101</v>
      </c>
    </row>
    <row r="18" spans="1:4">
      <c r="A18" s="300" t="s">
        <v>104</v>
      </c>
      <c r="B18" s="300">
        <v>20.893769374254902</v>
      </c>
      <c r="C18" s="300">
        <v>21.9415404130865</v>
      </c>
      <c r="D18" s="300">
        <v>22.306483048294499</v>
      </c>
    </row>
    <row r="19" spans="1:4">
      <c r="A19" s="300" t="s">
        <v>10</v>
      </c>
      <c r="B19" s="300">
        <v>30.642775668560201</v>
      </c>
      <c r="C19" s="300">
        <v>29.682028281036501</v>
      </c>
      <c r="D19" s="300">
        <v>28.4059120068125</v>
      </c>
    </row>
    <row r="21" spans="1:4">
      <c r="A21" s="300" t="s">
        <v>141</v>
      </c>
    </row>
    <row r="22" spans="1:4">
      <c r="B22" s="300">
        <v>2030</v>
      </c>
      <c r="C22" s="300">
        <v>2050</v>
      </c>
    </row>
    <row r="23" spans="1:4">
      <c r="A23" s="300" t="s">
        <v>245</v>
      </c>
      <c r="B23" s="300">
        <v>3.8476310444999999</v>
      </c>
      <c r="C23" s="300">
        <v>2.7900163349999998</v>
      </c>
    </row>
    <row r="25" spans="1:4">
      <c r="A25" s="300" t="s">
        <v>143</v>
      </c>
    </row>
    <row r="27" spans="1:4">
      <c r="A27" s="300" t="s">
        <v>128</v>
      </c>
      <c r="B27" s="300">
        <v>2030</v>
      </c>
      <c r="C27" s="300">
        <v>2050</v>
      </c>
    </row>
    <row r="28" spans="1:4">
      <c r="A28" s="300" t="s">
        <v>104</v>
      </c>
      <c r="B28" s="300">
        <v>1.4752842591356601</v>
      </c>
      <c r="C28" s="300">
        <v>2.1980218817885699</v>
      </c>
    </row>
    <row r="29" spans="1:4">
      <c r="A29" s="300" t="s">
        <v>135</v>
      </c>
      <c r="B29" s="300">
        <v>5.39738143586216E-2</v>
      </c>
      <c r="C29" s="300">
        <v>0.18316849014904699</v>
      </c>
    </row>
    <row r="30" spans="1:4">
      <c r="A30" s="300" t="s">
        <v>246</v>
      </c>
      <c r="B30" s="300">
        <v>0.26986907179310798</v>
      </c>
      <c r="C30" s="300">
        <v>1.2821794310433301</v>
      </c>
    </row>
    <row r="31" spans="1:4">
      <c r="A31" s="300" t="s">
        <v>10</v>
      </c>
      <c r="B31" s="300">
        <v>1.79912714528739</v>
      </c>
      <c r="C31" s="300">
        <v>3.6633698029809501</v>
      </c>
    </row>
    <row r="33" spans="1:3">
      <c r="A33" s="300" t="s">
        <v>213</v>
      </c>
    </row>
    <row r="34" spans="1:3">
      <c r="A34" s="300" t="s">
        <v>128</v>
      </c>
      <c r="B34" s="300">
        <v>2030</v>
      </c>
      <c r="C34" s="300">
        <v>2050</v>
      </c>
    </row>
    <row r="35" spans="1:3">
      <c r="A35" s="300" t="s">
        <v>247</v>
      </c>
      <c r="B35" s="300">
        <v>53.588829719739699</v>
      </c>
      <c r="C35" s="300">
        <v>49.965433346804502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/>
  <dimension ref="A1:B35"/>
  <sheetViews>
    <sheetView workbookViewId="0"/>
  </sheetViews>
  <sheetFormatPr baseColWidth="10" defaultRowHeight="15"/>
  <cols>
    <col min="1" max="16384" width="11.42578125" style="300"/>
  </cols>
  <sheetData>
    <row r="1" spans="1:2">
      <c r="A1" s="300" t="s">
        <v>240</v>
      </c>
    </row>
    <row r="3" spans="1:2">
      <c r="A3" s="300" t="s">
        <v>212</v>
      </c>
    </row>
    <row r="4" spans="1:2">
      <c r="A4" s="300" t="s">
        <v>128</v>
      </c>
      <c r="B4" s="300">
        <v>2050</v>
      </c>
    </row>
    <row r="5" spans="1:2">
      <c r="A5" s="300" t="s">
        <v>104</v>
      </c>
      <c r="B5" s="300">
        <v>2.1146503112217898</v>
      </c>
    </row>
    <row r="6" spans="1:2">
      <c r="A6" s="300" t="s">
        <v>54</v>
      </c>
      <c r="B6" s="300">
        <v>3.7006380446381302</v>
      </c>
    </row>
    <row r="7" spans="1:2">
      <c r="A7" s="300" t="s">
        <v>224</v>
      </c>
      <c r="B7" s="300">
        <v>0</v>
      </c>
    </row>
    <row r="8" spans="1:2">
      <c r="A8" s="300" t="s">
        <v>135</v>
      </c>
      <c r="B8" s="300">
        <v>4.4518953920458797</v>
      </c>
    </row>
    <row r="9" spans="1:2">
      <c r="A9" s="300" t="s">
        <v>241</v>
      </c>
      <c r="B9" s="300">
        <v>19.736736238070002</v>
      </c>
    </row>
    <row r="10" spans="1:2">
      <c r="A10" s="300" t="s">
        <v>242</v>
      </c>
      <c r="B10" s="300">
        <v>3.7006380446381302</v>
      </c>
    </row>
    <row r="11" spans="1:2">
      <c r="A11" s="300" t="s">
        <v>243</v>
      </c>
      <c r="B11" s="300">
        <v>1.85031902231906</v>
      </c>
    </row>
    <row r="12" spans="1:2">
      <c r="A12" s="300" t="s">
        <v>10</v>
      </c>
      <c r="B12" s="300">
        <v>35.554877052933001</v>
      </c>
    </row>
    <row r="14" spans="1:2">
      <c r="A14" s="300" t="s">
        <v>140</v>
      </c>
    </row>
    <row r="15" spans="1:2">
      <c r="A15" s="300" t="s">
        <v>244</v>
      </c>
      <c r="B15" s="300">
        <v>2050</v>
      </c>
    </row>
    <row r="16" spans="1:2">
      <c r="A16" s="300" t="s">
        <v>41</v>
      </c>
      <c r="B16" s="300">
        <v>4.4438696697774303</v>
      </c>
    </row>
    <row r="17" spans="1:2">
      <c r="A17" s="300" t="s">
        <v>180</v>
      </c>
      <c r="B17" s="300">
        <v>1.6555592887406101</v>
      </c>
    </row>
    <row r="18" spans="1:2">
      <c r="A18" s="300" t="s">
        <v>104</v>
      </c>
      <c r="B18" s="300">
        <v>22.306483048294499</v>
      </c>
    </row>
    <row r="19" spans="1:2">
      <c r="A19" s="300" t="s">
        <v>10</v>
      </c>
      <c r="B19" s="300">
        <v>28.4059120068125</v>
      </c>
    </row>
    <row r="21" spans="1:2">
      <c r="A21" s="300" t="s">
        <v>141</v>
      </c>
    </row>
    <row r="23" spans="1:2">
      <c r="A23" s="300" t="s">
        <v>245</v>
      </c>
    </row>
    <row r="25" spans="1:2">
      <c r="A25" s="300" t="s">
        <v>143</v>
      </c>
    </row>
    <row r="27" spans="1:2">
      <c r="A27" s="300" t="s">
        <v>128</v>
      </c>
    </row>
    <row r="28" spans="1:2">
      <c r="A28" s="300" t="s">
        <v>104</v>
      </c>
    </row>
    <row r="29" spans="1:2">
      <c r="A29" s="300" t="s">
        <v>135</v>
      </c>
    </row>
    <row r="30" spans="1:2">
      <c r="A30" s="300" t="s">
        <v>246</v>
      </c>
    </row>
    <row r="31" spans="1:2">
      <c r="A31" s="300" t="s">
        <v>10</v>
      </c>
    </row>
    <row r="33" spans="1:1">
      <c r="A33" s="300" t="s">
        <v>213</v>
      </c>
    </row>
    <row r="34" spans="1:1">
      <c r="A34" s="300" t="s">
        <v>128</v>
      </c>
    </row>
    <row r="35" spans="1:1">
      <c r="A35" s="300" t="s">
        <v>247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B3:M18"/>
  <sheetViews>
    <sheetView workbookViewId="0"/>
  </sheetViews>
  <sheetFormatPr baseColWidth="10" defaultRowHeight="15"/>
  <sheetData>
    <row r="3" spans="2:13">
      <c r="C3" t="s">
        <v>248</v>
      </c>
    </row>
    <row r="4" spans="2:13">
      <c r="C4" t="s">
        <v>249</v>
      </c>
      <c r="D4" t="s">
        <v>250</v>
      </c>
      <c r="E4" t="s">
        <v>42</v>
      </c>
      <c r="F4" t="s">
        <v>251</v>
      </c>
      <c r="G4" t="s">
        <v>224</v>
      </c>
      <c r="H4" t="s">
        <v>252</v>
      </c>
      <c r="I4" t="s">
        <v>32</v>
      </c>
      <c r="J4" t="s">
        <v>253</v>
      </c>
      <c r="K4" t="s">
        <v>254</v>
      </c>
      <c r="L4" t="s">
        <v>255</v>
      </c>
    </row>
    <row r="5" spans="2:13">
      <c r="B5">
        <v>2015</v>
      </c>
      <c r="C5">
        <v>0.01</v>
      </c>
      <c r="D5">
        <v>0.45</v>
      </c>
      <c r="E5">
        <v>7.0000000000000007E-2</v>
      </c>
      <c r="F5">
        <v>0</v>
      </c>
      <c r="G5">
        <v>0.02</v>
      </c>
      <c r="H5">
        <v>0</v>
      </c>
      <c r="I5">
        <v>0.39</v>
      </c>
      <c r="J5">
        <v>0.01</v>
      </c>
      <c r="K5">
        <v>0.05</v>
      </c>
      <c r="L5">
        <v>56.3</v>
      </c>
    </row>
    <row r="6" spans="2:13">
      <c r="B6">
        <v>2020</v>
      </c>
      <c r="C6">
        <v>0.02</v>
      </c>
      <c r="D6">
        <v>0.5</v>
      </c>
      <c r="E6">
        <v>0.05</v>
      </c>
      <c r="F6">
        <v>0</v>
      </c>
      <c r="G6">
        <v>0.01</v>
      </c>
      <c r="H6">
        <v>0</v>
      </c>
      <c r="I6">
        <v>0.33</v>
      </c>
      <c r="J6">
        <v>0.03</v>
      </c>
      <c r="K6">
        <v>0.06</v>
      </c>
      <c r="L6">
        <v>41.909196312542598</v>
      </c>
    </row>
    <row r="7" spans="2:13">
      <c r="B7">
        <v>2025</v>
      </c>
      <c r="C7">
        <v>0.03</v>
      </c>
      <c r="D7">
        <v>0.55000000000000004</v>
      </c>
      <c r="E7">
        <v>0.01</v>
      </c>
      <c r="F7">
        <v>0</v>
      </c>
      <c r="G7">
        <v>0</v>
      </c>
      <c r="H7">
        <v>0.01</v>
      </c>
      <c r="I7">
        <v>0.2</v>
      </c>
      <c r="J7">
        <v>0.12</v>
      </c>
      <c r="K7">
        <v>0.08</v>
      </c>
      <c r="L7">
        <v>45.564233197792099</v>
      </c>
    </row>
    <row r="8" spans="2:13">
      <c r="B8">
        <v>2030</v>
      </c>
      <c r="C8">
        <v>0.03</v>
      </c>
      <c r="D8">
        <v>0.5</v>
      </c>
      <c r="E8">
        <v>0</v>
      </c>
      <c r="F8">
        <v>0</v>
      </c>
      <c r="G8">
        <v>0</v>
      </c>
      <c r="H8">
        <v>0.02</v>
      </c>
      <c r="I8">
        <v>0.15</v>
      </c>
      <c r="J8">
        <v>0.2</v>
      </c>
      <c r="K8">
        <v>0.1</v>
      </c>
      <c r="L8">
        <v>49.216831482822897</v>
      </c>
    </row>
    <row r="9" spans="2:13">
      <c r="B9">
        <v>2050</v>
      </c>
      <c r="C9">
        <v>0.05</v>
      </c>
      <c r="D9">
        <v>0.45</v>
      </c>
      <c r="E9">
        <v>0</v>
      </c>
      <c r="F9">
        <v>0</v>
      </c>
      <c r="G9">
        <v>0</v>
      </c>
      <c r="H9">
        <v>0</v>
      </c>
      <c r="I9">
        <v>0</v>
      </c>
      <c r="J9">
        <v>0.25</v>
      </c>
      <c r="K9">
        <v>0.25</v>
      </c>
      <c r="L9">
        <v>45.563789831074999</v>
      </c>
    </row>
    <row r="12" spans="2:13">
      <c r="B12" t="s">
        <v>256</v>
      </c>
    </row>
    <row r="13" spans="2:13">
      <c r="C13" t="s">
        <v>20</v>
      </c>
      <c r="D13" t="s">
        <v>42</v>
      </c>
      <c r="E13" t="s">
        <v>224</v>
      </c>
      <c r="F13" t="s">
        <v>252</v>
      </c>
      <c r="G13" t="s">
        <v>32</v>
      </c>
      <c r="H13" t="s">
        <v>257</v>
      </c>
      <c r="I13" t="s">
        <v>258</v>
      </c>
      <c r="J13" t="s">
        <v>135</v>
      </c>
      <c r="K13" t="s">
        <v>259</v>
      </c>
      <c r="L13" t="s">
        <v>255</v>
      </c>
      <c r="M13" t="s">
        <v>31</v>
      </c>
    </row>
    <row r="14" spans="2:13">
      <c r="B14">
        <v>2015</v>
      </c>
      <c r="C14">
        <v>0.76336996336996299</v>
      </c>
      <c r="D14">
        <v>1.6E-2</v>
      </c>
      <c r="E14">
        <v>6.0000000000000001E-3</v>
      </c>
      <c r="F14">
        <v>0</v>
      </c>
      <c r="G14">
        <v>0.04</v>
      </c>
      <c r="H14">
        <v>0.107509157509158</v>
      </c>
      <c r="I14">
        <v>3.8644688644688598E-2</v>
      </c>
      <c r="J14">
        <v>1.35531135531136E-2</v>
      </c>
      <c r="K14">
        <v>1.4468864468864501E-2</v>
      </c>
      <c r="L14">
        <v>546</v>
      </c>
      <c r="M14">
        <v>0</v>
      </c>
    </row>
    <row r="15" spans="2:13">
      <c r="B15">
        <v>2020</v>
      </c>
      <c r="C15">
        <v>0.71161714997331404</v>
      </c>
      <c r="D15">
        <v>1.3342821561999599E-2</v>
      </c>
      <c r="E15">
        <v>0</v>
      </c>
      <c r="F15">
        <v>0</v>
      </c>
      <c r="G15">
        <v>4.3764454723358798E-2</v>
      </c>
      <c r="H15">
        <v>0.10852161537093</v>
      </c>
      <c r="I15">
        <v>7.4719800747198001E-2</v>
      </c>
      <c r="J15">
        <v>3.0243728873865901E-2</v>
      </c>
      <c r="K15">
        <v>1.7790428749332898E-2</v>
      </c>
      <c r="L15">
        <v>562.1</v>
      </c>
      <c r="M15">
        <v>0</v>
      </c>
    </row>
    <row r="16" spans="2:13">
      <c r="B16">
        <v>2025</v>
      </c>
      <c r="C16">
        <v>0.64461407972858398</v>
      </c>
      <c r="D16">
        <v>1.3342821561999599E-2</v>
      </c>
      <c r="E16">
        <v>0</v>
      </c>
      <c r="F16">
        <v>0</v>
      </c>
      <c r="G16">
        <v>4.3256997455470701E-2</v>
      </c>
      <c r="H16">
        <v>0.105173876166243</v>
      </c>
      <c r="I16">
        <v>0.13231552162849899</v>
      </c>
      <c r="J16">
        <v>5.7675996607294298E-2</v>
      </c>
      <c r="K16">
        <v>1.6963528413910099E-2</v>
      </c>
      <c r="L16">
        <v>589.5</v>
      </c>
      <c r="M16">
        <v>6.7854113655640405E-4</v>
      </c>
    </row>
    <row r="17" spans="2:13">
      <c r="B17">
        <v>2030</v>
      </c>
      <c r="C17">
        <v>0.54747647562018797</v>
      </c>
      <c r="D17">
        <v>0</v>
      </c>
      <c r="E17">
        <v>0</v>
      </c>
      <c r="F17">
        <v>0</v>
      </c>
      <c r="G17">
        <v>4.3627031650983798E-2</v>
      </c>
      <c r="H17">
        <v>0.10949529512403799</v>
      </c>
      <c r="I17">
        <v>0.193327630453379</v>
      </c>
      <c r="J17">
        <v>8.7254063301967499E-2</v>
      </c>
      <c r="K17">
        <v>1.8819503849443999E-2</v>
      </c>
      <c r="L17">
        <v>584.5</v>
      </c>
      <c r="M17">
        <v>4.1060735671514101E-3</v>
      </c>
    </row>
    <row r="18" spans="2:13">
      <c r="B18">
        <v>2050</v>
      </c>
      <c r="C18">
        <v>0.151745068285281</v>
      </c>
      <c r="D18">
        <v>0</v>
      </c>
      <c r="E18">
        <v>0</v>
      </c>
      <c r="F18">
        <v>0</v>
      </c>
      <c r="G18">
        <v>2.2761760242792101E-2</v>
      </c>
      <c r="H18">
        <v>9.7116843702579697E-2</v>
      </c>
      <c r="I18">
        <v>0.34901365705614601</v>
      </c>
      <c r="J18">
        <v>0.37936267071320201</v>
      </c>
      <c r="K18">
        <v>0</v>
      </c>
      <c r="L18">
        <v>659</v>
      </c>
      <c r="M18">
        <v>1.8209408194233698E-2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3"/>
  <dimension ref="B3:M17"/>
  <sheetViews>
    <sheetView workbookViewId="0"/>
  </sheetViews>
  <sheetFormatPr baseColWidth="10" defaultRowHeight="15"/>
  <cols>
    <col min="1" max="16384" width="11.42578125" style="300"/>
  </cols>
  <sheetData>
    <row r="3" spans="2:13">
      <c r="C3" s="300" t="s">
        <v>248</v>
      </c>
    </row>
    <row r="4" spans="2:13">
      <c r="C4" s="300" t="s">
        <v>249</v>
      </c>
      <c r="D4" s="300" t="s">
        <v>250</v>
      </c>
      <c r="E4" s="300" t="s">
        <v>42</v>
      </c>
      <c r="F4" s="300" t="s">
        <v>251</v>
      </c>
      <c r="G4" s="300" t="s">
        <v>224</v>
      </c>
      <c r="H4" s="300" t="s">
        <v>252</v>
      </c>
      <c r="I4" s="300" t="s">
        <v>32</v>
      </c>
      <c r="J4" s="300" t="s">
        <v>253</v>
      </c>
      <c r="K4" s="300" t="s">
        <v>254</v>
      </c>
      <c r="L4" s="300" t="s">
        <v>255</v>
      </c>
    </row>
    <row r="5" spans="2:13">
      <c r="B5" s="300">
        <v>2020</v>
      </c>
      <c r="C5" s="300">
        <v>0.02</v>
      </c>
      <c r="D5" s="300">
        <v>0.5</v>
      </c>
      <c r="E5" s="300">
        <v>0.05</v>
      </c>
      <c r="F5" s="300">
        <v>0</v>
      </c>
      <c r="G5" s="300">
        <v>0.01</v>
      </c>
      <c r="H5" s="300">
        <v>0</v>
      </c>
      <c r="I5" s="300">
        <v>0.33</v>
      </c>
      <c r="J5" s="300">
        <v>0.03</v>
      </c>
      <c r="K5" s="300">
        <v>0.06</v>
      </c>
      <c r="L5" s="300">
        <v>41.909196312542598</v>
      </c>
    </row>
    <row r="6" spans="2:13">
      <c r="B6" s="300">
        <v>2025</v>
      </c>
      <c r="C6" s="300">
        <v>0.03</v>
      </c>
      <c r="D6" s="300">
        <v>0.55000000000000004</v>
      </c>
      <c r="E6" s="300">
        <v>0.01</v>
      </c>
      <c r="F6" s="300">
        <v>0</v>
      </c>
      <c r="G6" s="300">
        <v>0</v>
      </c>
      <c r="H6" s="300">
        <v>0.01</v>
      </c>
      <c r="I6" s="300">
        <v>0.2</v>
      </c>
      <c r="J6" s="300">
        <v>0.12</v>
      </c>
      <c r="K6" s="300">
        <v>0.08</v>
      </c>
      <c r="L6" s="300">
        <v>45.564233197792099</v>
      </c>
    </row>
    <row r="7" spans="2:13">
      <c r="B7" s="300">
        <v>2030</v>
      </c>
      <c r="C7" s="300">
        <v>0.03</v>
      </c>
      <c r="D7" s="300">
        <v>0.5</v>
      </c>
      <c r="E7" s="300">
        <v>0</v>
      </c>
      <c r="F7" s="300">
        <v>0</v>
      </c>
      <c r="G7" s="300">
        <v>0</v>
      </c>
      <c r="H7" s="300">
        <v>0.02</v>
      </c>
      <c r="I7" s="300">
        <v>0.15</v>
      </c>
      <c r="J7" s="300">
        <v>0.2</v>
      </c>
      <c r="K7" s="300">
        <v>0.1</v>
      </c>
      <c r="L7" s="300">
        <v>49.216831482822897</v>
      </c>
    </row>
    <row r="8" spans="2:13">
      <c r="B8" s="300">
        <v>2050</v>
      </c>
      <c r="C8" s="300">
        <v>0.05</v>
      </c>
      <c r="D8" s="300">
        <v>0.45</v>
      </c>
      <c r="E8" s="300">
        <v>0</v>
      </c>
      <c r="F8" s="300">
        <v>0</v>
      </c>
      <c r="G8" s="300">
        <v>0</v>
      </c>
      <c r="H8" s="300">
        <v>0</v>
      </c>
      <c r="I8" s="300">
        <v>0</v>
      </c>
      <c r="J8" s="300">
        <v>0.25</v>
      </c>
      <c r="K8" s="300">
        <v>0.25</v>
      </c>
      <c r="L8" s="300">
        <v>45.563789831074999</v>
      </c>
    </row>
    <row r="12" spans="2:13">
      <c r="B12" s="300" t="s">
        <v>256</v>
      </c>
    </row>
    <row r="13" spans="2:13">
      <c r="C13" s="300" t="s">
        <v>20</v>
      </c>
      <c r="D13" s="300" t="s">
        <v>42</v>
      </c>
      <c r="E13" s="300" t="s">
        <v>224</v>
      </c>
      <c r="F13" s="300" t="s">
        <v>252</v>
      </c>
      <c r="G13" s="300" t="s">
        <v>32</v>
      </c>
      <c r="H13" s="300" t="s">
        <v>257</v>
      </c>
      <c r="I13" s="300" t="s">
        <v>258</v>
      </c>
      <c r="J13" s="300" t="s">
        <v>135</v>
      </c>
      <c r="K13" s="300" t="s">
        <v>259</v>
      </c>
      <c r="L13" s="300" t="s">
        <v>255</v>
      </c>
      <c r="M13" s="300" t="s">
        <v>31</v>
      </c>
    </row>
    <row r="14" spans="2:13">
      <c r="B14" s="300">
        <v>2020</v>
      </c>
      <c r="C14" s="300">
        <v>0.71161714997331404</v>
      </c>
      <c r="D14" s="300">
        <v>1.3342821561999599E-2</v>
      </c>
      <c r="E14" s="300">
        <v>0</v>
      </c>
      <c r="F14" s="300">
        <v>0</v>
      </c>
      <c r="G14" s="300">
        <v>4.3764454723358798E-2</v>
      </c>
      <c r="H14" s="300">
        <v>0.10852161537093</v>
      </c>
      <c r="I14" s="300">
        <v>7.4719800747198001E-2</v>
      </c>
      <c r="J14" s="300">
        <v>3.0243728873865901E-2</v>
      </c>
      <c r="K14" s="300">
        <v>1.7790428749332898E-2</v>
      </c>
      <c r="L14" s="300">
        <v>562.1</v>
      </c>
      <c r="M14" s="300">
        <v>0</v>
      </c>
    </row>
    <row r="15" spans="2:13">
      <c r="B15" s="300">
        <v>2025</v>
      </c>
      <c r="C15" s="300">
        <v>0.64461407972858398</v>
      </c>
      <c r="D15" s="300">
        <v>1.3342821561999599E-2</v>
      </c>
      <c r="E15" s="300">
        <v>0</v>
      </c>
      <c r="F15" s="300">
        <v>0</v>
      </c>
      <c r="G15" s="300">
        <v>4.3256997455470701E-2</v>
      </c>
      <c r="H15" s="300">
        <v>0.105173876166243</v>
      </c>
      <c r="I15" s="300">
        <v>0.13231552162849899</v>
      </c>
      <c r="J15" s="300">
        <v>5.7675996607294298E-2</v>
      </c>
      <c r="K15" s="300">
        <v>1.6963528413910099E-2</v>
      </c>
      <c r="L15" s="300">
        <v>589.5</v>
      </c>
      <c r="M15" s="300">
        <v>6.7854113655640405E-4</v>
      </c>
    </row>
    <row r="16" spans="2:13">
      <c r="B16" s="300">
        <v>2030</v>
      </c>
      <c r="C16" s="300">
        <v>0.54747647562018797</v>
      </c>
      <c r="D16" s="300">
        <v>0</v>
      </c>
      <c r="E16" s="300">
        <v>0</v>
      </c>
      <c r="F16" s="300">
        <v>0</v>
      </c>
      <c r="G16" s="300">
        <v>4.3627031650983798E-2</v>
      </c>
      <c r="H16" s="300">
        <v>0.10949529512403799</v>
      </c>
      <c r="I16" s="300">
        <v>0.193327630453379</v>
      </c>
      <c r="J16" s="300">
        <v>8.7254063301967499E-2</v>
      </c>
      <c r="K16" s="300">
        <v>1.8819503849443999E-2</v>
      </c>
      <c r="L16" s="300">
        <v>584.5</v>
      </c>
      <c r="M16" s="300">
        <v>4.1060735671514101E-3</v>
      </c>
    </row>
    <row r="17" spans="2:13">
      <c r="B17" s="300">
        <v>2050</v>
      </c>
      <c r="C17" s="300">
        <v>0.151745068285281</v>
      </c>
      <c r="D17" s="300">
        <v>0</v>
      </c>
      <c r="E17" s="300">
        <v>0</v>
      </c>
      <c r="F17" s="300">
        <v>0</v>
      </c>
      <c r="G17" s="300">
        <v>2.2761760242792101E-2</v>
      </c>
      <c r="H17" s="300">
        <v>9.7116843702579697E-2</v>
      </c>
      <c r="I17" s="300">
        <v>0.34901365705614601</v>
      </c>
      <c r="J17" s="300">
        <v>0.37936267071320201</v>
      </c>
      <c r="K17" s="300">
        <v>0</v>
      </c>
      <c r="L17" s="300">
        <v>659</v>
      </c>
      <c r="M17" s="300">
        <v>1.8209408194233698E-2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4"/>
  <dimension ref="B3:M16"/>
  <sheetViews>
    <sheetView workbookViewId="0"/>
  </sheetViews>
  <sheetFormatPr baseColWidth="10" defaultRowHeight="15"/>
  <cols>
    <col min="1" max="16384" width="11.42578125" style="300"/>
  </cols>
  <sheetData>
    <row r="3" spans="2:13">
      <c r="C3" s="300" t="s">
        <v>248</v>
      </c>
    </row>
    <row r="4" spans="2:13">
      <c r="C4" s="300" t="s">
        <v>249</v>
      </c>
      <c r="D4" s="300" t="s">
        <v>250</v>
      </c>
      <c r="E4" s="300" t="s">
        <v>42</v>
      </c>
      <c r="F4" s="300" t="s">
        <v>251</v>
      </c>
      <c r="G4" s="300" t="s">
        <v>224</v>
      </c>
      <c r="H4" s="300" t="s">
        <v>252</v>
      </c>
      <c r="I4" s="300" t="s">
        <v>32</v>
      </c>
      <c r="J4" s="300" t="s">
        <v>253</v>
      </c>
      <c r="K4" s="300" t="s">
        <v>254</v>
      </c>
      <c r="L4" s="300" t="s">
        <v>255</v>
      </c>
    </row>
    <row r="5" spans="2:13">
      <c r="B5" s="300">
        <v>2025</v>
      </c>
      <c r="C5" s="300">
        <v>0.03</v>
      </c>
      <c r="D5" s="300">
        <v>0.55000000000000004</v>
      </c>
      <c r="E5" s="300">
        <v>0.01</v>
      </c>
      <c r="F5" s="300">
        <v>0</v>
      </c>
      <c r="G5" s="300">
        <v>0</v>
      </c>
      <c r="H5" s="300">
        <v>0.01</v>
      </c>
      <c r="I5" s="300">
        <v>0.2</v>
      </c>
      <c r="J5" s="300">
        <v>0.12</v>
      </c>
      <c r="K5" s="300">
        <v>0.08</v>
      </c>
      <c r="L5" s="300">
        <v>45.564233197792099</v>
      </c>
    </row>
    <row r="6" spans="2:13">
      <c r="B6" s="300">
        <v>2030</v>
      </c>
      <c r="C6" s="300">
        <v>0.03</v>
      </c>
      <c r="D6" s="300">
        <v>0.5</v>
      </c>
      <c r="E6" s="300">
        <v>0</v>
      </c>
      <c r="F6" s="300">
        <v>0</v>
      </c>
      <c r="G6" s="300">
        <v>0</v>
      </c>
      <c r="H6" s="300">
        <v>0.02</v>
      </c>
      <c r="I6" s="300">
        <v>0.15</v>
      </c>
      <c r="J6" s="300">
        <v>0.2</v>
      </c>
      <c r="K6" s="300">
        <v>0.1</v>
      </c>
      <c r="L6" s="300">
        <v>49.216831482822897</v>
      </c>
    </row>
    <row r="7" spans="2:13">
      <c r="B7" s="300">
        <v>2050</v>
      </c>
      <c r="C7" s="300">
        <v>0.05</v>
      </c>
      <c r="D7" s="300">
        <v>0.45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0.25</v>
      </c>
      <c r="K7" s="300">
        <v>0.25</v>
      </c>
      <c r="L7" s="300">
        <v>45.563789831074999</v>
      </c>
    </row>
    <row r="12" spans="2:13">
      <c r="B12" s="300" t="s">
        <v>256</v>
      </c>
    </row>
    <row r="13" spans="2:13">
      <c r="C13" s="300" t="s">
        <v>20</v>
      </c>
      <c r="D13" s="300" t="s">
        <v>42</v>
      </c>
      <c r="E13" s="300" t="s">
        <v>224</v>
      </c>
      <c r="F13" s="300" t="s">
        <v>252</v>
      </c>
      <c r="G13" s="300" t="s">
        <v>32</v>
      </c>
      <c r="H13" s="300" t="s">
        <v>257</v>
      </c>
      <c r="I13" s="300" t="s">
        <v>258</v>
      </c>
      <c r="J13" s="300" t="s">
        <v>135</v>
      </c>
      <c r="K13" s="300" t="s">
        <v>259</v>
      </c>
      <c r="L13" s="300" t="s">
        <v>255</v>
      </c>
      <c r="M13" s="300" t="s">
        <v>31</v>
      </c>
    </row>
    <row r="14" spans="2:13">
      <c r="B14" s="300">
        <v>2025</v>
      </c>
      <c r="C14" s="300">
        <v>0.64461407972858398</v>
      </c>
      <c r="D14" s="300">
        <v>1.3342821561999599E-2</v>
      </c>
      <c r="E14" s="300">
        <v>0</v>
      </c>
      <c r="F14" s="300">
        <v>0</v>
      </c>
      <c r="G14" s="300">
        <v>4.3256997455470701E-2</v>
      </c>
      <c r="H14" s="300">
        <v>0.105173876166243</v>
      </c>
      <c r="I14" s="300">
        <v>0.13231552162849899</v>
      </c>
      <c r="J14" s="300">
        <v>5.7675996607294298E-2</v>
      </c>
      <c r="K14" s="300">
        <v>1.6963528413910099E-2</v>
      </c>
      <c r="L14" s="300">
        <v>589.5</v>
      </c>
      <c r="M14" s="300">
        <v>6.7854113655640405E-4</v>
      </c>
    </row>
    <row r="15" spans="2:13">
      <c r="B15" s="300">
        <v>2030</v>
      </c>
      <c r="C15" s="300">
        <v>0.54747647562018797</v>
      </c>
      <c r="D15" s="300">
        <v>0</v>
      </c>
      <c r="E15" s="300">
        <v>0</v>
      </c>
      <c r="F15" s="300">
        <v>0</v>
      </c>
      <c r="G15" s="300">
        <v>4.3627031650983798E-2</v>
      </c>
      <c r="H15" s="300">
        <v>0.10949529512403799</v>
      </c>
      <c r="I15" s="300">
        <v>0.193327630453379</v>
      </c>
      <c r="J15" s="300">
        <v>8.7254063301967499E-2</v>
      </c>
      <c r="K15" s="300">
        <v>1.8819503849443999E-2</v>
      </c>
      <c r="L15" s="300">
        <v>584.5</v>
      </c>
      <c r="M15" s="300">
        <v>4.1060735671514101E-3</v>
      </c>
    </row>
    <row r="16" spans="2:13">
      <c r="B16" s="300">
        <v>2050</v>
      </c>
      <c r="C16" s="300">
        <v>0.151745068285281</v>
      </c>
      <c r="D16" s="300">
        <v>0</v>
      </c>
      <c r="E16" s="300">
        <v>0</v>
      </c>
      <c r="F16" s="300">
        <v>0</v>
      </c>
      <c r="G16" s="300">
        <v>2.2761760242792101E-2</v>
      </c>
      <c r="H16" s="300">
        <v>9.7116843702579697E-2</v>
      </c>
      <c r="I16" s="300">
        <v>0.34901365705614601</v>
      </c>
      <c r="J16" s="300">
        <v>0.37936267071320201</v>
      </c>
      <c r="K16" s="300">
        <v>0</v>
      </c>
      <c r="L16" s="300">
        <v>659</v>
      </c>
      <c r="M16" s="300">
        <v>1.8209408194233698E-2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/>
  <dimension ref="B3:M15"/>
  <sheetViews>
    <sheetView workbookViewId="0"/>
  </sheetViews>
  <sheetFormatPr baseColWidth="10" defaultRowHeight="15"/>
  <cols>
    <col min="1" max="16384" width="11.42578125" style="300"/>
  </cols>
  <sheetData>
    <row r="3" spans="2:13">
      <c r="C3" s="300" t="s">
        <v>248</v>
      </c>
    </row>
    <row r="4" spans="2:13">
      <c r="C4" s="300" t="s">
        <v>249</v>
      </c>
      <c r="D4" s="300" t="s">
        <v>250</v>
      </c>
      <c r="E4" s="300" t="s">
        <v>42</v>
      </c>
      <c r="F4" s="300" t="s">
        <v>251</v>
      </c>
      <c r="G4" s="300" t="s">
        <v>224</v>
      </c>
      <c r="H4" s="300" t="s">
        <v>252</v>
      </c>
      <c r="I4" s="300" t="s">
        <v>32</v>
      </c>
      <c r="J4" s="300" t="s">
        <v>253</v>
      </c>
      <c r="K4" s="300" t="s">
        <v>254</v>
      </c>
      <c r="L4" s="300" t="s">
        <v>255</v>
      </c>
    </row>
    <row r="5" spans="2:13">
      <c r="B5" s="300">
        <v>2030</v>
      </c>
      <c r="C5" s="300">
        <v>0.03</v>
      </c>
      <c r="D5" s="300">
        <v>0.5</v>
      </c>
      <c r="E5" s="300">
        <v>0</v>
      </c>
      <c r="F5" s="300">
        <v>0</v>
      </c>
      <c r="G5" s="300">
        <v>0</v>
      </c>
      <c r="H5" s="300">
        <v>0.02</v>
      </c>
      <c r="I5" s="300">
        <v>0.15</v>
      </c>
      <c r="J5" s="300">
        <v>0.2</v>
      </c>
      <c r="K5" s="300">
        <v>0.1</v>
      </c>
      <c r="L5" s="300">
        <v>49.216831482822897</v>
      </c>
    </row>
    <row r="6" spans="2:13">
      <c r="B6" s="300">
        <v>2050</v>
      </c>
      <c r="C6" s="300">
        <v>0.05</v>
      </c>
      <c r="D6" s="300">
        <v>0.45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0.25</v>
      </c>
      <c r="K6" s="300">
        <v>0.25</v>
      </c>
      <c r="L6" s="300">
        <v>45.563789831074999</v>
      </c>
    </row>
    <row r="12" spans="2:13">
      <c r="B12" s="300" t="s">
        <v>256</v>
      </c>
    </row>
    <row r="13" spans="2:13">
      <c r="C13" s="300" t="s">
        <v>20</v>
      </c>
      <c r="D13" s="300" t="s">
        <v>42</v>
      </c>
      <c r="E13" s="300" t="s">
        <v>224</v>
      </c>
      <c r="F13" s="300" t="s">
        <v>252</v>
      </c>
      <c r="G13" s="300" t="s">
        <v>32</v>
      </c>
      <c r="H13" s="300" t="s">
        <v>257</v>
      </c>
      <c r="I13" s="300" t="s">
        <v>258</v>
      </c>
      <c r="J13" s="300" t="s">
        <v>135</v>
      </c>
      <c r="K13" s="300" t="s">
        <v>259</v>
      </c>
      <c r="L13" s="300" t="s">
        <v>255</v>
      </c>
      <c r="M13" s="300" t="s">
        <v>31</v>
      </c>
    </row>
    <row r="14" spans="2:13">
      <c r="B14" s="300">
        <v>2030</v>
      </c>
      <c r="C14" s="300">
        <v>0.54747647562018797</v>
      </c>
      <c r="D14" s="300">
        <v>0</v>
      </c>
      <c r="E14" s="300">
        <v>0</v>
      </c>
      <c r="F14" s="300">
        <v>0</v>
      </c>
      <c r="G14" s="300">
        <v>4.3627031650983798E-2</v>
      </c>
      <c r="H14" s="300">
        <v>0.10949529512403799</v>
      </c>
      <c r="I14" s="300">
        <v>0.193327630453379</v>
      </c>
      <c r="J14" s="300">
        <v>8.7254063301967499E-2</v>
      </c>
      <c r="K14" s="300">
        <v>1.8819503849443999E-2</v>
      </c>
      <c r="L14" s="300">
        <v>584.5</v>
      </c>
      <c r="M14" s="300">
        <v>4.1060735671514101E-3</v>
      </c>
    </row>
    <row r="15" spans="2:13">
      <c r="B15" s="300">
        <v>2050</v>
      </c>
      <c r="C15" s="300">
        <v>0.151745068285281</v>
      </c>
      <c r="D15" s="300">
        <v>0</v>
      </c>
      <c r="E15" s="300">
        <v>0</v>
      </c>
      <c r="F15" s="300">
        <v>0</v>
      </c>
      <c r="G15" s="300">
        <v>2.2761760242792101E-2</v>
      </c>
      <c r="H15" s="300">
        <v>9.7116843702579697E-2</v>
      </c>
      <c r="I15" s="300">
        <v>0.34901365705614601</v>
      </c>
      <c r="J15" s="300">
        <v>0.37936267071320201</v>
      </c>
      <c r="K15" s="300">
        <v>0</v>
      </c>
      <c r="L15" s="300">
        <v>659</v>
      </c>
      <c r="M15" s="300">
        <v>1.8209408194233698E-2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8"/>
  <sheetViews>
    <sheetView workbookViewId="0"/>
  </sheetViews>
  <sheetFormatPr baseColWidth="10" defaultRowHeight="12.75"/>
  <cols>
    <col min="1" max="1" width="11.42578125" style="22"/>
    <col min="2" max="2" width="22.85546875" style="22" bestFit="1" customWidth="1"/>
    <col min="3" max="3" width="7" style="22" customWidth="1"/>
    <col min="4" max="4" width="6.28515625" style="22" customWidth="1"/>
    <col min="5" max="5" width="5.7109375" style="22" customWidth="1"/>
    <col min="6" max="6" width="5.7109375" style="22" bestFit="1" customWidth="1"/>
    <col min="7" max="7" width="5.85546875" style="22" bestFit="1" customWidth="1"/>
    <col min="8" max="8" width="9.42578125" style="22" customWidth="1"/>
    <col min="9" max="9" width="9.28515625" style="22" customWidth="1"/>
    <col min="10" max="10" width="9.7109375" style="22" customWidth="1"/>
    <col min="11" max="11" width="6.7109375" style="22" bestFit="1" customWidth="1"/>
    <col min="12" max="12" width="4.85546875" style="22" customWidth="1"/>
    <col min="13" max="13" width="5.28515625" style="22" customWidth="1"/>
    <col min="14" max="15" width="4.42578125" style="22" bestFit="1" customWidth="1"/>
    <col min="16" max="16" width="19.28515625" style="22" customWidth="1"/>
    <col min="17" max="17" width="6" style="22" customWidth="1"/>
    <col min="18" max="18" width="14.42578125" style="22" customWidth="1"/>
    <col min="19" max="19" width="11.42578125" style="22"/>
    <col min="20" max="20" width="15.28515625" style="22" customWidth="1"/>
    <col min="21" max="23" width="11.42578125" style="22"/>
    <col min="24" max="24" width="9.140625" style="22" customWidth="1"/>
    <col min="25" max="238" width="11.42578125" style="22"/>
    <col min="239" max="239" width="14.85546875" style="22" bestFit="1" customWidth="1"/>
    <col min="240" max="240" width="28" style="22" bestFit="1" customWidth="1"/>
    <col min="241" max="241" width="4.42578125" style="22" bestFit="1" customWidth="1"/>
    <col min="242" max="242" width="8" style="22" bestFit="1" customWidth="1"/>
    <col min="243" max="243" width="11.42578125" style="22"/>
    <col min="244" max="244" width="22.85546875" style="22" bestFit="1" customWidth="1"/>
    <col min="245" max="245" width="7" style="22" customWidth="1"/>
    <col min="246" max="246" width="6.28515625" style="22" customWidth="1"/>
    <col min="247" max="247" width="5.7109375" style="22" customWidth="1"/>
    <col min="248" max="248" width="5.7109375" style="22" bestFit="1" customWidth="1"/>
    <col min="249" max="249" width="5.85546875" style="22" bestFit="1" customWidth="1"/>
    <col min="250" max="250" width="9.42578125" style="22" customWidth="1"/>
    <col min="251" max="251" width="5.140625" style="22" customWidth="1"/>
    <col min="252" max="252" width="9.7109375" style="22" customWidth="1"/>
    <col min="253" max="253" width="6.7109375" style="22" bestFit="1" customWidth="1"/>
    <col min="254" max="254" width="4.85546875" style="22" customWidth="1"/>
    <col min="255" max="255" width="5.28515625" style="22" customWidth="1"/>
    <col min="256" max="257" width="4.42578125" style="22" bestFit="1" customWidth="1"/>
    <col min="258" max="258" width="13.28515625" style="22" bestFit="1" customWidth="1"/>
    <col min="259" max="259" width="3.140625" style="22" customWidth="1"/>
    <col min="260" max="260" width="5.42578125" style="22" bestFit="1" customWidth="1"/>
    <col min="261" max="261" width="4.42578125" style="22" bestFit="1" customWidth="1"/>
    <col min="262" max="262" width="6.42578125" style="22" customWidth="1"/>
    <col min="263" max="263" width="5" style="22" bestFit="1" customWidth="1"/>
    <col min="264" max="264" width="4.5703125" style="22" bestFit="1" customWidth="1"/>
    <col min="265" max="265" width="4.42578125" style="22" bestFit="1" customWidth="1"/>
    <col min="266" max="266" width="4" style="22" customWidth="1"/>
    <col min="267" max="494" width="11.42578125" style="22"/>
    <col min="495" max="495" width="14.85546875" style="22" bestFit="1" customWidth="1"/>
    <col min="496" max="496" width="28" style="22" bestFit="1" customWidth="1"/>
    <col min="497" max="497" width="4.42578125" style="22" bestFit="1" customWidth="1"/>
    <col min="498" max="498" width="8" style="22" bestFit="1" customWidth="1"/>
    <col min="499" max="499" width="11.42578125" style="22"/>
    <col min="500" max="500" width="22.85546875" style="22" bestFit="1" customWidth="1"/>
    <col min="501" max="501" width="7" style="22" customWidth="1"/>
    <col min="502" max="502" width="6.28515625" style="22" customWidth="1"/>
    <col min="503" max="503" width="5.7109375" style="22" customWidth="1"/>
    <col min="504" max="504" width="5.7109375" style="22" bestFit="1" customWidth="1"/>
    <col min="505" max="505" width="5.85546875" style="22" bestFit="1" customWidth="1"/>
    <col min="506" max="506" width="9.42578125" style="22" customWidth="1"/>
    <col min="507" max="507" width="5.140625" style="22" customWidth="1"/>
    <col min="508" max="508" width="9.7109375" style="22" customWidth="1"/>
    <col min="509" max="509" width="6.7109375" style="22" bestFit="1" customWidth="1"/>
    <col min="510" max="510" width="4.85546875" style="22" customWidth="1"/>
    <col min="511" max="511" width="5.28515625" style="22" customWidth="1"/>
    <col min="512" max="513" width="4.42578125" style="22" bestFit="1" customWidth="1"/>
    <col min="514" max="514" width="13.28515625" style="22" bestFit="1" customWidth="1"/>
    <col min="515" max="515" width="3.140625" style="22" customWidth="1"/>
    <col min="516" max="516" width="5.42578125" style="22" bestFit="1" customWidth="1"/>
    <col min="517" max="517" width="4.42578125" style="22" bestFit="1" customWidth="1"/>
    <col min="518" max="518" width="6.42578125" style="22" customWidth="1"/>
    <col min="519" max="519" width="5" style="22" bestFit="1" customWidth="1"/>
    <col min="520" max="520" width="4.5703125" style="22" bestFit="1" customWidth="1"/>
    <col min="521" max="521" width="4.42578125" style="22" bestFit="1" customWidth="1"/>
    <col min="522" max="522" width="4" style="22" customWidth="1"/>
    <col min="523" max="750" width="11.42578125" style="22"/>
    <col min="751" max="751" width="14.85546875" style="22" bestFit="1" customWidth="1"/>
    <col min="752" max="752" width="28" style="22" bestFit="1" customWidth="1"/>
    <col min="753" max="753" width="4.42578125" style="22" bestFit="1" customWidth="1"/>
    <col min="754" max="754" width="8" style="22" bestFit="1" customWidth="1"/>
    <col min="755" max="755" width="11.42578125" style="22"/>
    <col min="756" max="756" width="22.85546875" style="22" bestFit="1" customWidth="1"/>
    <col min="757" max="757" width="7" style="22" customWidth="1"/>
    <col min="758" max="758" width="6.28515625" style="22" customWidth="1"/>
    <col min="759" max="759" width="5.7109375" style="22" customWidth="1"/>
    <col min="760" max="760" width="5.7109375" style="22" bestFit="1" customWidth="1"/>
    <col min="761" max="761" width="5.85546875" style="22" bestFit="1" customWidth="1"/>
    <col min="762" max="762" width="9.42578125" style="22" customWidth="1"/>
    <col min="763" max="763" width="5.140625" style="22" customWidth="1"/>
    <col min="764" max="764" width="9.7109375" style="22" customWidth="1"/>
    <col min="765" max="765" width="6.7109375" style="22" bestFit="1" customWidth="1"/>
    <col min="766" max="766" width="4.85546875" style="22" customWidth="1"/>
    <col min="767" max="767" width="5.28515625" style="22" customWidth="1"/>
    <col min="768" max="769" width="4.42578125" style="22" bestFit="1" customWidth="1"/>
    <col min="770" max="770" width="13.28515625" style="22" bestFit="1" customWidth="1"/>
    <col min="771" max="771" width="3.140625" style="22" customWidth="1"/>
    <col min="772" max="772" width="5.42578125" style="22" bestFit="1" customWidth="1"/>
    <col min="773" max="773" width="4.42578125" style="22" bestFit="1" customWidth="1"/>
    <col min="774" max="774" width="6.42578125" style="22" customWidth="1"/>
    <col min="775" max="775" width="5" style="22" bestFit="1" customWidth="1"/>
    <col min="776" max="776" width="4.5703125" style="22" bestFit="1" customWidth="1"/>
    <col min="777" max="777" width="4.42578125" style="22" bestFit="1" customWidth="1"/>
    <col min="778" max="778" width="4" style="22" customWidth="1"/>
    <col min="779" max="1006" width="11.42578125" style="22"/>
    <col min="1007" max="1007" width="14.85546875" style="22" bestFit="1" customWidth="1"/>
    <col min="1008" max="1008" width="28" style="22" bestFit="1" customWidth="1"/>
    <col min="1009" max="1009" width="4.42578125" style="22" bestFit="1" customWidth="1"/>
    <col min="1010" max="1010" width="8" style="22" bestFit="1" customWidth="1"/>
    <col min="1011" max="1011" width="11.42578125" style="22"/>
    <col min="1012" max="1012" width="22.85546875" style="22" bestFit="1" customWidth="1"/>
    <col min="1013" max="1013" width="7" style="22" customWidth="1"/>
    <col min="1014" max="1014" width="6.28515625" style="22" customWidth="1"/>
    <col min="1015" max="1015" width="5.7109375" style="22" customWidth="1"/>
    <col min="1016" max="1016" width="5.7109375" style="22" bestFit="1" customWidth="1"/>
    <col min="1017" max="1017" width="5.85546875" style="22" bestFit="1" customWidth="1"/>
    <col min="1018" max="1018" width="9.42578125" style="22" customWidth="1"/>
    <col min="1019" max="1019" width="5.140625" style="22" customWidth="1"/>
    <col min="1020" max="1020" width="9.7109375" style="22" customWidth="1"/>
    <col min="1021" max="1021" width="6.7109375" style="22" bestFit="1" customWidth="1"/>
    <col min="1022" max="1022" width="4.85546875" style="22" customWidth="1"/>
    <col min="1023" max="1023" width="5.28515625" style="22" customWidth="1"/>
    <col min="1024" max="1025" width="4.42578125" style="22" bestFit="1" customWidth="1"/>
    <col min="1026" max="1026" width="13.28515625" style="22" bestFit="1" customWidth="1"/>
    <col min="1027" max="1027" width="3.140625" style="22" customWidth="1"/>
    <col min="1028" max="1028" width="5.42578125" style="22" bestFit="1" customWidth="1"/>
    <col min="1029" max="1029" width="4.42578125" style="22" bestFit="1" customWidth="1"/>
    <col min="1030" max="1030" width="6.42578125" style="22" customWidth="1"/>
    <col min="1031" max="1031" width="5" style="22" bestFit="1" customWidth="1"/>
    <col min="1032" max="1032" width="4.5703125" style="22" bestFit="1" customWidth="1"/>
    <col min="1033" max="1033" width="4.42578125" style="22" bestFit="1" customWidth="1"/>
    <col min="1034" max="1034" width="4" style="22" customWidth="1"/>
    <col min="1035" max="1262" width="11.42578125" style="22"/>
    <col min="1263" max="1263" width="14.85546875" style="22" bestFit="1" customWidth="1"/>
    <col min="1264" max="1264" width="28" style="22" bestFit="1" customWidth="1"/>
    <col min="1265" max="1265" width="4.42578125" style="22" bestFit="1" customWidth="1"/>
    <col min="1266" max="1266" width="8" style="22" bestFit="1" customWidth="1"/>
    <col min="1267" max="1267" width="11.42578125" style="22"/>
    <col min="1268" max="1268" width="22.85546875" style="22" bestFit="1" customWidth="1"/>
    <col min="1269" max="1269" width="7" style="22" customWidth="1"/>
    <col min="1270" max="1270" width="6.28515625" style="22" customWidth="1"/>
    <col min="1271" max="1271" width="5.7109375" style="22" customWidth="1"/>
    <col min="1272" max="1272" width="5.7109375" style="22" bestFit="1" customWidth="1"/>
    <col min="1273" max="1273" width="5.85546875" style="22" bestFit="1" customWidth="1"/>
    <col min="1274" max="1274" width="9.42578125" style="22" customWidth="1"/>
    <col min="1275" max="1275" width="5.140625" style="22" customWidth="1"/>
    <col min="1276" max="1276" width="9.7109375" style="22" customWidth="1"/>
    <col min="1277" max="1277" width="6.7109375" style="22" bestFit="1" customWidth="1"/>
    <col min="1278" max="1278" width="4.85546875" style="22" customWidth="1"/>
    <col min="1279" max="1279" width="5.28515625" style="22" customWidth="1"/>
    <col min="1280" max="1281" width="4.42578125" style="22" bestFit="1" customWidth="1"/>
    <col min="1282" max="1282" width="13.28515625" style="22" bestFit="1" customWidth="1"/>
    <col min="1283" max="1283" width="3.140625" style="22" customWidth="1"/>
    <col min="1284" max="1284" width="5.42578125" style="22" bestFit="1" customWidth="1"/>
    <col min="1285" max="1285" width="4.42578125" style="22" bestFit="1" customWidth="1"/>
    <col min="1286" max="1286" width="6.42578125" style="22" customWidth="1"/>
    <col min="1287" max="1287" width="5" style="22" bestFit="1" customWidth="1"/>
    <col min="1288" max="1288" width="4.5703125" style="22" bestFit="1" customWidth="1"/>
    <col min="1289" max="1289" width="4.42578125" style="22" bestFit="1" customWidth="1"/>
    <col min="1290" max="1290" width="4" style="22" customWidth="1"/>
    <col min="1291" max="1518" width="11.42578125" style="22"/>
    <col min="1519" max="1519" width="14.85546875" style="22" bestFit="1" customWidth="1"/>
    <col min="1520" max="1520" width="28" style="22" bestFit="1" customWidth="1"/>
    <col min="1521" max="1521" width="4.42578125" style="22" bestFit="1" customWidth="1"/>
    <col min="1522" max="1522" width="8" style="22" bestFit="1" customWidth="1"/>
    <col min="1523" max="1523" width="11.42578125" style="22"/>
    <col min="1524" max="1524" width="22.85546875" style="22" bestFit="1" customWidth="1"/>
    <col min="1525" max="1525" width="7" style="22" customWidth="1"/>
    <col min="1526" max="1526" width="6.28515625" style="22" customWidth="1"/>
    <col min="1527" max="1527" width="5.7109375" style="22" customWidth="1"/>
    <col min="1528" max="1528" width="5.7109375" style="22" bestFit="1" customWidth="1"/>
    <col min="1529" max="1529" width="5.85546875" style="22" bestFit="1" customWidth="1"/>
    <col min="1530" max="1530" width="9.42578125" style="22" customWidth="1"/>
    <col min="1531" max="1531" width="5.140625" style="22" customWidth="1"/>
    <col min="1532" max="1532" width="9.7109375" style="22" customWidth="1"/>
    <col min="1533" max="1533" width="6.7109375" style="22" bestFit="1" customWidth="1"/>
    <col min="1534" max="1534" width="4.85546875" style="22" customWidth="1"/>
    <col min="1535" max="1535" width="5.28515625" style="22" customWidth="1"/>
    <col min="1536" max="1537" width="4.42578125" style="22" bestFit="1" customWidth="1"/>
    <col min="1538" max="1538" width="13.28515625" style="22" bestFit="1" customWidth="1"/>
    <col min="1539" max="1539" width="3.140625" style="22" customWidth="1"/>
    <col min="1540" max="1540" width="5.42578125" style="22" bestFit="1" customWidth="1"/>
    <col min="1541" max="1541" width="4.42578125" style="22" bestFit="1" customWidth="1"/>
    <col min="1542" max="1542" width="6.42578125" style="22" customWidth="1"/>
    <col min="1543" max="1543" width="5" style="22" bestFit="1" customWidth="1"/>
    <col min="1544" max="1544" width="4.5703125" style="22" bestFit="1" customWidth="1"/>
    <col min="1545" max="1545" width="4.42578125" style="22" bestFit="1" customWidth="1"/>
    <col min="1546" max="1546" width="4" style="22" customWidth="1"/>
    <col min="1547" max="1774" width="11.42578125" style="22"/>
    <col min="1775" max="1775" width="14.85546875" style="22" bestFit="1" customWidth="1"/>
    <col min="1776" max="1776" width="28" style="22" bestFit="1" customWidth="1"/>
    <col min="1777" max="1777" width="4.42578125" style="22" bestFit="1" customWidth="1"/>
    <col min="1778" max="1778" width="8" style="22" bestFit="1" customWidth="1"/>
    <col min="1779" max="1779" width="11.42578125" style="22"/>
    <col min="1780" max="1780" width="22.85546875" style="22" bestFit="1" customWidth="1"/>
    <col min="1781" max="1781" width="7" style="22" customWidth="1"/>
    <col min="1782" max="1782" width="6.28515625" style="22" customWidth="1"/>
    <col min="1783" max="1783" width="5.7109375" style="22" customWidth="1"/>
    <col min="1784" max="1784" width="5.7109375" style="22" bestFit="1" customWidth="1"/>
    <col min="1785" max="1785" width="5.85546875" style="22" bestFit="1" customWidth="1"/>
    <col min="1786" max="1786" width="9.42578125" style="22" customWidth="1"/>
    <col min="1787" max="1787" width="5.140625" style="22" customWidth="1"/>
    <col min="1788" max="1788" width="9.7109375" style="22" customWidth="1"/>
    <col min="1789" max="1789" width="6.7109375" style="22" bestFit="1" customWidth="1"/>
    <col min="1790" max="1790" width="4.85546875" style="22" customWidth="1"/>
    <col min="1791" max="1791" width="5.28515625" style="22" customWidth="1"/>
    <col min="1792" max="1793" width="4.42578125" style="22" bestFit="1" customWidth="1"/>
    <col min="1794" max="1794" width="13.28515625" style="22" bestFit="1" customWidth="1"/>
    <col min="1795" max="1795" width="3.140625" style="22" customWidth="1"/>
    <col min="1796" max="1796" width="5.42578125" style="22" bestFit="1" customWidth="1"/>
    <col min="1797" max="1797" width="4.42578125" style="22" bestFit="1" customWidth="1"/>
    <col min="1798" max="1798" width="6.42578125" style="22" customWidth="1"/>
    <col min="1799" max="1799" width="5" style="22" bestFit="1" customWidth="1"/>
    <col min="1800" max="1800" width="4.5703125" style="22" bestFit="1" customWidth="1"/>
    <col min="1801" max="1801" width="4.42578125" style="22" bestFit="1" customWidth="1"/>
    <col min="1802" max="1802" width="4" style="22" customWidth="1"/>
    <col min="1803" max="2030" width="11.42578125" style="22"/>
    <col min="2031" max="2031" width="14.85546875" style="22" bestFit="1" customWidth="1"/>
    <col min="2032" max="2032" width="28" style="22" bestFit="1" customWidth="1"/>
    <col min="2033" max="2033" width="4.42578125" style="22" bestFit="1" customWidth="1"/>
    <col min="2034" max="2034" width="8" style="22" bestFit="1" customWidth="1"/>
    <col min="2035" max="2035" width="11.42578125" style="22"/>
    <col min="2036" max="2036" width="22.85546875" style="22" bestFit="1" customWidth="1"/>
    <col min="2037" max="2037" width="7" style="22" customWidth="1"/>
    <col min="2038" max="2038" width="6.28515625" style="22" customWidth="1"/>
    <col min="2039" max="2039" width="5.7109375" style="22" customWidth="1"/>
    <col min="2040" max="2040" width="5.7109375" style="22" bestFit="1" customWidth="1"/>
    <col min="2041" max="2041" width="5.85546875" style="22" bestFit="1" customWidth="1"/>
    <col min="2042" max="2042" width="9.42578125" style="22" customWidth="1"/>
    <col min="2043" max="2043" width="5.140625" style="22" customWidth="1"/>
    <col min="2044" max="2044" width="9.7109375" style="22" customWidth="1"/>
    <col min="2045" max="2045" width="6.7109375" style="22" bestFit="1" customWidth="1"/>
    <col min="2046" max="2046" width="4.85546875" style="22" customWidth="1"/>
    <col min="2047" max="2047" width="5.28515625" style="22" customWidth="1"/>
    <col min="2048" max="2049" width="4.42578125" style="22" bestFit="1" customWidth="1"/>
    <col min="2050" max="2050" width="13.28515625" style="22" bestFit="1" customWidth="1"/>
    <col min="2051" max="2051" width="3.140625" style="22" customWidth="1"/>
    <col min="2052" max="2052" width="5.42578125" style="22" bestFit="1" customWidth="1"/>
    <col min="2053" max="2053" width="4.42578125" style="22" bestFit="1" customWidth="1"/>
    <col min="2054" max="2054" width="6.42578125" style="22" customWidth="1"/>
    <col min="2055" max="2055" width="5" style="22" bestFit="1" customWidth="1"/>
    <col min="2056" max="2056" width="4.5703125" style="22" bestFit="1" customWidth="1"/>
    <col min="2057" max="2057" width="4.42578125" style="22" bestFit="1" customWidth="1"/>
    <col min="2058" max="2058" width="4" style="22" customWidth="1"/>
    <col min="2059" max="2286" width="11.42578125" style="22"/>
    <col min="2287" max="2287" width="14.85546875" style="22" bestFit="1" customWidth="1"/>
    <col min="2288" max="2288" width="28" style="22" bestFit="1" customWidth="1"/>
    <col min="2289" max="2289" width="4.42578125" style="22" bestFit="1" customWidth="1"/>
    <col min="2290" max="2290" width="8" style="22" bestFit="1" customWidth="1"/>
    <col min="2291" max="2291" width="11.42578125" style="22"/>
    <col min="2292" max="2292" width="22.85546875" style="22" bestFit="1" customWidth="1"/>
    <col min="2293" max="2293" width="7" style="22" customWidth="1"/>
    <col min="2294" max="2294" width="6.28515625" style="22" customWidth="1"/>
    <col min="2295" max="2295" width="5.7109375" style="22" customWidth="1"/>
    <col min="2296" max="2296" width="5.7109375" style="22" bestFit="1" customWidth="1"/>
    <col min="2297" max="2297" width="5.85546875" style="22" bestFit="1" customWidth="1"/>
    <col min="2298" max="2298" width="9.42578125" style="22" customWidth="1"/>
    <col min="2299" max="2299" width="5.140625" style="22" customWidth="1"/>
    <col min="2300" max="2300" width="9.7109375" style="22" customWidth="1"/>
    <col min="2301" max="2301" width="6.7109375" style="22" bestFit="1" customWidth="1"/>
    <col min="2302" max="2302" width="4.85546875" style="22" customWidth="1"/>
    <col min="2303" max="2303" width="5.28515625" style="22" customWidth="1"/>
    <col min="2304" max="2305" width="4.42578125" style="22" bestFit="1" customWidth="1"/>
    <col min="2306" max="2306" width="13.28515625" style="22" bestFit="1" customWidth="1"/>
    <col min="2307" max="2307" width="3.140625" style="22" customWidth="1"/>
    <col min="2308" max="2308" width="5.42578125" style="22" bestFit="1" customWidth="1"/>
    <col min="2309" max="2309" width="4.42578125" style="22" bestFit="1" customWidth="1"/>
    <col min="2310" max="2310" width="6.42578125" style="22" customWidth="1"/>
    <col min="2311" max="2311" width="5" style="22" bestFit="1" customWidth="1"/>
    <col min="2312" max="2312" width="4.5703125" style="22" bestFit="1" customWidth="1"/>
    <col min="2313" max="2313" width="4.42578125" style="22" bestFit="1" customWidth="1"/>
    <col min="2314" max="2314" width="4" style="22" customWidth="1"/>
    <col min="2315" max="2542" width="11.42578125" style="22"/>
    <col min="2543" max="2543" width="14.85546875" style="22" bestFit="1" customWidth="1"/>
    <col min="2544" max="2544" width="28" style="22" bestFit="1" customWidth="1"/>
    <col min="2545" max="2545" width="4.42578125" style="22" bestFit="1" customWidth="1"/>
    <col min="2546" max="2546" width="8" style="22" bestFit="1" customWidth="1"/>
    <col min="2547" max="2547" width="11.42578125" style="22"/>
    <col min="2548" max="2548" width="22.85546875" style="22" bestFit="1" customWidth="1"/>
    <col min="2549" max="2549" width="7" style="22" customWidth="1"/>
    <col min="2550" max="2550" width="6.28515625" style="22" customWidth="1"/>
    <col min="2551" max="2551" width="5.7109375" style="22" customWidth="1"/>
    <col min="2552" max="2552" width="5.7109375" style="22" bestFit="1" customWidth="1"/>
    <col min="2553" max="2553" width="5.85546875" style="22" bestFit="1" customWidth="1"/>
    <col min="2554" max="2554" width="9.42578125" style="22" customWidth="1"/>
    <col min="2555" max="2555" width="5.140625" style="22" customWidth="1"/>
    <col min="2556" max="2556" width="9.7109375" style="22" customWidth="1"/>
    <col min="2557" max="2557" width="6.7109375" style="22" bestFit="1" customWidth="1"/>
    <col min="2558" max="2558" width="4.85546875" style="22" customWidth="1"/>
    <col min="2559" max="2559" width="5.28515625" style="22" customWidth="1"/>
    <col min="2560" max="2561" width="4.42578125" style="22" bestFit="1" customWidth="1"/>
    <col min="2562" max="2562" width="13.28515625" style="22" bestFit="1" customWidth="1"/>
    <col min="2563" max="2563" width="3.140625" style="22" customWidth="1"/>
    <col min="2564" max="2564" width="5.42578125" style="22" bestFit="1" customWidth="1"/>
    <col min="2565" max="2565" width="4.42578125" style="22" bestFit="1" customWidth="1"/>
    <col min="2566" max="2566" width="6.42578125" style="22" customWidth="1"/>
    <col min="2567" max="2567" width="5" style="22" bestFit="1" customWidth="1"/>
    <col min="2568" max="2568" width="4.5703125" style="22" bestFit="1" customWidth="1"/>
    <col min="2569" max="2569" width="4.42578125" style="22" bestFit="1" customWidth="1"/>
    <col min="2570" max="2570" width="4" style="22" customWidth="1"/>
    <col min="2571" max="2798" width="11.42578125" style="22"/>
    <col min="2799" max="2799" width="14.85546875" style="22" bestFit="1" customWidth="1"/>
    <col min="2800" max="2800" width="28" style="22" bestFit="1" customWidth="1"/>
    <col min="2801" max="2801" width="4.42578125" style="22" bestFit="1" customWidth="1"/>
    <col min="2802" max="2802" width="8" style="22" bestFit="1" customWidth="1"/>
    <col min="2803" max="2803" width="11.42578125" style="22"/>
    <col min="2804" max="2804" width="22.85546875" style="22" bestFit="1" customWidth="1"/>
    <col min="2805" max="2805" width="7" style="22" customWidth="1"/>
    <col min="2806" max="2806" width="6.28515625" style="22" customWidth="1"/>
    <col min="2807" max="2807" width="5.7109375" style="22" customWidth="1"/>
    <col min="2808" max="2808" width="5.7109375" style="22" bestFit="1" customWidth="1"/>
    <col min="2809" max="2809" width="5.85546875" style="22" bestFit="1" customWidth="1"/>
    <col min="2810" max="2810" width="9.42578125" style="22" customWidth="1"/>
    <col min="2811" max="2811" width="5.140625" style="22" customWidth="1"/>
    <col min="2812" max="2812" width="9.7109375" style="22" customWidth="1"/>
    <col min="2813" max="2813" width="6.7109375" style="22" bestFit="1" customWidth="1"/>
    <col min="2814" max="2814" width="4.85546875" style="22" customWidth="1"/>
    <col min="2815" max="2815" width="5.28515625" style="22" customWidth="1"/>
    <col min="2816" max="2817" width="4.42578125" style="22" bestFit="1" customWidth="1"/>
    <col min="2818" max="2818" width="13.28515625" style="22" bestFit="1" customWidth="1"/>
    <col min="2819" max="2819" width="3.140625" style="22" customWidth="1"/>
    <col min="2820" max="2820" width="5.42578125" style="22" bestFit="1" customWidth="1"/>
    <col min="2821" max="2821" width="4.42578125" style="22" bestFit="1" customWidth="1"/>
    <col min="2822" max="2822" width="6.42578125" style="22" customWidth="1"/>
    <col min="2823" max="2823" width="5" style="22" bestFit="1" customWidth="1"/>
    <col min="2824" max="2824" width="4.5703125" style="22" bestFit="1" customWidth="1"/>
    <col min="2825" max="2825" width="4.42578125" style="22" bestFit="1" customWidth="1"/>
    <col min="2826" max="2826" width="4" style="22" customWidth="1"/>
    <col min="2827" max="3054" width="11.42578125" style="22"/>
    <col min="3055" max="3055" width="14.85546875" style="22" bestFit="1" customWidth="1"/>
    <col min="3056" max="3056" width="28" style="22" bestFit="1" customWidth="1"/>
    <col min="3057" max="3057" width="4.42578125" style="22" bestFit="1" customWidth="1"/>
    <col min="3058" max="3058" width="8" style="22" bestFit="1" customWidth="1"/>
    <col min="3059" max="3059" width="11.42578125" style="22"/>
    <col min="3060" max="3060" width="22.85546875" style="22" bestFit="1" customWidth="1"/>
    <col min="3061" max="3061" width="7" style="22" customWidth="1"/>
    <col min="3062" max="3062" width="6.28515625" style="22" customWidth="1"/>
    <col min="3063" max="3063" width="5.7109375" style="22" customWidth="1"/>
    <col min="3064" max="3064" width="5.7109375" style="22" bestFit="1" customWidth="1"/>
    <col min="3065" max="3065" width="5.85546875" style="22" bestFit="1" customWidth="1"/>
    <col min="3066" max="3066" width="9.42578125" style="22" customWidth="1"/>
    <col min="3067" max="3067" width="5.140625" style="22" customWidth="1"/>
    <col min="3068" max="3068" width="9.7109375" style="22" customWidth="1"/>
    <col min="3069" max="3069" width="6.7109375" style="22" bestFit="1" customWidth="1"/>
    <col min="3070" max="3070" width="4.85546875" style="22" customWidth="1"/>
    <col min="3071" max="3071" width="5.28515625" style="22" customWidth="1"/>
    <col min="3072" max="3073" width="4.42578125" style="22" bestFit="1" customWidth="1"/>
    <col min="3074" max="3074" width="13.28515625" style="22" bestFit="1" customWidth="1"/>
    <col min="3075" max="3075" width="3.140625" style="22" customWidth="1"/>
    <col min="3076" max="3076" width="5.42578125" style="22" bestFit="1" customWidth="1"/>
    <col min="3077" max="3077" width="4.42578125" style="22" bestFit="1" customWidth="1"/>
    <col min="3078" max="3078" width="6.42578125" style="22" customWidth="1"/>
    <col min="3079" max="3079" width="5" style="22" bestFit="1" customWidth="1"/>
    <col min="3080" max="3080" width="4.5703125" style="22" bestFit="1" customWidth="1"/>
    <col min="3081" max="3081" width="4.42578125" style="22" bestFit="1" customWidth="1"/>
    <col min="3082" max="3082" width="4" style="22" customWidth="1"/>
    <col min="3083" max="3310" width="11.42578125" style="22"/>
    <col min="3311" max="3311" width="14.85546875" style="22" bestFit="1" customWidth="1"/>
    <col min="3312" max="3312" width="28" style="22" bestFit="1" customWidth="1"/>
    <col min="3313" max="3313" width="4.42578125" style="22" bestFit="1" customWidth="1"/>
    <col min="3314" max="3314" width="8" style="22" bestFit="1" customWidth="1"/>
    <col min="3315" max="3315" width="11.42578125" style="22"/>
    <col min="3316" max="3316" width="22.85546875" style="22" bestFit="1" customWidth="1"/>
    <col min="3317" max="3317" width="7" style="22" customWidth="1"/>
    <col min="3318" max="3318" width="6.28515625" style="22" customWidth="1"/>
    <col min="3319" max="3319" width="5.7109375" style="22" customWidth="1"/>
    <col min="3320" max="3320" width="5.7109375" style="22" bestFit="1" customWidth="1"/>
    <col min="3321" max="3321" width="5.85546875" style="22" bestFit="1" customWidth="1"/>
    <col min="3322" max="3322" width="9.42578125" style="22" customWidth="1"/>
    <col min="3323" max="3323" width="5.140625" style="22" customWidth="1"/>
    <col min="3324" max="3324" width="9.7109375" style="22" customWidth="1"/>
    <col min="3325" max="3325" width="6.7109375" style="22" bestFit="1" customWidth="1"/>
    <col min="3326" max="3326" width="4.85546875" style="22" customWidth="1"/>
    <col min="3327" max="3327" width="5.28515625" style="22" customWidth="1"/>
    <col min="3328" max="3329" width="4.42578125" style="22" bestFit="1" customWidth="1"/>
    <col min="3330" max="3330" width="13.28515625" style="22" bestFit="1" customWidth="1"/>
    <col min="3331" max="3331" width="3.140625" style="22" customWidth="1"/>
    <col min="3332" max="3332" width="5.42578125" style="22" bestFit="1" customWidth="1"/>
    <col min="3333" max="3333" width="4.42578125" style="22" bestFit="1" customWidth="1"/>
    <col min="3334" max="3334" width="6.42578125" style="22" customWidth="1"/>
    <col min="3335" max="3335" width="5" style="22" bestFit="1" customWidth="1"/>
    <col min="3336" max="3336" width="4.5703125" style="22" bestFit="1" customWidth="1"/>
    <col min="3337" max="3337" width="4.42578125" style="22" bestFit="1" customWidth="1"/>
    <col min="3338" max="3338" width="4" style="22" customWidth="1"/>
    <col min="3339" max="3566" width="11.42578125" style="22"/>
    <col min="3567" max="3567" width="14.85546875" style="22" bestFit="1" customWidth="1"/>
    <col min="3568" max="3568" width="28" style="22" bestFit="1" customWidth="1"/>
    <col min="3569" max="3569" width="4.42578125" style="22" bestFit="1" customWidth="1"/>
    <col min="3570" max="3570" width="8" style="22" bestFit="1" customWidth="1"/>
    <col min="3571" max="3571" width="11.42578125" style="22"/>
    <col min="3572" max="3572" width="22.85546875" style="22" bestFit="1" customWidth="1"/>
    <col min="3573" max="3573" width="7" style="22" customWidth="1"/>
    <col min="3574" max="3574" width="6.28515625" style="22" customWidth="1"/>
    <col min="3575" max="3575" width="5.7109375" style="22" customWidth="1"/>
    <col min="3576" max="3576" width="5.7109375" style="22" bestFit="1" customWidth="1"/>
    <col min="3577" max="3577" width="5.85546875" style="22" bestFit="1" customWidth="1"/>
    <col min="3578" max="3578" width="9.42578125" style="22" customWidth="1"/>
    <col min="3579" max="3579" width="5.140625" style="22" customWidth="1"/>
    <col min="3580" max="3580" width="9.7109375" style="22" customWidth="1"/>
    <col min="3581" max="3581" width="6.7109375" style="22" bestFit="1" customWidth="1"/>
    <col min="3582" max="3582" width="4.85546875" style="22" customWidth="1"/>
    <col min="3583" max="3583" width="5.28515625" style="22" customWidth="1"/>
    <col min="3584" max="3585" width="4.42578125" style="22" bestFit="1" customWidth="1"/>
    <col min="3586" max="3586" width="13.28515625" style="22" bestFit="1" customWidth="1"/>
    <col min="3587" max="3587" width="3.140625" style="22" customWidth="1"/>
    <col min="3588" max="3588" width="5.42578125" style="22" bestFit="1" customWidth="1"/>
    <col min="3589" max="3589" width="4.42578125" style="22" bestFit="1" customWidth="1"/>
    <col min="3590" max="3590" width="6.42578125" style="22" customWidth="1"/>
    <col min="3591" max="3591" width="5" style="22" bestFit="1" customWidth="1"/>
    <col min="3592" max="3592" width="4.5703125" style="22" bestFit="1" customWidth="1"/>
    <col min="3593" max="3593" width="4.42578125" style="22" bestFit="1" customWidth="1"/>
    <col min="3594" max="3594" width="4" style="22" customWidth="1"/>
    <col min="3595" max="3822" width="11.42578125" style="22"/>
    <col min="3823" max="3823" width="14.85546875" style="22" bestFit="1" customWidth="1"/>
    <col min="3824" max="3824" width="28" style="22" bestFit="1" customWidth="1"/>
    <col min="3825" max="3825" width="4.42578125" style="22" bestFit="1" customWidth="1"/>
    <col min="3826" max="3826" width="8" style="22" bestFit="1" customWidth="1"/>
    <col min="3827" max="3827" width="11.42578125" style="22"/>
    <col min="3828" max="3828" width="22.85546875" style="22" bestFit="1" customWidth="1"/>
    <col min="3829" max="3829" width="7" style="22" customWidth="1"/>
    <col min="3830" max="3830" width="6.28515625" style="22" customWidth="1"/>
    <col min="3831" max="3831" width="5.7109375" style="22" customWidth="1"/>
    <col min="3832" max="3832" width="5.7109375" style="22" bestFit="1" customWidth="1"/>
    <col min="3833" max="3833" width="5.85546875" style="22" bestFit="1" customWidth="1"/>
    <col min="3834" max="3834" width="9.42578125" style="22" customWidth="1"/>
    <col min="3835" max="3835" width="5.140625" style="22" customWidth="1"/>
    <col min="3836" max="3836" width="9.7109375" style="22" customWidth="1"/>
    <col min="3837" max="3837" width="6.7109375" style="22" bestFit="1" customWidth="1"/>
    <col min="3838" max="3838" width="4.85546875" style="22" customWidth="1"/>
    <col min="3839" max="3839" width="5.28515625" style="22" customWidth="1"/>
    <col min="3840" max="3841" width="4.42578125" style="22" bestFit="1" customWidth="1"/>
    <col min="3842" max="3842" width="13.28515625" style="22" bestFit="1" customWidth="1"/>
    <col min="3843" max="3843" width="3.140625" style="22" customWidth="1"/>
    <col min="3844" max="3844" width="5.42578125" style="22" bestFit="1" customWidth="1"/>
    <col min="3845" max="3845" width="4.42578125" style="22" bestFit="1" customWidth="1"/>
    <col min="3846" max="3846" width="6.42578125" style="22" customWidth="1"/>
    <col min="3847" max="3847" width="5" style="22" bestFit="1" customWidth="1"/>
    <col min="3848" max="3848" width="4.5703125" style="22" bestFit="1" customWidth="1"/>
    <col min="3849" max="3849" width="4.42578125" style="22" bestFit="1" customWidth="1"/>
    <col min="3850" max="3850" width="4" style="22" customWidth="1"/>
    <col min="3851" max="4078" width="11.42578125" style="22"/>
    <col min="4079" max="4079" width="14.85546875" style="22" bestFit="1" customWidth="1"/>
    <col min="4080" max="4080" width="28" style="22" bestFit="1" customWidth="1"/>
    <col min="4081" max="4081" width="4.42578125" style="22" bestFit="1" customWidth="1"/>
    <col min="4082" max="4082" width="8" style="22" bestFit="1" customWidth="1"/>
    <col min="4083" max="4083" width="11.42578125" style="22"/>
    <col min="4084" max="4084" width="22.85546875" style="22" bestFit="1" customWidth="1"/>
    <col min="4085" max="4085" width="7" style="22" customWidth="1"/>
    <col min="4086" max="4086" width="6.28515625" style="22" customWidth="1"/>
    <col min="4087" max="4087" width="5.7109375" style="22" customWidth="1"/>
    <col min="4088" max="4088" width="5.7109375" style="22" bestFit="1" customWidth="1"/>
    <col min="4089" max="4089" width="5.85546875" style="22" bestFit="1" customWidth="1"/>
    <col min="4090" max="4090" width="9.42578125" style="22" customWidth="1"/>
    <col min="4091" max="4091" width="5.140625" style="22" customWidth="1"/>
    <col min="4092" max="4092" width="9.7109375" style="22" customWidth="1"/>
    <col min="4093" max="4093" width="6.7109375" style="22" bestFit="1" customWidth="1"/>
    <col min="4094" max="4094" width="4.85546875" style="22" customWidth="1"/>
    <col min="4095" max="4095" width="5.28515625" style="22" customWidth="1"/>
    <col min="4096" max="4097" width="4.42578125" style="22" bestFit="1" customWidth="1"/>
    <col min="4098" max="4098" width="13.28515625" style="22" bestFit="1" customWidth="1"/>
    <col min="4099" max="4099" width="3.140625" style="22" customWidth="1"/>
    <col min="4100" max="4100" width="5.42578125" style="22" bestFit="1" customWidth="1"/>
    <col min="4101" max="4101" width="4.42578125" style="22" bestFit="1" customWidth="1"/>
    <col min="4102" max="4102" width="6.42578125" style="22" customWidth="1"/>
    <col min="4103" max="4103" width="5" style="22" bestFit="1" customWidth="1"/>
    <col min="4104" max="4104" width="4.5703125" style="22" bestFit="1" customWidth="1"/>
    <col min="4105" max="4105" width="4.42578125" style="22" bestFit="1" customWidth="1"/>
    <col min="4106" max="4106" width="4" style="22" customWidth="1"/>
    <col min="4107" max="4334" width="11.42578125" style="22"/>
    <col min="4335" max="4335" width="14.85546875" style="22" bestFit="1" customWidth="1"/>
    <col min="4336" max="4336" width="28" style="22" bestFit="1" customWidth="1"/>
    <col min="4337" max="4337" width="4.42578125" style="22" bestFit="1" customWidth="1"/>
    <col min="4338" max="4338" width="8" style="22" bestFit="1" customWidth="1"/>
    <col min="4339" max="4339" width="11.42578125" style="22"/>
    <col min="4340" max="4340" width="22.85546875" style="22" bestFit="1" customWidth="1"/>
    <col min="4341" max="4341" width="7" style="22" customWidth="1"/>
    <col min="4342" max="4342" width="6.28515625" style="22" customWidth="1"/>
    <col min="4343" max="4343" width="5.7109375" style="22" customWidth="1"/>
    <col min="4344" max="4344" width="5.7109375" style="22" bestFit="1" customWidth="1"/>
    <col min="4345" max="4345" width="5.85546875" style="22" bestFit="1" customWidth="1"/>
    <col min="4346" max="4346" width="9.42578125" style="22" customWidth="1"/>
    <col min="4347" max="4347" width="5.140625" style="22" customWidth="1"/>
    <col min="4348" max="4348" width="9.7109375" style="22" customWidth="1"/>
    <col min="4349" max="4349" width="6.7109375" style="22" bestFit="1" customWidth="1"/>
    <col min="4350" max="4350" width="4.85546875" style="22" customWidth="1"/>
    <col min="4351" max="4351" width="5.28515625" style="22" customWidth="1"/>
    <col min="4352" max="4353" width="4.42578125" style="22" bestFit="1" customWidth="1"/>
    <col min="4354" max="4354" width="13.28515625" style="22" bestFit="1" customWidth="1"/>
    <col min="4355" max="4355" width="3.140625" style="22" customWidth="1"/>
    <col min="4356" max="4356" width="5.42578125" style="22" bestFit="1" customWidth="1"/>
    <col min="4357" max="4357" width="4.42578125" style="22" bestFit="1" customWidth="1"/>
    <col min="4358" max="4358" width="6.42578125" style="22" customWidth="1"/>
    <col min="4359" max="4359" width="5" style="22" bestFit="1" customWidth="1"/>
    <col min="4360" max="4360" width="4.5703125" style="22" bestFit="1" customWidth="1"/>
    <col min="4361" max="4361" width="4.42578125" style="22" bestFit="1" customWidth="1"/>
    <col min="4362" max="4362" width="4" style="22" customWidth="1"/>
    <col min="4363" max="4590" width="11.42578125" style="22"/>
    <col min="4591" max="4591" width="14.85546875" style="22" bestFit="1" customWidth="1"/>
    <col min="4592" max="4592" width="28" style="22" bestFit="1" customWidth="1"/>
    <col min="4593" max="4593" width="4.42578125" style="22" bestFit="1" customWidth="1"/>
    <col min="4594" max="4594" width="8" style="22" bestFit="1" customWidth="1"/>
    <col min="4595" max="4595" width="11.42578125" style="22"/>
    <col min="4596" max="4596" width="22.85546875" style="22" bestFit="1" customWidth="1"/>
    <col min="4597" max="4597" width="7" style="22" customWidth="1"/>
    <col min="4598" max="4598" width="6.28515625" style="22" customWidth="1"/>
    <col min="4599" max="4599" width="5.7109375" style="22" customWidth="1"/>
    <col min="4600" max="4600" width="5.7109375" style="22" bestFit="1" customWidth="1"/>
    <col min="4601" max="4601" width="5.85546875" style="22" bestFit="1" customWidth="1"/>
    <col min="4602" max="4602" width="9.42578125" style="22" customWidth="1"/>
    <col min="4603" max="4603" width="5.140625" style="22" customWidth="1"/>
    <col min="4604" max="4604" width="9.7109375" style="22" customWidth="1"/>
    <col min="4605" max="4605" width="6.7109375" style="22" bestFit="1" customWidth="1"/>
    <col min="4606" max="4606" width="4.85546875" style="22" customWidth="1"/>
    <col min="4607" max="4607" width="5.28515625" style="22" customWidth="1"/>
    <col min="4608" max="4609" width="4.42578125" style="22" bestFit="1" customWidth="1"/>
    <col min="4610" max="4610" width="13.28515625" style="22" bestFit="1" customWidth="1"/>
    <col min="4611" max="4611" width="3.140625" style="22" customWidth="1"/>
    <col min="4612" max="4612" width="5.42578125" style="22" bestFit="1" customWidth="1"/>
    <col min="4613" max="4613" width="4.42578125" style="22" bestFit="1" customWidth="1"/>
    <col min="4614" max="4614" width="6.42578125" style="22" customWidth="1"/>
    <col min="4615" max="4615" width="5" style="22" bestFit="1" customWidth="1"/>
    <col min="4616" max="4616" width="4.5703125" style="22" bestFit="1" customWidth="1"/>
    <col min="4617" max="4617" width="4.42578125" style="22" bestFit="1" customWidth="1"/>
    <col min="4618" max="4618" width="4" style="22" customWidth="1"/>
    <col min="4619" max="4846" width="11.42578125" style="22"/>
    <col min="4847" max="4847" width="14.85546875" style="22" bestFit="1" customWidth="1"/>
    <col min="4848" max="4848" width="28" style="22" bestFit="1" customWidth="1"/>
    <col min="4849" max="4849" width="4.42578125" style="22" bestFit="1" customWidth="1"/>
    <col min="4850" max="4850" width="8" style="22" bestFit="1" customWidth="1"/>
    <col min="4851" max="4851" width="11.42578125" style="22"/>
    <col min="4852" max="4852" width="22.85546875" style="22" bestFit="1" customWidth="1"/>
    <col min="4853" max="4853" width="7" style="22" customWidth="1"/>
    <col min="4854" max="4854" width="6.28515625" style="22" customWidth="1"/>
    <col min="4855" max="4855" width="5.7109375" style="22" customWidth="1"/>
    <col min="4856" max="4856" width="5.7109375" style="22" bestFit="1" customWidth="1"/>
    <col min="4857" max="4857" width="5.85546875" style="22" bestFit="1" customWidth="1"/>
    <col min="4858" max="4858" width="9.42578125" style="22" customWidth="1"/>
    <col min="4859" max="4859" width="5.140625" style="22" customWidth="1"/>
    <col min="4860" max="4860" width="9.7109375" style="22" customWidth="1"/>
    <col min="4861" max="4861" width="6.7109375" style="22" bestFit="1" customWidth="1"/>
    <col min="4862" max="4862" width="4.85546875" style="22" customWidth="1"/>
    <col min="4863" max="4863" width="5.28515625" style="22" customWidth="1"/>
    <col min="4864" max="4865" width="4.42578125" style="22" bestFit="1" customWidth="1"/>
    <col min="4866" max="4866" width="13.28515625" style="22" bestFit="1" customWidth="1"/>
    <col min="4867" max="4867" width="3.140625" style="22" customWidth="1"/>
    <col min="4868" max="4868" width="5.42578125" style="22" bestFit="1" customWidth="1"/>
    <col min="4869" max="4869" width="4.42578125" style="22" bestFit="1" customWidth="1"/>
    <col min="4870" max="4870" width="6.42578125" style="22" customWidth="1"/>
    <col min="4871" max="4871" width="5" style="22" bestFit="1" customWidth="1"/>
    <col min="4872" max="4872" width="4.5703125" style="22" bestFit="1" customWidth="1"/>
    <col min="4873" max="4873" width="4.42578125" style="22" bestFit="1" customWidth="1"/>
    <col min="4874" max="4874" width="4" style="22" customWidth="1"/>
    <col min="4875" max="5102" width="11.42578125" style="22"/>
    <col min="5103" max="5103" width="14.85546875" style="22" bestFit="1" customWidth="1"/>
    <col min="5104" max="5104" width="28" style="22" bestFit="1" customWidth="1"/>
    <col min="5105" max="5105" width="4.42578125" style="22" bestFit="1" customWidth="1"/>
    <col min="5106" max="5106" width="8" style="22" bestFit="1" customWidth="1"/>
    <col min="5107" max="5107" width="11.42578125" style="22"/>
    <col min="5108" max="5108" width="22.85546875" style="22" bestFit="1" customWidth="1"/>
    <col min="5109" max="5109" width="7" style="22" customWidth="1"/>
    <col min="5110" max="5110" width="6.28515625" style="22" customWidth="1"/>
    <col min="5111" max="5111" width="5.7109375" style="22" customWidth="1"/>
    <col min="5112" max="5112" width="5.7109375" style="22" bestFit="1" customWidth="1"/>
    <col min="5113" max="5113" width="5.85546875" style="22" bestFit="1" customWidth="1"/>
    <col min="5114" max="5114" width="9.42578125" style="22" customWidth="1"/>
    <col min="5115" max="5115" width="5.140625" style="22" customWidth="1"/>
    <col min="5116" max="5116" width="9.7109375" style="22" customWidth="1"/>
    <col min="5117" max="5117" width="6.7109375" style="22" bestFit="1" customWidth="1"/>
    <col min="5118" max="5118" width="4.85546875" style="22" customWidth="1"/>
    <col min="5119" max="5119" width="5.28515625" style="22" customWidth="1"/>
    <col min="5120" max="5121" width="4.42578125" style="22" bestFit="1" customWidth="1"/>
    <col min="5122" max="5122" width="13.28515625" style="22" bestFit="1" customWidth="1"/>
    <col min="5123" max="5123" width="3.140625" style="22" customWidth="1"/>
    <col min="5124" max="5124" width="5.42578125" style="22" bestFit="1" customWidth="1"/>
    <col min="5125" max="5125" width="4.42578125" style="22" bestFit="1" customWidth="1"/>
    <col min="5126" max="5126" width="6.42578125" style="22" customWidth="1"/>
    <col min="5127" max="5127" width="5" style="22" bestFit="1" customWidth="1"/>
    <col min="5128" max="5128" width="4.5703125" style="22" bestFit="1" customWidth="1"/>
    <col min="5129" max="5129" width="4.42578125" style="22" bestFit="1" customWidth="1"/>
    <col min="5130" max="5130" width="4" style="22" customWidth="1"/>
    <col min="5131" max="5358" width="11.42578125" style="22"/>
    <col min="5359" max="5359" width="14.85546875" style="22" bestFit="1" customWidth="1"/>
    <col min="5360" max="5360" width="28" style="22" bestFit="1" customWidth="1"/>
    <col min="5361" max="5361" width="4.42578125" style="22" bestFit="1" customWidth="1"/>
    <col min="5362" max="5362" width="8" style="22" bestFit="1" customWidth="1"/>
    <col min="5363" max="5363" width="11.42578125" style="22"/>
    <col min="5364" max="5364" width="22.85546875" style="22" bestFit="1" customWidth="1"/>
    <col min="5365" max="5365" width="7" style="22" customWidth="1"/>
    <col min="5366" max="5366" width="6.28515625" style="22" customWidth="1"/>
    <col min="5367" max="5367" width="5.7109375" style="22" customWidth="1"/>
    <col min="5368" max="5368" width="5.7109375" style="22" bestFit="1" customWidth="1"/>
    <col min="5369" max="5369" width="5.85546875" style="22" bestFit="1" customWidth="1"/>
    <col min="5370" max="5370" width="9.42578125" style="22" customWidth="1"/>
    <col min="5371" max="5371" width="5.140625" style="22" customWidth="1"/>
    <col min="5372" max="5372" width="9.7109375" style="22" customWidth="1"/>
    <col min="5373" max="5373" width="6.7109375" style="22" bestFit="1" customWidth="1"/>
    <col min="5374" max="5374" width="4.85546875" style="22" customWidth="1"/>
    <col min="5375" max="5375" width="5.28515625" style="22" customWidth="1"/>
    <col min="5376" max="5377" width="4.42578125" style="22" bestFit="1" customWidth="1"/>
    <col min="5378" max="5378" width="13.28515625" style="22" bestFit="1" customWidth="1"/>
    <col min="5379" max="5379" width="3.140625" style="22" customWidth="1"/>
    <col min="5380" max="5380" width="5.42578125" style="22" bestFit="1" customWidth="1"/>
    <col min="5381" max="5381" width="4.42578125" style="22" bestFit="1" customWidth="1"/>
    <col min="5382" max="5382" width="6.42578125" style="22" customWidth="1"/>
    <col min="5383" max="5383" width="5" style="22" bestFit="1" customWidth="1"/>
    <col min="5384" max="5384" width="4.5703125" style="22" bestFit="1" customWidth="1"/>
    <col min="5385" max="5385" width="4.42578125" style="22" bestFit="1" customWidth="1"/>
    <col min="5386" max="5386" width="4" style="22" customWidth="1"/>
    <col min="5387" max="5614" width="11.42578125" style="22"/>
    <col min="5615" max="5615" width="14.85546875" style="22" bestFit="1" customWidth="1"/>
    <col min="5616" max="5616" width="28" style="22" bestFit="1" customWidth="1"/>
    <col min="5617" max="5617" width="4.42578125" style="22" bestFit="1" customWidth="1"/>
    <col min="5618" max="5618" width="8" style="22" bestFit="1" customWidth="1"/>
    <col min="5619" max="5619" width="11.42578125" style="22"/>
    <col min="5620" max="5620" width="22.85546875" style="22" bestFit="1" customWidth="1"/>
    <col min="5621" max="5621" width="7" style="22" customWidth="1"/>
    <col min="5622" max="5622" width="6.28515625" style="22" customWidth="1"/>
    <col min="5623" max="5623" width="5.7109375" style="22" customWidth="1"/>
    <col min="5624" max="5624" width="5.7109375" style="22" bestFit="1" customWidth="1"/>
    <col min="5625" max="5625" width="5.85546875" style="22" bestFit="1" customWidth="1"/>
    <col min="5626" max="5626" width="9.42578125" style="22" customWidth="1"/>
    <col min="5627" max="5627" width="5.140625" style="22" customWidth="1"/>
    <col min="5628" max="5628" width="9.7109375" style="22" customWidth="1"/>
    <col min="5629" max="5629" width="6.7109375" style="22" bestFit="1" customWidth="1"/>
    <col min="5630" max="5630" width="4.85546875" style="22" customWidth="1"/>
    <col min="5631" max="5631" width="5.28515625" style="22" customWidth="1"/>
    <col min="5632" max="5633" width="4.42578125" style="22" bestFit="1" customWidth="1"/>
    <col min="5634" max="5634" width="13.28515625" style="22" bestFit="1" customWidth="1"/>
    <col min="5635" max="5635" width="3.140625" style="22" customWidth="1"/>
    <col min="5636" max="5636" width="5.42578125" style="22" bestFit="1" customWidth="1"/>
    <col min="5637" max="5637" width="4.42578125" style="22" bestFit="1" customWidth="1"/>
    <col min="5638" max="5638" width="6.42578125" style="22" customWidth="1"/>
    <col min="5639" max="5639" width="5" style="22" bestFit="1" customWidth="1"/>
    <col min="5640" max="5640" width="4.5703125" style="22" bestFit="1" customWidth="1"/>
    <col min="5641" max="5641" width="4.42578125" style="22" bestFit="1" customWidth="1"/>
    <col min="5642" max="5642" width="4" style="22" customWidth="1"/>
    <col min="5643" max="5870" width="11.42578125" style="22"/>
    <col min="5871" max="5871" width="14.85546875" style="22" bestFit="1" customWidth="1"/>
    <col min="5872" max="5872" width="28" style="22" bestFit="1" customWidth="1"/>
    <col min="5873" max="5873" width="4.42578125" style="22" bestFit="1" customWidth="1"/>
    <col min="5874" max="5874" width="8" style="22" bestFit="1" customWidth="1"/>
    <col min="5875" max="5875" width="11.42578125" style="22"/>
    <col min="5876" max="5876" width="22.85546875" style="22" bestFit="1" customWidth="1"/>
    <col min="5877" max="5877" width="7" style="22" customWidth="1"/>
    <col min="5878" max="5878" width="6.28515625" style="22" customWidth="1"/>
    <col min="5879" max="5879" width="5.7109375" style="22" customWidth="1"/>
    <col min="5880" max="5880" width="5.7109375" style="22" bestFit="1" customWidth="1"/>
    <col min="5881" max="5881" width="5.85546875" style="22" bestFit="1" customWidth="1"/>
    <col min="5882" max="5882" width="9.42578125" style="22" customWidth="1"/>
    <col min="5883" max="5883" width="5.140625" style="22" customWidth="1"/>
    <col min="5884" max="5884" width="9.7109375" style="22" customWidth="1"/>
    <col min="5885" max="5885" width="6.7109375" style="22" bestFit="1" customWidth="1"/>
    <col min="5886" max="5886" width="4.85546875" style="22" customWidth="1"/>
    <col min="5887" max="5887" width="5.28515625" style="22" customWidth="1"/>
    <col min="5888" max="5889" width="4.42578125" style="22" bestFit="1" customWidth="1"/>
    <col min="5890" max="5890" width="13.28515625" style="22" bestFit="1" customWidth="1"/>
    <col min="5891" max="5891" width="3.140625" style="22" customWidth="1"/>
    <col min="5892" max="5892" width="5.42578125" style="22" bestFit="1" customWidth="1"/>
    <col min="5893" max="5893" width="4.42578125" style="22" bestFit="1" customWidth="1"/>
    <col min="5894" max="5894" width="6.42578125" style="22" customWidth="1"/>
    <col min="5895" max="5895" width="5" style="22" bestFit="1" customWidth="1"/>
    <col min="5896" max="5896" width="4.5703125" style="22" bestFit="1" customWidth="1"/>
    <col min="5897" max="5897" width="4.42578125" style="22" bestFit="1" customWidth="1"/>
    <col min="5898" max="5898" width="4" style="22" customWidth="1"/>
    <col min="5899" max="6126" width="11.42578125" style="22"/>
    <col min="6127" max="6127" width="14.85546875" style="22" bestFit="1" customWidth="1"/>
    <col min="6128" max="6128" width="28" style="22" bestFit="1" customWidth="1"/>
    <col min="6129" max="6129" width="4.42578125" style="22" bestFit="1" customWidth="1"/>
    <col min="6130" max="6130" width="8" style="22" bestFit="1" customWidth="1"/>
    <col min="6131" max="6131" width="11.42578125" style="22"/>
    <col min="6132" max="6132" width="22.85546875" style="22" bestFit="1" customWidth="1"/>
    <col min="6133" max="6133" width="7" style="22" customWidth="1"/>
    <col min="6134" max="6134" width="6.28515625" style="22" customWidth="1"/>
    <col min="6135" max="6135" width="5.7109375" style="22" customWidth="1"/>
    <col min="6136" max="6136" width="5.7109375" style="22" bestFit="1" customWidth="1"/>
    <col min="6137" max="6137" width="5.85546875" style="22" bestFit="1" customWidth="1"/>
    <col min="6138" max="6138" width="9.42578125" style="22" customWidth="1"/>
    <col min="6139" max="6139" width="5.140625" style="22" customWidth="1"/>
    <col min="6140" max="6140" width="9.7109375" style="22" customWidth="1"/>
    <col min="6141" max="6141" width="6.7109375" style="22" bestFit="1" customWidth="1"/>
    <col min="6142" max="6142" width="4.85546875" style="22" customWidth="1"/>
    <col min="6143" max="6143" width="5.28515625" style="22" customWidth="1"/>
    <col min="6144" max="6145" width="4.42578125" style="22" bestFit="1" customWidth="1"/>
    <col min="6146" max="6146" width="13.28515625" style="22" bestFit="1" customWidth="1"/>
    <col min="6147" max="6147" width="3.140625" style="22" customWidth="1"/>
    <col min="6148" max="6148" width="5.42578125" style="22" bestFit="1" customWidth="1"/>
    <col min="6149" max="6149" width="4.42578125" style="22" bestFit="1" customWidth="1"/>
    <col min="6150" max="6150" width="6.42578125" style="22" customWidth="1"/>
    <col min="6151" max="6151" width="5" style="22" bestFit="1" customWidth="1"/>
    <col min="6152" max="6152" width="4.5703125" style="22" bestFit="1" customWidth="1"/>
    <col min="6153" max="6153" width="4.42578125" style="22" bestFit="1" customWidth="1"/>
    <col min="6154" max="6154" width="4" style="22" customWidth="1"/>
    <col min="6155" max="6382" width="11.42578125" style="22"/>
    <col min="6383" max="6383" width="14.85546875" style="22" bestFit="1" customWidth="1"/>
    <col min="6384" max="6384" width="28" style="22" bestFit="1" customWidth="1"/>
    <col min="6385" max="6385" width="4.42578125" style="22" bestFit="1" customWidth="1"/>
    <col min="6386" max="6386" width="8" style="22" bestFit="1" customWidth="1"/>
    <col min="6387" max="6387" width="11.42578125" style="22"/>
    <col min="6388" max="6388" width="22.85546875" style="22" bestFit="1" customWidth="1"/>
    <col min="6389" max="6389" width="7" style="22" customWidth="1"/>
    <col min="6390" max="6390" width="6.28515625" style="22" customWidth="1"/>
    <col min="6391" max="6391" width="5.7109375" style="22" customWidth="1"/>
    <col min="6392" max="6392" width="5.7109375" style="22" bestFit="1" customWidth="1"/>
    <col min="6393" max="6393" width="5.85546875" style="22" bestFit="1" customWidth="1"/>
    <col min="6394" max="6394" width="9.42578125" style="22" customWidth="1"/>
    <col min="6395" max="6395" width="5.140625" style="22" customWidth="1"/>
    <col min="6396" max="6396" width="9.7109375" style="22" customWidth="1"/>
    <col min="6397" max="6397" width="6.7109375" style="22" bestFit="1" customWidth="1"/>
    <col min="6398" max="6398" width="4.85546875" style="22" customWidth="1"/>
    <col min="6399" max="6399" width="5.28515625" style="22" customWidth="1"/>
    <col min="6400" max="6401" width="4.42578125" style="22" bestFit="1" customWidth="1"/>
    <col min="6402" max="6402" width="13.28515625" style="22" bestFit="1" customWidth="1"/>
    <col min="6403" max="6403" width="3.140625" style="22" customWidth="1"/>
    <col min="6404" max="6404" width="5.42578125" style="22" bestFit="1" customWidth="1"/>
    <col min="6405" max="6405" width="4.42578125" style="22" bestFit="1" customWidth="1"/>
    <col min="6406" max="6406" width="6.42578125" style="22" customWidth="1"/>
    <col min="6407" max="6407" width="5" style="22" bestFit="1" customWidth="1"/>
    <col min="6408" max="6408" width="4.5703125" style="22" bestFit="1" customWidth="1"/>
    <col min="6409" max="6409" width="4.42578125" style="22" bestFit="1" customWidth="1"/>
    <col min="6410" max="6410" width="4" style="22" customWidth="1"/>
    <col min="6411" max="6638" width="11.42578125" style="22"/>
    <col min="6639" max="6639" width="14.85546875" style="22" bestFit="1" customWidth="1"/>
    <col min="6640" max="6640" width="28" style="22" bestFit="1" customWidth="1"/>
    <col min="6641" max="6641" width="4.42578125" style="22" bestFit="1" customWidth="1"/>
    <col min="6642" max="6642" width="8" style="22" bestFit="1" customWidth="1"/>
    <col min="6643" max="6643" width="11.42578125" style="22"/>
    <col min="6644" max="6644" width="22.85546875" style="22" bestFit="1" customWidth="1"/>
    <col min="6645" max="6645" width="7" style="22" customWidth="1"/>
    <col min="6646" max="6646" width="6.28515625" style="22" customWidth="1"/>
    <col min="6647" max="6647" width="5.7109375" style="22" customWidth="1"/>
    <col min="6648" max="6648" width="5.7109375" style="22" bestFit="1" customWidth="1"/>
    <col min="6649" max="6649" width="5.85546875" style="22" bestFit="1" customWidth="1"/>
    <col min="6650" max="6650" width="9.42578125" style="22" customWidth="1"/>
    <col min="6651" max="6651" width="5.140625" style="22" customWidth="1"/>
    <col min="6652" max="6652" width="9.7109375" style="22" customWidth="1"/>
    <col min="6653" max="6653" width="6.7109375" style="22" bestFit="1" customWidth="1"/>
    <col min="6654" max="6654" width="4.85546875" style="22" customWidth="1"/>
    <col min="6655" max="6655" width="5.28515625" style="22" customWidth="1"/>
    <col min="6656" max="6657" width="4.42578125" style="22" bestFit="1" customWidth="1"/>
    <col min="6658" max="6658" width="13.28515625" style="22" bestFit="1" customWidth="1"/>
    <col min="6659" max="6659" width="3.140625" style="22" customWidth="1"/>
    <col min="6660" max="6660" width="5.42578125" style="22" bestFit="1" customWidth="1"/>
    <col min="6661" max="6661" width="4.42578125" style="22" bestFit="1" customWidth="1"/>
    <col min="6662" max="6662" width="6.42578125" style="22" customWidth="1"/>
    <col min="6663" max="6663" width="5" style="22" bestFit="1" customWidth="1"/>
    <col min="6664" max="6664" width="4.5703125" style="22" bestFit="1" customWidth="1"/>
    <col min="6665" max="6665" width="4.42578125" style="22" bestFit="1" customWidth="1"/>
    <col min="6666" max="6666" width="4" style="22" customWidth="1"/>
    <col min="6667" max="6894" width="11.42578125" style="22"/>
    <col min="6895" max="6895" width="14.85546875" style="22" bestFit="1" customWidth="1"/>
    <col min="6896" max="6896" width="28" style="22" bestFit="1" customWidth="1"/>
    <col min="6897" max="6897" width="4.42578125" style="22" bestFit="1" customWidth="1"/>
    <col min="6898" max="6898" width="8" style="22" bestFit="1" customWidth="1"/>
    <col min="6899" max="6899" width="11.42578125" style="22"/>
    <col min="6900" max="6900" width="22.85546875" style="22" bestFit="1" customWidth="1"/>
    <col min="6901" max="6901" width="7" style="22" customWidth="1"/>
    <col min="6902" max="6902" width="6.28515625" style="22" customWidth="1"/>
    <col min="6903" max="6903" width="5.7109375" style="22" customWidth="1"/>
    <col min="6904" max="6904" width="5.7109375" style="22" bestFit="1" customWidth="1"/>
    <col min="6905" max="6905" width="5.85546875" style="22" bestFit="1" customWidth="1"/>
    <col min="6906" max="6906" width="9.42578125" style="22" customWidth="1"/>
    <col min="6907" max="6907" width="5.140625" style="22" customWidth="1"/>
    <col min="6908" max="6908" width="9.7109375" style="22" customWidth="1"/>
    <col min="6909" max="6909" width="6.7109375" style="22" bestFit="1" customWidth="1"/>
    <col min="6910" max="6910" width="4.85546875" style="22" customWidth="1"/>
    <col min="6911" max="6911" width="5.28515625" style="22" customWidth="1"/>
    <col min="6912" max="6913" width="4.42578125" style="22" bestFit="1" customWidth="1"/>
    <col min="6914" max="6914" width="13.28515625" style="22" bestFit="1" customWidth="1"/>
    <col min="6915" max="6915" width="3.140625" style="22" customWidth="1"/>
    <col min="6916" max="6916" width="5.42578125" style="22" bestFit="1" customWidth="1"/>
    <col min="6917" max="6917" width="4.42578125" style="22" bestFit="1" customWidth="1"/>
    <col min="6918" max="6918" width="6.42578125" style="22" customWidth="1"/>
    <col min="6919" max="6919" width="5" style="22" bestFit="1" customWidth="1"/>
    <col min="6920" max="6920" width="4.5703125" style="22" bestFit="1" customWidth="1"/>
    <col min="6921" max="6921" width="4.42578125" style="22" bestFit="1" customWidth="1"/>
    <col min="6922" max="6922" width="4" style="22" customWidth="1"/>
    <col min="6923" max="7150" width="11.42578125" style="22"/>
    <col min="7151" max="7151" width="14.85546875" style="22" bestFit="1" customWidth="1"/>
    <col min="7152" max="7152" width="28" style="22" bestFit="1" customWidth="1"/>
    <col min="7153" max="7153" width="4.42578125" style="22" bestFit="1" customWidth="1"/>
    <col min="7154" max="7154" width="8" style="22" bestFit="1" customWidth="1"/>
    <col min="7155" max="7155" width="11.42578125" style="22"/>
    <col min="7156" max="7156" width="22.85546875" style="22" bestFit="1" customWidth="1"/>
    <col min="7157" max="7157" width="7" style="22" customWidth="1"/>
    <col min="7158" max="7158" width="6.28515625" style="22" customWidth="1"/>
    <col min="7159" max="7159" width="5.7109375" style="22" customWidth="1"/>
    <col min="7160" max="7160" width="5.7109375" style="22" bestFit="1" customWidth="1"/>
    <col min="7161" max="7161" width="5.85546875" style="22" bestFit="1" customWidth="1"/>
    <col min="7162" max="7162" width="9.42578125" style="22" customWidth="1"/>
    <col min="7163" max="7163" width="5.140625" style="22" customWidth="1"/>
    <col min="7164" max="7164" width="9.7109375" style="22" customWidth="1"/>
    <col min="7165" max="7165" width="6.7109375" style="22" bestFit="1" customWidth="1"/>
    <col min="7166" max="7166" width="4.85546875" style="22" customWidth="1"/>
    <col min="7167" max="7167" width="5.28515625" style="22" customWidth="1"/>
    <col min="7168" max="7169" width="4.42578125" style="22" bestFit="1" customWidth="1"/>
    <col min="7170" max="7170" width="13.28515625" style="22" bestFit="1" customWidth="1"/>
    <col min="7171" max="7171" width="3.140625" style="22" customWidth="1"/>
    <col min="7172" max="7172" width="5.42578125" style="22" bestFit="1" customWidth="1"/>
    <col min="7173" max="7173" width="4.42578125" style="22" bestFit="1" customWidth="1"/>
    <col min="7174" max="7174" width="6.42578125" style="22" customWidth="1"/>
    <col min="7175" max="7175" width="5" style="22" bestFit="1" customWidth="1"/>
    <col min="7176" max="7176" width="4.5703125" style="22" bestFit="1" customWidth="1"/>
    <col min="7177" max="7177" width="4.42578125" style="22" bestFit="1" customWidth="1"/>
    <col min="7178" max="7178" width="4" style="22" customWidth="1"/>
    <col min="7179" max="7406" width="11.42578125" style="22"/>
    <col min="7407" max="7407" width="14.85546875" style="22" bestFit="1" customWidth="1"/>
    <col min="7408" max="7408" width="28" style="22" bestFit="1" customWidth="1"/>
    <col min="7409" max="7409" width="4.42578125" style="22" bestFit="1" customWidth="1"/>
    <col min="7410" max="7410" width="8" style="22" bestFit="1" customWidth="1"/>
    <col min="7411" max="7411" width="11.42578125" style="22"/>
    <col min="7412" max="7412" width="22.85546875" style="22" bestFit="1" customWidth="1"/>
    <col min="7413" max="7413" width="7" style="22" customWidth="1"/>
    <col min="7414" max="7414" width="6.28515625" style="22" customWidth="1"/>
    <col min="7415" max="7415" width="5.7109375" style="22" customWidth="1"/>
    <col min="7416" max="7416" width="5.7109375" style="22" bestFit="1" customWidth="1"/>
    <col min="7417" max="7417" width="5.85546875" style="22" bestFit="1" customWidth="1"/>
    <col min="7418" max="7418" width="9.42578125" style="22" customWidth="1"/>
    <col min="7419" max="7419" width="5.140625" style="22" customWidth="1"/>
    <col min="7420" max="7420" width="9.7109375" style="22" customWidth="1"/>
    <col min="7421" max="7421" width="6.7109375" style="22" bestFit="1" customWidth="1"/>
    <col min="7422" max="7422" width="4.85546875" style="22" customWidth="1"/>
    <col min="7423" max="7423" width="5.28515625" style="22" customWidth="1"/>
    <col min="7424" max="7425" width="4.42578125" style="22" bestFit="1" customWidth="1"/>
    <col min="7426" max="7426" width="13.28515625" style="22" bestFit="1" customWidth="1"/>
    <col min="7427" max="7427" width="3.140625" style="22" customWidth="1"/>
    <col min="7428" max="7428" width="5.42578125" style="22" bestFit="1" customWidth="1"/>
    <col min="7429" max="7429" width="4.42578125" style="22" bestFit="1" customWidth="1"/>
    <col min="7430" max="7430" width="6.42578125" style="22" customWidth="1"/>
    <col min="7431" max="7431" width="5" style="22" bestFit="1" customWidth="1"/>
    <col min="7432" max="7432" width="4.5703125" style="22" bestFit="1" customWidth="1"/>
    <col min="7433" max="7433" width="4.42578125" style="22" bestFit="1" customWidth="1"/>
    <col min="7434" max="7434" width="4" style="22" customWidth="1"/>
    <col min="7435" max="7662" width="11.42578125" style="22"/>
    <col min="7663" max="7663" width="14.85546875" style="22" bestFit="1" customWidth="1"/>
    <col min="7664" max="7664" width="28" style="22" bestFit="1" customWidth="1"/>
    <col min="7665" max="7665" width="4.42578125" style="22" bestFit="1" customWidth="1"/>
    <col min="7666" max="7666" width="8" style="22" bestFit="1" customWidth="1"/>
    <col min="7667" max="7667" width="11.42578125" style="22"/>
    <col min="7668" max="7668" width="22.85546875" style="22" bestFit="1" customWidth="1"/>
    <col min="7669" max="7669" width="7" style="22" customWidth="1"/>
    <col min="7670" max="7670" width="6.28515625" style="22" customWidth="1"/>
    <col min="7671" max="7671" width="5.7109375" style="22" customWidth="1"/>
    <col min="7672" max="7672" width="5.7109375" style="22" bestFit="1" customWidth="1"/>
    <col min="7673" max="7673" width="5.85546875" style="22" bestFit="1" customWidth="1"/>
    <col min="7674" max="7674" width="9.42578125" style="22" customWidth="1"/>
    <col min="7675" max="7675" width="5.140625" style="22" customWidth="1"/>
    <col min="7676" max="7676" width="9.7109375" style="22" customWidth="1"/>
    <col min="7677" max="7677" width="6.7109375" style="22" bestFit="1" customWidth="1"/>
    <col min="7678" max="7678" width="4.85546875" style="22" customWidth="1"/>
    <col min="7679" max="7679" width="5.28515625" style="22" customWidth="1"/>
    <col min="7680" max="7681" width="4.42578125" style="22" bestFit="1" customWidth="1"/>
    <col min="7682" max="7682" width="13.28515625" style="22" bestFit="1" customWidth="1"/>
    <col min="7683" max="7683" width="3.140625" style="22" customWidth="1"/>
    <col min="7684" max="7684" width="5.42578125" style="22" bestFit="1" customWidth="1"/>
    <col min="7685" max="7685" width="4.42578125" style="22" bestFit="1" customWidth="1"/>
    <col min="7686" max="7686" width="6.42578125" style="22" customWidth="1"/>
    <col min="7687" max="7687" width="5" style="22" bestFit="1" customWidth="1"/>
    <col min="7688" max="7688" width="4.5703125" style="22" bestFit="1" customWidth="1"/>
    <col min="7689" max="7689" width="4.42578125" style="22" bestFit="1" customWidth="1"/>
    <col min="7690" max="7690" width="4" style="22" customWidth="1"/>
    <col min="7691" max="7918" width="11.42578125" style="22"/>
    <col min="7919" max="7919" width="14.85546875" style="22" bestFit="1" customWidth="1"/>
    <col min="7920" max="7920" width="28" style="22" bestFit="1" customWidth="1"/>
    <col min="7921" max="7921" width="4.42578125" style="22" bestFit="1" customWidth="1"/>
    <col min="7922" max="7922" width="8" style="22" bestFit="1" customWidth="1"/>
    <col min="7923" max="7923" width="11.42578125" style="22"/>
    <col min="7924" max="7924" width="22.85546875" style="22" bestFit="1" customWidth="1"/>
    <col min="7925" max="7925" width="7" style="22" customWidth="1"/>
    <col min="7926" max="7926" width="6.28515625" style="22" customWidth="1"/>
    <col min="7927" max="7927" width="5.7109375" style="22" customWidth="1"/>
    <col min="7928" max="7928" width="5.7109375" style="22" bestFit="1" customWidth="1"/>
    <col min="7929" max="7929" width="5.85546875" style="22" bestFit="1" customWidth="1"/>
    <col min="7930" max="7930" width="9.42578125" style="22" customWidth="1"/>
    <col min="7931" max="7931" width="5.140625" style="22" customWidth="1"/>
    <col min="7932" max="7932" width="9.7109375" style="22" customWidth="1"/>
    <col min="7933" max="7933" width="6.7109375" style="22" bestFit="1" customWidth="1"/>
    <col min="7934" max="7934" width="4.85546875" style="22" customWidth="1"/>
    <col min="7935" max="7935" width="5.28515625" style="22" customWidth="1"/>
    <col min="7936" max="7937" width="4.42578125" style="22" bestFit="1" customWidth="1"/>
    <col min="7938" max="7938" width="13.28515625" style="22" bestFit="1" customWidth="1"/>
    <col min="7939" max="7939" width="3.140625" style="22" customWidth="1"/>
    <col min="7940" max="7940" width="5.42578125" style="22" bestFit="1" customWidth="1"/>
    <col min="7941" max="7941" width="4.42578125" style="22" bestFit="1" customWidth="1"/>
    <col min="7942" max="7942" width="6.42578125" style="22" customWidth="1"/>
    <col min="7943" max="7943" width="5" style="22" bestFit="1" customWidth="1"/>
    <col min="7944" max="7944" width="4.5703125" style="22" bestFit="1" customWidth="1"/>
    <col min="7945" max="7945" width="4.42578125" style="22" bestFit="1" customWidth="1"/>
    <col min="7946" max="7946" width="4" style="22" customWidth="1"/>
    <col min="7947" max="8174" width="11.42578125" style="22"/>
    <col min="8175" max="8175" width="14.85546875" style="22" bestFit="1" customWidth="1"/>
    <col min="8176" max="8176" width="28" style="22" bestFit="1" customWidth="1"/>
    <col min="8177" max="8177" width="4.42578125" style="22" bestFit="1" customWidth="1"/>
    <col min="8178" max="8178" width="8" style="22" bestFit="1" customWidth="1"/>
    <col min="8179" max="8179" width="11.42578125" style="22"/>
    <col min="8180" max="8180" width="22.85546875" style="22" bestFit="1" customWidth="1"/>
    <col min="8181" max="8181" width="7" style="22" customWidth="1"/>
    <col min="8182" max="8182" width="6.28515625" style="22" customWidth="1"/>
    <col min="8183" max="8183" width="5.7109375" style="22" customWidth="1"/>
    <col min="8184" max="8184" width="5.7109375" style="22" bestFit="1" customWidth="1"/>
    <col min="8185" max="8185" width="5.85546875" style="22" bestFit="1" customWidth="1"/>
    <col min="8186" max="8186" width="9.42578125" style="22" customWidth="1"/>
    <col min="8187" max="8187" width="5.140625" style="22" customWidth="1"/>
    <col min="8188" max="8188" width="9.7109375" style="22" customWidth="1"/>
    <col min="8189" max="8189" width="6.7109375" style="22" bestFit="1" customWidth="1"/>
    <col min="8190" max="8190" width="4.85546875" style="22" customWidth="1"/>
    <col min="8191" max="8191" width="5.28515625" style="22" customWidth="1"/>
    <col min="8192" max="8193" width="4.42578125" style="22" bestFit="1" customWidth="1"/>
    <col min="8194" max="8194" width="13.28515625" style="22" bestFit="1" customWidth="1"/>
    <col min="8195" max="8195" width="3.140625" style="22" customWidth="1"/>
    <col min="8196" max="8196" width="5.42578125" style="22" bestFit="1" customWidth="1"/>
    <col min="8197" max="8197" width="4.42578125" style="22" bestFit="1" customWidth="1"/>
    <col min="8198" max="8198" width="6.42578125" style="22" customWidth="1"/>
    <col min="8199" max="8199" width="5" style="22" bestFit="1" customWidth="1"/>
    <col min="8200" max="8200" width="4.5703125" style="22" bestFit="1" customWidth="1"/>
    <col min="8201" max="8201" width="4.42578125" style="22" bestFit="1" customWidth="1"/>
    <col min="8202" max="8202" width="4" style="22" customWidth="1"/>
    <col min="8203" max="8430" width="11.42578125" style="22"/>
    <col min="8431" max="8431" width="14.85546875" style="22" bestFit="1" customWidth="1"/>
    <col min="8432" max="8432" width="28" style="22" bestFit="1" customWidth="1"/>
    <col min="8433" max="8433" width="4.42578125" style="22" bestFit="1" customWidth="1"/>
    <col min="8434" max="8434" width="8" style="22" bestFit="1" customWidth="1"/>
    <col min="8435" max="8435" width="11.42578125" style="22"/>
    <col min="8436" max="8436" width="22.85546875" style="22" bestFit="1" customWidth="1"/>
    <col min="8437" max="8437" width="7" style="22" customWidth="1"/>
    <col min="8438" max="8438" width="6.28515625" style="22" customWidth="1"/>
    <col min="8439" max="8439" width="5.7109375" style="22" customWidth="1"/>
    <col min="8440" max="8440" width="5.7109375" style="22" bestFit="1" customWidth="1"/>
    <col min="8441" max="8441" width="5.85546875" style="22" bestFit="1" customWidth="1"/>
    <col min="8442" max="8442" width="9.42578125" style="22" customWidth="1"/>
    <col min="8443" max="8443" width="5.140625" style="22" customWidth="1"/>
    <col min="8444" max="8444" width="9.7109375" style="22" customWidth="1"/>
    <col min="8445" max="8445" width="6.7109375" style="22" bestFit="1" customWidth="1"/>
    <col min="8446" max="8446" width="4.85546875" style="22" customWidth="1"/>
    <col min="8447" max="8447" width="5.28515625" style="22" customWidth="1"/>
    <col min="8448" max="8449" width="4.42578125" style="22" bestFit="1" customWidth="1"/>
    <col min="8450" max="8450" width="13.28515625" style="22" bestFit="1" customWidth="1"/>
    <col min="8451" max="8451" width="3.140625" style="22" customWidth="1"/>
    <col min="8452" max="8452" width="5.42578125" style="22" bestFit="1" customWidth="1"/>
    <col min="8453" max="8453" width="4.42578125" style="22" bestFit="1" customWidth="1"/>
    <col min="8454" max="8454" width="6.42578125" style="22" customWidth="1"/>
    <col min="8455" max="8455" width="5" style="22" bestFit="1" customWidth="1"/>
    <col min="8456" max="8456" width="4.5703125" style="22" bestFit="1" customWidth="1"/>
    <col min="8457" max="8457" width="4.42578125" style="22" bestFit="1" customWidth="1"/>
    <col min="8458" max="8458" width="4" style="22" customWidth="1"/>
    <col min="8459" max="8686" width="11.42578125" style="22"/>
    <col min="8687" max="8687" width="14.85546875" style="22" bestFit="1" customWidth="1"/>
    <col min="8688" max="8688" width="28" style="22" bestFit="1" customWidth="1"/>
    <col min="8689" max="8689" width="4.42578125" style="22" bestFit="1" customWidth="1"/>
    <col min="8690" max="8690" width="8" style="22" bestFit="1" customWidth="1"/>
    <col min="8691" max="8691" width="11.42578125" style="22"/>
    <col min="8692" max="8692" width="22.85546875" style="22" bestFit="1" customWidth="1"/>
    <col min="8693" max="8693" width="7" style="22" customWidth="1"/>
    <col min="8694" max="8694" width="6.28515625" style="22" customWidth="1"/>
    <col min="8695" max="8695" width="5.7109375" style="22" customWidth="1"/>
    <col min="8696" max="8696" width="5.7109375" style="22" bestFit="1" customWidth="1"/>
    <col min="8697" max="8697" width="5.85546875" style="22" bestFit="1" customWidth="1"/>
    <col min="8698" max="8698" width="9.42578125" style="22" customWidth="1"/>
    <col min="8699" max="8699" width="5.140625" style="22" customWidth="1"/>
    <col min="8700" max="8700" width="9.7109375" style="22" customWidth="1"/>
    <col min="8701" max="8701" width="6.7109375" style="22" bestFit="1" customWidth="1"/>
    <col min="8702" max="8702" width="4.85546875" style="22" customWidth="1"/>
    <col min="8703" max="8703" width="5.28515625" style="22" customWidth="1"/>
    <col min="8704" max="8705" width="4.42578125" style="22" bestFit="1" customWidth="1"/>
    <col min="8706" max="8706" width="13.28515625" style="22" bestFit="1" customWidth="1"/>
    <col min="8707" max="8707" width="3.140625" style="22" customWidth="1"/>
    <col min="8708" max="8708" width="5.42578125" style="22" bestFit="1" customWidth="1"/>
    <col min="8709" max="8709" width="4.42578125" style="22" bestFit="1" customWidth="1"/>
    <col min="8710" max="8710" width="6.42578125" style="22" customWidth="1"/>
    <col min="8711" max="8711" width="5" style="22" bestFit="1" customWidth="1"/>
    <col min="8712" max="8712" width="4.5703125" style="22" bestFit="1" customWidth="1"/>
    <col min="8713" max="8713" width="4.42578125" style="22" bestFit="1" customWidth="1"/>
    <col min="8714" max="8714" width="4" style="22" customWidth="1"/>
    <col min="8715" max="8942" width="11.42578125" style="22"/>
    <col min="8943" max="8943" width="14.85546875" style="22" bestFit="1" customWidth="1"/>
    <col min="8944" max="8944" width="28" style="22" bestFit="1" customWidth="1"/>
    <col min="8945" max="8945" width="4.42578125" style="22" bestFit="1" customWidth="1"/>
    <col min="8946" max="8946" width="8" style="22" bestFit="1" customWidth="1"/>
    <col min="8947" max="8947" width="11.42578125" style="22"/>
    <col min="8948" max="8948" width="22.85546875" style="22" bestFit="1" customWidth="1"/>
    <col min="8949" max="8949" width="7" style="22" customWidth="1"/>
    <col min="8950" max="8950" width="6.28515625" style="22" customWidth="1"/>
    <col min="8951" max="8951" width="5.7109375" style="22" customWidth="1"/>
    <col min="8952" max="8952" width="5.7109375" style="22" bestFit="1" customWidth="1"/>
    <col min="8953" max="8953" width="5.85546875" style="22" bestFit="1" customWidth="1"/>
    <col min="8954" max="8954" width="9.42578125" style="22" customWidth="1"/>
    <col min="8955" max="8955" width="5.140625" style="22" customWidth="1"/>
    <col min="8956" max="8956" width="9.7109375" style="22" customWidth="1"/>
    <col min="8957" max="8957" width="6.7109375" style="22" bestFit="1" customWidth="1"/>
    <col min="8958" max="8958" width="4.85546875" style="22" customWidth="1"/>
    <col min="8959" max="8959" width="5.28515625" style="22" customWidth="1"/>
    <col min="8960" max="8961" width="4.42578125" style="22" bestFit="1" customWidth="1"/>
    <col min="8962" max="8962" width="13.28515625" style="22" bestFit="1" customWidth="1"/>
    <col min="8963" max="8963" width="3.140625" style="22" customWidth="1"/>
    <col min="8964" max="8964" width="5.42578125" style="22" bestFit="1" customWidth="1"/>
    <col min="8965" max="8965" width="4.42578125" style="22" bestFit="1" customWidth="1"/>
    <col min="8966" max="8966" width="6.42578125" style="22" customWidth="1"/>
    <col min="8967" max="8967" width="5" style="22" bestFit="1" customWidth="1"/>
    <col min="8968" max="8968" width="4.5703125" style="22" bestFit="1" customWidth="1"/>
    <col min="8969" max="8969" width="4.42578125" style="22" bestFit="1" customWidth="1"/>
    <col min="8970" max="8970" width="4" style="22" customWidth="1"/>
    <col min="8971" max="9198" width="11.42578125" style="22"/>
    <col min="9199" max="9199" width="14.85546875" style="22" bestFit="1" customWidth="1"/>
    <col min="9200" max="9200" width="28" style="22" bestFit="1" customWidth="1"/>
    <col min="9201" max="9201" width="4.42578125" style="22" bestFit="1" customWidth="1"/>
    <col min="9202" max="9202" width="8" style="22" bestFit="1" customWidth="1"/>
    <col min="9203" max="9203" width="11.42578125" style="22"/>
    <col min="9204" max="9204" width="22.85546875" style="22" bestFit="1" customWidth="1"/>
    <col min="9205" max="9205" width="7" style="22" customWidth="1"/>
    <col min="9206" max="9206" width="6.28515625" style="22" customWidth="1"/>
    <col min="9207" max="9207" width="5.7109375" style="22" customWidth="1"/>
    <col min="9208" max="9208" width="5.7109375" style="22" bestFit="1" customWidth="1"/>
    <col min="9209" max="9209" width="5.85546875" style="22" bestFit="1" customWidth="1"/>
    <col min="9210" max="9210" width="9.42578125" style="22" customWidth="1"/>
    <col min="9211" max="9211" width="5.140625" style="22" customWidth="1"/>
    <col min="9212" max="9212" width="9.7109375" style="22" customWidth="1"/>
    <col min="9213" max="9213" width="6.7109375" style="22" bestFit="1" customWidth="1"/>
    <col min="9214" max="9214" width="4.85546875" style="22" customWidth="1"/>
    <col min="9215" max="9215" width="5.28515625" style="22" customWidth="1"/>
    <col min="9216" max="9217" width="4.42578125" style="22" bestFit="1" customWidth="1"/>
    <col min="9218" max="9218" width="13.28515625" style="22" bestFit="1" customWidth="1"/>
    <col min="9219" max="9219" width="3.140625" style="22" customWidth="1"/>
    <col min="9220" max="9220" width="5.42578125" style="22" bestFit="1" customWidth="1"/>
    <col min="9221" max="9221" width="4.42578125" style="22" bestFit="1" customWidth="1"/>
    <col min="9222" max="9222" width="6.42578125" style="22" customWidth="1"/>
    <col min="9223" max="9223" width="5" style="22" bestFit="1" customWidth="1"/>
    <col min="9224" max="9224" width="4.5703125" style="22" bestFit="1" customWidth="1"/>
    <col min="9225" max="9225" width="4.42578125" style="22" bestFit="1" customWidth="1"/>
    <col min="9226" max="9226" width="4" style="22" customWidth="1"/>
    <col min="9227" max="9454" width="11.42578125" style="22"/>
    <col min="9455" max="9455" width="14.85546875" style="22" bestFit="1" customWidth="1"/>
    <col min="9456" max="9456" width="28" style="22" bestFit="1" customWidth="1"/>
    <col min="9457" max="9457" width="4.42578125" style="22" bestFit="1" customWidth="1"/>
    <col min="9458" max="9458" width="8" style="22" bestFit="1" customWidth="1"/>
    <col min="9459" max="9459" width="11.42578125" style="22"/>
    <col min="9460" max="9460" width="22.85546875" style="22" bestFit="1" customWidth="1"/>
    <col min="9461" max="9461" width="7" style="22" customWidth="1"/>
    <col min="9462" max="9462" width="6.28515625" style="22" customWidth="1"/>
    <col min="9463" max="9463" width="5.7109375" style="22" customWidth="1"/>
    <col min="9464" max="9464" width="5.7109375" style="22" bestFit="1" customWidth="1"/>
    <col min="9465" max="9465" width="5.85546875" style="22" bestFit="1" customWidth="1"/>
    <col min="9466" max="9466" width="9.42578125" style="22" customWidth="1"/>
    <col min="9467" max="9467" width="5.140625" style="22" customWidth="1"/>
    <col min="9468" max="9468" width="9.7109375" style="22" customWidth="1"/>
    <col min="9469" max="9469" width="6.7109375" style="22" bestFit="1" customWidth="1"/>
    <col min="9470" max="9470" width="4.85546875" style="22" customWidth="1"/>
    <col min="9471" max="9471" width="5.28515625" style="22" customWidth="1"/>
    <col min="9472" max="9473" width="4.42578125" style="22" bestFit="1" customWidth="1"/>
    <col min="9474" max="9474" width="13.28515625" style="22" bestFit="1" customWidth="1"/>
    <col min="9475" max="9475" width="3.140625" style="22" customWidth="1"/>
    <col min="9476" max="9476" width="5.42578125" style="22" bestFit="1" customWidth="1"/>
    <col min="9477" max="9477" width="4.42578125" style="22" bestFit="1" customWidth="1"/>
    <col min="9478" max="9478" width="6.42578125" style="22" customWidth="1"/>
    <col min="9479" max="9479" width="5" style="22" bestFit="1" customWidth="1"/>
    <col min="9480" max="9480" width="4.5703125" style="22" bestFit="1" customWidth="1"/>
    <col min="9481" max="9481" width="4.42578125" style="22" bestFit="1" customWidth="1"/>
    <col min="9482" max="9482" width="4" style="22" customWidth="1"/>
    <col min="9483" max="9710" width="11.42578125" style="22"/>
    <col min="9711" max="9711" width="14.85546875" style="22" bestFit="1" customWidth="1"/>
    <col min="9712" max="9712" width="28" style="22" bestFit="1" customWidth="1"/>
    <col min="9713" max="9713" width="4.42578125" style="22" bestFit="1" customWidth="1"/>
    <col min="9714" max="9714" width="8" style="22" bestFit="1" customWidth="1"/>
    <col min="9715" max="9715" width="11.42578125" style="22"/>
    <col min="9716" max="9716" width="22.85546875" style="22" bestFit="1" customWidth="1"/>
    <col min="9717" max="9717" width="7" style="22" customWidth="1"/>
    <col min="9718" max="9718" width="6.28515625" style="22" customWidth="1"/>
    <col min="9719" max="9719" width="5.7109375" style="22" customWidth="1"/>
    <col min="9720" max="9720" width="5.7109375" style="22" bestFit="1" customWidth="1"/>
    <col min="9721" max="9721" width="5.85546875" style="22" bestFit="1" customWidth="1"/>
    <col min="9722" max="9722" width="9.42578125" style="22" customWidth="1"/>
    <col min="9723" max="9723" width="5.140625" style="22" customWidth="1"/>
    <col min="9724" max="9724" width="9.7109375" style="22" customWidth="1"/>
    <col min="9725" max="9725" width="6.7109375" style="22" bestFit="1" customWidth="1"/>
    <col min="9726" max="9726" width="4.85546875" style="22" customWidth="1"/>
    <col min="9727" max="9727" width="5.28515625" style="22" customWidth="1"/>
    <col min="9728" max="9729" width="4.42578125" style="22" bestFit="1" customWidth="1"/>
    <col min="9730" max="9730" width="13.28515625" style="22" bestFit="1" customWidth="1"/>
    <col min="9731" max="9731" width="3.140625" style="22" customWidth="1"/>
    <col min="9732" max="9732" width="5.42578125" style="22" bestFit="1" customWidth="1"/>
    <col min="9733" max="9733" width="4.42578125" style="22" bestFit="1" customWidth="1"/>
    <col min="9734" max="9734" width="6.42578125" style="22" customWidth="1"/>
    <col min="9735" max="9735" width="5" style="22" bestFit="1" customWidth="1"/>
    <col min="9736" max="9736" width="4.5703125" style="22" bestFit="1" customWidth="1"/>
    <col min="9737" max="9737" width="4.42578125" style="22" bestFit="1" customWidth="1"/>
    <col min="9738" max="9738" width="4" style="22" customWidth="1"/>
    <col min="9739" max="9966" width="11.42578125" style="22"/>
    <col min="9967" max="9967" width="14.85546875" style="22" bestFit="1" customWidth="1"/>
    <col min="9968" max="9968" width="28" style="22" bestFit="1" customWidth="1"/>
    <col min="9969" max="9969" width="4.42578125" style="22" bestFit="1" customWidth="1"/>
    <col min="9970" max="9970" width="8" style="22" bestFit="1" customWidth="1"/>
    <col min="9971" max="9971" width="11.42578125" style="22"/>
    <col min="9972" max="9972" width="22.85546875" style="22" bestFit="1" customWidth="1"/>
    <col min="9973" max="9973" width="7" style="22" customWidth="1"/>
    <col min="9974" max="9974" width="6.28515625" style="22" customWidth="1"/>
    <col min="9975" max="9975" width="5.7109375" style="22" customWidth="1"/>
    <col min="9976" max="9976" width="5.7109375" style="22" bestFit="1" customWidth="1"/>
    <col min="9977" max="9977" width="5.85546875" style="22" bestFit="1" customWidth="1"/>
    <col min="9978" max="9978" width="9.42578125" style="22" customWidth="1"/>
    <col min="9979" max="9979" width="5.140625" style="22" customWidth="1"/>
    <col min="9980" max="9980" width="9.7109375" style="22" customWidth="1"/>
    <col min="9981" max="9981" width="6.7109375" style="22" bestFit="1" customWidth="1"/>
    <col min="9982" max="9982" width="4.85546875" style="22" customWidth="1"/>
    <col min="9983" max="9983" width="5.28515625" style="22" customWidth="1"/>
    <col min="9984" max="9985" width="4.42578125" style="22" bestFit="1" customWidth="1"/>
    <col min="9986" max="9986" width="13.28515625" style="22" bestFit="1" customWidth="1"/>
    <col min="9987" max="9987" width="3.140625" style="22" customWidth="1"/>
    <col min="9988" max="9988" width="5.42578125" style="22" bestFit="1" customWidth="1"/>
    <col min="9989" max="9989" width="4.42578125" style="22" bestFit="1" customWidth="1"/>
    <col min="9990" max="9990" width="6.42578125" style="22" customWidth="1"/>
    <col min="9991" max="9991" width="5" style="22" bestFit="1" customWidth="1"/>
    <col min="9992" max="9992" width="4.5703125" style="22" bestFit="1" customWidth="1"/>
    <col min="9993" max="9993" width="4.42578125" style="22" bestFit="1" customWidth="1"/>
    <col min="9994" max="9994" width="4" style="22" customWidth="1"/>
    <col min="9995" max="10222" width="11.42578125" style="22"/>
    <col min="10223" max="10223" width="14.85546875" style="22" bestFit="1" customWidth="1"/>
    <col min="10224" max="10224" width="28" style="22" bestFit="1" customWidth="1"/>
    <col min="10225" max="10225" width="4.42578125" style="22" bestFit="1" customWidth="1"/>
    <col min="10226" max="10226" width="8" style="22" bestFit="1" customWidth="1"/>
    <col min="10227" max="10227" width="11.42578125" style="22"/>
    <col min="10228" max="10228" width="22.85546875" style="22" bestFit="1" customWidth="1"/>
    <col min="10229" max="10229" width="7" style="22" customWidth="1"/>
    <col min="10230" max="10230" width="6.28515625" style="22" customWidth="1"/>
    <col min="10231" max="10231" width="5.7109375" style="22" customWidth="1"/>
    <col min="10232" max="10232" width="5.7109375" style="22" bestFit="1" customWidth="1"/>
    <col min="10233" max="10233" width="5.85546875" style="22" bestFit="1" customWidth="1"/>
    <col min="10234" max="10234" width="9.42578125" style="22" customWidth="1"/>
    <col min="10235" max="10235" width="5.140625" style="22" customWidth="1"/>
    <col min="10236" max="10236" width="9.7109375" style="22" customWidth="1"/>
    <col min="10237" max="10237" width="6.7109375" style="22" bestFit="1" customWidth="1"/>
    <col min="10238" max="10238" width="4.85546875" style="22" customWidth="1"/>
    <col min="10239" max="10239" width="5.28515625" style="22" customWidth="1"/>
    <col min="10240" max="10241" width="4.42578125" style="22" bestFit="1" customWidth="1"/>
    <col min="10242" max="10242" width="13.28515625" style="22" bestFit="1" customWidth="1"/>
    <col min="10243" max="10243" width="3.140625" style="22" customWidth="1"/>
    <col min="10244" max="10244" width="5.42578125" style="22" bestFit="1" customWidth="1"/>
    <col min="10245" max="10245" width="4.42578125" style="22" bestFit="1" customWidth="1"/>
    <col min="10246" max="10246" width="6.42578125" style="22" customWidth="1"/>
    <col min="10247" max="10247" width="5" style="22" bestFit="1" customWidth="1"/>
    <col min="10248" max="10248" width="4.5703125" style="22" bestFit="1" customWidth="1"/>
    <col min="10249" max="10249" width="4.42578125" style="22" bestFit="1" customWidth="1"/>
    <col min="10250" max="10250" width="4" style="22" customWidth="1"/>
    <col min="10251" max="10478" width="11.42578125" style="22"/>
    <col min="10479" max="10479" width="14.85546875" style="22" bestFit="1" customWidth="1"/>
    <col min="10480" max="10480" width="28" style="22" bestFit="1" customWidth="1"/>
    <col min="10481" max="10481" width="4.42578125" style="22" bestFit="1" customWidth="1"/>
    <col min="10482" max="10482" width="8" style="22" bestFit="1" customWidth="1"/>
    <col min="10483" max="10483" width="11.42578125" style="22"/>
    <col min="10484" max="10484" width="22.85546875" style="22" bestFit="1" customWidth="1"/>
    <col min="10485" max="10485" width="7" style="22" customWidth="1"/>
    <col min="10486" max="10486" width="6.28515625" style="22" customWidth="1"/>
    <col min="10487" max="10487" width="5.7109375" style="22" customWidth="1"/>
    <col min="10488" max="10488" width="5.7109375" style="22" bestFit="1" customWidth="1"/>
    <col min="10489" max="10489" width="5.85546875" style="22" bestFit="1" customWidth="1"/>
    <col min="10490" max="10490" width="9.42578125" style="22" customWidth="1"/>
    <col min="10491" max="10491" width="5.140625" style="22" customWidth="1"/>
    <col min="10492" max="10492" width="9.7109375" style="22" customWidth="1"/>
    <col min="10493" max="10493" width="6.7109375" style="22" bestFit="1" customWidth="1"/>
    <col min="10494" max="10494" width="4.85546875" style="22" customWidth="1"/>
    <col min="10495" max="10495" width="5.28515625" style="22" customWidth="1"/>
    <col min="10496" max="10497" width="4.42578125" style="22" bestFit="1" customWidth="1"/>
    <col min="10498" max="10498" width="13.28515625" style="22" bestFit="1" customWidth="1"/>
    <col min="10499" max="10499" width="3.140625" style="22" customWidth="1"/>
    <col min="10500" max="10500" width="5.42578125" style="22" bestFit="1" customWidth="1"/>
    <col min="10501" max="10501" width="4.42578125" style="22" bestFit="1" customWidth="1"/>
    <col min="10502" max="10502" width="6.42578125" style="22" customWidth="1"/>
    <col min="10503" max="10503" width="5" style="22" bestFit="1" customWidth="1"/>
    <col min="10504" max="10504" width="4.5703125" style="22" bestFit="1" customWidth="1"/>
    <col min="10505" max="10505" width="4.42578125" style="22" bestFit="1" customWidth="1"/>
    <col min="10506" max="10506" width="4" style="22" customWidth="1"/>
    <col min="10507" max="10734" width="11.42578125" style="22"/>
    <col min="10735" max="10735" width="14.85546875" style="22" bestFit="1" customWidth="1"/>
    <col min="10736" max="10736" width="28" style="22" bestFit="1" customWidth="1"/>
    <col min="10737" max="10737" width="4.42578125" style="22" bestFit="1" customWidth="1"/>
    <col min="10738" max="10738" width="8" style="22" bestFit="1" customWidth="1"/>
    <col min="10739" max="10739" width="11.42578125" style="22"/>
    <col min="10740" max="10740" width="22.85546875" style="22" bestFit="1" customWidth="1"/>
    <col min="10741" max="10741" width="7" style="22" customWidth="1"/>
    <col min="10742" max="10742" width="6.28515625" style="22" customWidth="1"/>
    <col min="10743" max="10743" width="5.7109375" style="22" customWidth="1"/>
    <col min="10744" max="10744" width="5.7109375" style="22" bestFit="1" customWidth="1"/>
    <col min="10745" max="10745" width="5.85546875" style="22" bestFit="1" customWidth="1"/>
    <col min="10746" max="10746" width="9.42578125" style="22" customWidth="1"/>
    <col min="10747" max="10747" width="5.140625" style="22" customWidth="1"/>
    <col min="10748" max="10748" width="9.7109375" style="22" customWidth="1"/>
    <col min="10749" max="10749" width="6.7109375" style="22" bestFit="1" customWidth="1"/>
    <col min="10750" max="10750" width="4.85546875" style="22" customWidth="1"/>
    <col min="10751" max="10751" width="5.28515625" style="22" customWidth="1"/>
    <col min="10752" max="10753" width="4.42578125" style="22" bestFit="1" customWidth="1"/>
    <col min="10754" max="10754" width="13.28515625" style="22" bestFit="1" customWidth="1"/>
    <col min="10755" max="10755" width="3.140625" style="22" customWidth="1"/>
    <col min="10756" max="10756" width="5.42578125" style="22" bestFit="1" customWidth="1"/>
    <col min="10757" max="10757" width="4.42578125" style="22" bestFit="1" customWidth="1"/>
    <col min="10758" max="10758" width="6.42578125" style="22" customWidth="1"/>
    <col min="10759" max="10759" width="5" style="22" bestFit="1" customWidth="1"/>
    <col min="10760" max="10760" width="4.5703125" style="22" bestFit="1" customWidth="1"/>
    <col min="10761" max="10761" width="4.42578125" style="22" bestFit="1" customWidth="1"/>
    <col min="10762" max="10762" width="4" style="22" customWidth="1"/>
    <col min="10763" max="10990" width="11.42578125" style="22"/>
    <col min="10991" max="10991" width="14.85546875" style="22" bestFit="1" customWidth="1"/>
    <col min="10992" max="10992" width="28" style="22" bestFit="1" customWidth="1"/>
    <col min="10993" max="10993" width="4.42578125" style="22" bestFit="1" customWidth="1"/>
    <col min="10994" max="10994" width="8" style="22" bestFit="1" customWidth="1"/>
    <col min="10995" max="10995" width="11.42578125" style="22"/>
    <col min="10996" max="10996" width="22.85546875" style="22" bestFit="1" customWidth="1"/>
    <col min="10997" max="10997" width="7" style="22" customWidth="1"/>
    <col min="10998" max="10998" width="6.28515625" style="22" customWidth="1"/>
    <col min="10999" max="10999" width="5.7109375" style="22" customWidth="1"/>
    <col min="11000" max="11000" width="5.7109375" style="22" bestFit="1" customWidth="1"/>
    <col min="11001" max="11001" width="5.85546875" style="22" bestFit="1" customWidth="1"/>
    <col min="11002" max="11002" width="9.42578125" style="22" customWidth="1"/>
    <col min="11003" max="11003" width="5.140625" style="22" customWidth="1"/>
    <col min="11004" max="11004" width="9.7109375" style="22" customWidth="1"/>
    <col min="11005" max="11005" width="6.7109375" style="22" bestFit="1" customWidth="1"/>
    <col min="11006" max="11006" width="4.85546875" style="22" customWidth="1"/>
    <col min="11007" max="11007" width="5.28515625" style="22" customWidth="1"/>
    <col min="11008" max="11009" width="4.42578125" style="22" bestFit="1" customWidth="1"/>
    <col min="11010" max="11010" width="13.28515625" style="22" bestFit="1" customWidth="1"/>
    <col min="11011" max="11011" width="3.140625" style="22" customWidth="1"/>
    <col min="11012" max="11012" width="5.42578125" style="22" bestFit="1" customWidth="1"/>
    <col min="11013" max="11013" width="4.42578125" style="22" bestFit="1" customWidth="1"/>
    <col min="11014" max="11014" width="6.42578125" style="22" customWidth="1"/>
    <col min="11015" max="11015" width="5" style="22" bestFit="1" customWidth="1"/>
    <col min="11016" max="11016" width="4.5703125" style="22" bestFit="1" customWidth="1"/>
    <col min="11017" max="11017" width="4.42578125" style="22" bestFit="1" customWidth="1"/>
    <col min="11018" max="11018" width="4" style="22" customWidth="1"/>
    <col min="11019" max="11246" width="11.42578125" style="22"/>
    <col min="11247" max="11247" width="14.85546875" style="22" bestFit="1" customWidth="1"/>
    <col min="11248" max="11248" width="28" style="22" bestFit="1" customWidth="1"/>
    <col min="11249" max="11249" width="4.42578125" style="22" bestFit="1" customWidth="1"/>
    <col min="11250" max="11250" width="8" style="22" bestFit="1" customWidth="1"/>
    <col min="11251" max="11251" width="11.42578125" style="22"/>
    <col min="11252" max="11252" width="22.85546875" style="22" bestFit="1" customWidth="1"/>
    <col min="11253" max="11253" width="7" style="22" customWidth="1"/>
    <col min="11254" max="11254" width="6.28515625" style="22" customWidth="1"/>
    <col min="11255" max="11255" width="5.7109375" style="22" customWidth="1"/>
    <col min="11256" max="11256" width="5.7109375" style="22" bestFit="1" customWidth="1"/>
    <col min="11257" max="11257" width="5.85546875" style="22" bestFit="1" customWidth="1"/>
    <col min="11258" max="11258" width="9.42578125" style="22" customWidth="1"/>
    <col min="11259" max="11259" width="5.140625" style="22" customWidth="1"/>
    <col min="11260" max="11260" width="9.7109375" style="22" customWidth="1"/>
    <col min="11261" max="11261" width="6.7109375" style="22" bestFit="1" customWidth="1"/>
    <col min="11262" max="11262" width="4.85546875" style="22" customWidth="1"/>
    <col min="11263" max="11263" width="5.28515625" style="22" customWidth="1"/>
    <col min="11264" max="11265" width="4.42578125" style="22" bestFit="1" customWidth="1"/>
    <col min="11266" max="11266" width="13.28515625" style="22" bestFit="1" customWidth="1"/>
    <col min="11267" max="11267" width="3.140625" style="22" customWidth="1"/>
    <col min="11268" max="11268" width="5.42578125" style="22" bestFit="1" customWidth="1"/>
    <col min="11269" max="11269" width="4.42578125" style="22" bestFit="1" customWidth="1"/>
    <col min="11270" max="11270" width="6.42578125" style="22" customWidth="1"/>
    <col min="11271" max="11271" width="5" style="22" bestFit="1" customWidth="1"/>
    <col min="11272" max="11272" width="4.5703125" style="22" bestFit="1" customWidth="1"/>
    <col min="11273" max="11273" width="4.42578125" style="22" bestFit="1" customWidth="1"/>
    <col min="11274" max="11274" width="4" style="22" customWidth="1"/>
    <col min="11275" max="11502" width="11.42578125" style="22"/>
    <col min="11503" max="11503" width="14.85546875" style="22" bestFit="1" customWidth="1"/>
    <col min="11504" max="11504" width="28" style="22" bestFit="1" customWidth="1"/>
    <col min="11505" max="11505" width="4.42578125" style="22" bestFit="1" customWidth="1"/>
    <col min="11506" max="11506" width="8" style="22" bestFit="1" customWidth="1"/>
    <col min="11507" max="11507" width="11.42578125" style="22"/>
    <col min="11508" max="11508" width="22.85546875" style="22" bestFit="1" customWidth="1"/>
    <col min="11509" max="11509" width="7" style="22" customWidth="1"/>
    <col min="11510" max="11510" width="6.28515625" style="22" customWidth="1"/>
    <col min="11511" max="11511" width="5.7109375" style="22" customWidth="1"/>
    <col min="11512" max="11512" width="5.7109375" style="22" bestFit="1" customWidth="1"/>
    <col min="11513" max="11513" width="5.85546875" style="22" bestFit="1" customWidth="1"/>
    <col min="11514" max="11514" width="9.42578125" style="22" customWidth="1"/>
    <col min="11515" max="11515" width="5.140625" style="22" customWidth="1"/>
    <col min="11516" max="11516" width="9.7109375" style="22" customWidth="1"/>
    <col min="11517" max="11517" width="6.7109375" style="22" bestFit="1" customWidth="1"/>
    <col min="11518" max="11518" width="4.85546875" style="22" customWidth="1"/>
    <col min="11519" max="11519" width="5.28515625" style="22" customWidth="1"/>
    <col min="11520" max="11521" width="4.42578125" style="22" bestFit="1" customWidth="1"/>
    <col min="11522" max="11522" width="13.28515625" style="22" bestFit="1" customWidth="1"/>
    <col min="11523" max="11523" width="3.140625" style="22" customWidth="1"/>
    <col min="11524" max="11524" width="5.42578125" style="22" bestFit="1" customWidth="1"/>
    <col min="11525" max="11525" width="4.42578125" style="22" bestFit="1" customWidth="1"/>
    <col min="11526" max="11526" width="6.42578125" style="22" customWidth="1"/>
    <col min="11527" max="11527" width="5" style="22" bestFit="1" customWidth="1"/>
    <col min="11528" max="11528" width="4.5703125" style="22" bestFit="1" customWidth="1"/>
    <col min="11529" max="11529" width="4.42578125" style="22" bestFit="1" customWidth="1"/>
    <col min="11530" max="11530" width="4" style="22" customWidth="1"/>
    <col min="11531" max="11758" width="11.42578125" style="22"/>
    <col min="11759" max="11759" width="14.85546875" style="22" bestFit="1" customWidth="1"/>
    <col min="11760" max="11760" width="28" style="22" bestFit="1" customWidth="1"/>
    <col min="11761" max="11761" width="4.42578125" style="22" bestFit="1" customWidth="1"/>
    <col min="11762" max="11762" width="8" style="22" bestFit="1" customWidth="1"/>
    <col min="11763" max="11763" width="11.42578125" style="22"/>
    <col min="11764" max="11764" width="22.85546875" style="22" bestFit="1" customWidth="1"/>
    <col min="11765" max="11765" width="7" style="22" customWidth="1"/>
    <col min="11766" max="11766" width="6.28515625" style="22" customWidth="1"/>
    <col min="11767" max="11767" width="5.7109375" style="22" customWidth="1"/>
    <col min="11768" max="11768" width="5.7109375" style="22" bestFit="1" customWidth="1"/>
    <col min="11769" max="11769" width="5.85546875" style="22" bestFit="1" customWidth="1"/>
    <col min="11770" max="11770" width="9.42578125" style="22" customWidth="1"/>
    <col min="11771" max="11771" width="5.140625" style="22" customWidth="1"/>
    <col min="11772" max="11772" width="9.7109375" style="22" customWidth="1"/>
    <col min="11773" max="11773" width="6.7109375" style="22" bestFit="1" customWidth="1"/>
    <col min="11774" max="11774" width="4.85546875" style="22" customWidth="1"/>
    <col min="11775" max="11775" width="5.28515625" style="22" customWidth="1"/>
    <col min="11776" max="11777" width="4.42578125" style="22" bestFit="1" customWidth="1"/>
    <col min="11778" max="11778" width="13.28515625" style="22" bestFit="1" customWidth="1"/>
    <col min="11779" max="11779" width="3.140625" style="22" customWidth="1"/>
    <col min="11780" max="11780" width="5.42578125" style="22" bestFit="1" customWidth="1"/>
    <col min="11781" max="11781" width="4.42578125" style="22" bestFit="1" customWidth="1"/>
    <col min="11782" max="11782" width="6.42578125" style="22" customWidth="1"/>
    <col min="11783" max="11783" width="5" style="22" bestFit="1" customWidth="1"/>
    <col min="11784" max="11784" width="4.5703125" style="22" bestFit="1" customWidth="1"/>
    <col min="11785" max="11785" width="4.42578125" style="22" bestFit="1" customWidth="1"/>
    <col min="11786" max="11786" width="4" style="22" customWidth="1"/>
    <col min="11787" max="12014" width="11.42578125" style="22"/>
    <col min="12015" max="12015" width="14.85546875" style="22" bestFit="1" customWidth="1"/>
    <col min="12016" max="12016" width="28" style="22" bestFit="1" customWidth="1"/>
    <col min="12017" max="12017" width="4.42578125" style="22" bestFit="1" customWidth="1"/>
    <col min="12018" max="12018" width="8" style="22" bestFit="1" customWidth="1"/>
    <col min="12019" max="12019" width="11.42578125" style="22"/>
    <col min="12020" max="12020" width="22.85546875" style="22" bestFit="1" customWidth="1"/>
    <col min="12021" max="12021" width="7" style="22" customWidth="1"/>
    <col min="12022" max="12022" width="6.28515625" style="22" customWidth="1"/>
    <col min="12023" max="12023" width="5.7109375" style="22" customWidth="1"/>
    <col min="12024" max="12024" width="5.7109375" style="22" bestFit="1" customWidth="1"/>
    <col min="12025" max="12025" width="5.85546875" style="22" bestFit="1" customWidth="1"/>
    <col min="12026" max="12026" width="9.42578125" style="22" customWidth="1"/>
    <col min="12027" max="12027" width="5.140625" style="22" customWidth="1"/>
    <col min="12028" max="12028" width="9.7109375" style="22" customWidth="1"/>
    <col min="12029" max="12029" width="6.7109375" style="22" bestFit="1" customWidth="1"/>
    <col min="12030" max="12030" width="4.85546875" style="22" customWidth="1"/>
    <col min="12031" max="12031" width="5.28515625" style="22" customWidth="1"/>
    <col min="12032" max="12033" width="4.42578125" style="22" bestFit="1" customWidth="1"/>
    <col min="12034" max="12034" width="13.28515625" style="22" bestFit="1" customWidth="1"/>
    <col min="12035" max="12035" width="3.140625" style="22" customWidth="1"/>
    <col min="12036" max="12036" width="5.42578125" style="22" bestFit="1" customWidth="1"/>
    <col min="12037" max="12037" width="4.42578125" style="22" bestFit="1" customWidth="1"/>
    <col min="12038" max="12038" width="6.42578125" style="22" customWidth="1"/>
    <col min="12039" max="12039" width="5" style="22" bestFit="1" customWidth="1"/>
    <col min="12040" max="12040" width="4.5703125" style="22" bestFit="1" customWidth="1"/>
    <col min="12041" max="12041" width="4.42578125" style="22" bestFit="1" customWidth="1"/>
    <col min="12042" max="12042" width="4" style="22" customWidth="1"/>
    <col min="12043" max="12270" width="11.42578125" style="22"/>
    <col min="12271" max="12271" width="14.85546875" style="22" bestFit="1" customWidth="1"/>
    <col min="12272" max="12272" width="28" style="22" bestFit="1" customWidth="1"/>
    <col min="12273" max="12273" width="4.42578125" style="22" bestFit="1" customWidth="1"/>
    <col min="12274" max="12274" width="8" style="22" bestFit="1" customWidth="1"/>
    <col min="12275" max="12275" width="11.42578125" style="22"/>
    <col min="12276" max="12276" width="22.85546875" style="22" bestFit="1" customWidth="1"/>
    <col min="12277" max="12277" width="7" style="22" customWidth="1"/>
    <col min="12278" max="12278" width="6.28515625" style="22" customWidth="1"/>
    <col min="12279" max="12279" width="5.7109375" style="22" customWidth="1"/>
    <col min="12280" max="12280" width="5.7109375" style="22" bestFit="1" customWidth="1"/>
    <col min="12281" max="12281" width="5.85546875" style="22" bestFit="1" customWidth="1"/>
    <col min="12282" max="12282" width="9.42578125" style="22" customWidth="1"/>
    <col min="12283" max="12283" width="5.140625" style="22" customWidth="1"/>
    <col min="12284" max="12284" width="9.7109375" style="22" customWidth="1"/>
    <col min="12285" max="12285" width="6.7109375" style="22" bestFit="1" customWidth="1"/>
    <col min="12286" max="12286" width="4.85546875" style="22" customWidth="1"/>
    <col min="12287" max="12287" width="5.28515625" style="22" customWidth="1"/>
    <col min="12288" max="12289" width="4.42578125" style="22" bestFit="1" customWidth="1"/>
    <col min="12290" max="12290" width="13.28515625" style="22" bestFit="1" customWidth="1"/>
    <col min="12291" max="12291" width="3.140625" style="22" customWidth="1"/>
    <col min="12292" max="12292" width="5.42578125" style="22" bestFit="1" customWidth="1"/>
    <col min="12293" max="12293" width="4.42578125" style="22" bestFit="1" customWidth="1"/>
    <col min="12294" max="12294" width="6.42578125" style="22" customWidth="1"/>
    <col min="12295" max="12295" width="5" style="22" bestFit="1" customWidth="1"/>
    <col min="12296" max="12296" width="4.5703125" style="22" bestFit="1" customWidth="1"/>
    <col min="12297" max="12297" width="4.42578125" style="22" bestFit="1" customWidth="1"/>
    <col min="12298" max="12298" width="4" style="22" customWidth="1"/>
    <col min="12299" max="12526" width="11.42578125" style="22"/>
    <col min="12527" max="12527" width="14.85546875" style="22" bestFit="1" customWidth="1"/>
    <col min="12528" max="12528" width="28" style="22" bestFit="1" customWidth="1"/>
    <col min="12529" max="12529" width="4.42578125" style="22" bestFit="1" customWidth="1"/>
    <col min="12530" max="12530" width="8" style="22" bestFit="1" customWidth="1"/>
    <col min="12531" max="12531" width="11.42578125" style="22"/>
    <col min="12532" max="12532" width="22.85546875" style="22" bestFit="1" customWidth="1"/>
    <col min="12533" max="12533" width="7" style="22" customWidth="1"/>
    <col min="12534" max="12534" width="6.28515625" style="22" customWidth="1"/>
    <col min="12535" max="12535" width="5.7109375" style="22" customWidth="1"/>
    <col min="12536" max="12536" width="5.7109375" style="22" bestFit="1" customWidth="1"/>
    <col min="12537" max="12537" width="5.85546875" style="22" bestFit="1" customWidth="1"/>
    <col min="12538" max="12538" width="9.42578125" style="22" customWidth="1"/>
    <col min="12539" max="12539" width="5.140625" style="22" customWidth="1"/>
    <col min="12540" max="12540" width="9.7109375" style="22" customWidth="1"/>
    <col min="12541" max="12541" width="6.7109375" style="22" bestFit="1" customWidth="1"/>
    <col min="12542" max="12542" width="4.85546875" style="22" customWidth="1"/>
    <col min="12543" max="12543" width="5.28515625" style="22" customWidth="1"/>
    <col min="12544" max="12545" width="4.42578125" style="22" bestFit="1" customWidth="1"/>
    <col min="12546" max="12546" width="13.28515625" style="22" bestFit="1" customWidth="1"/>
    <col min="12547" max="12547" width="3.140625" style="22" customWidth="1"/>
    <col min="12548" max="12548" width="5.42578125" style="22" bestFit="1" customWidth="1"/>
    <col min="12549" max="12549" width="4.42578125" style="22" bestFit="1" customWidth="1"/>
    <col min="12550" max="12550" width="6.42578125" style="22" customWidth="1"/>
    <col min="12551" max="12551" width="5" style="22" bestFit="1" customWidth="1"/>
    <col min="12552" max="12552" width="4.5703125" style="22" bestFit="1" customWidth="1"/>
    <col min="12553" max="12553" width="4.42578125" style="22" bestFit="1" customWidth="1"/>
    <col min="12554" max="12554" width="4" style="22" customWidth="1"/>
    <col min="12555" max="12782" width="11.42578125" style="22"/>
    <col min="12783" max="12783" width="14.85546875" style="22" bestFit="1" customWidth="1"/>
    <col min="12784" max="12784" width="28" style="22" bestFit="1" customWidth="1"/>
    <col min="12785" max="12785" width="4.42578125" style="22" bestFit="1" customWidth="1"/>
    <col min="12786" max="12786" width="8" style="22" bestFit="1" customWidth="1"/>
    <col min="12787" max="12787" width="11.42578125" style="22"/>
    <col min="12788" max="12788" width="22.85546875" style="22" bestFit="1" customWidth="1"/>
    <col min="12789" max="12789" width="7" style="22" customWidth="1"/>
    <col min="12790" max="12790" width="6.28515625" style="22" customWidth="1"/>
    <col min="12791" max="12791" width="5.7109375" style="22" customWidth="1"/>
    <col min="12792" max="12792" width="5.7109375" style="22" bestFit="1" customWidth="1"/>
    <col min="12793" max="12793" width="5.85546875" style="22" bestFit="1" customWidth="1"/>
    <col min="12794" max="12794" width="9.42578125" style="22" customWidth="1"/>
    <col min="12795" max="12795" width="5.140625" style="22" customWidth="1"/>
    <col min="12796" max="12796" width="9.7109375" style="22" customWidth="1"/>
    <col min="12797" max="12797" width="6.7109375" style="22" bestFit="1" customWidth="1"/>
    <col min="12798" max="12798" width="4.85546875" style="22" customWidth="1"/>
    <col min="12799" max="12799" width="5.28515625" style="22" customWidth="1"/>
    <col min="12800" max="12801" width="4.42578125" style="22" bestFit="1" customWidth="1"/>
    <col min="12802" max="12802" width="13.28515625" style="22" bestFit="1" customWidth="1"/>
    <col min="12803" max="12803" width="3.140625" style="22" customWidth="1"/>
    <col min="12804" max="12804" width="5.42578125" style="22" bestFit="1" customWidth="1"/>
    <col min="12805" max="12805" width="4.42578125" style="22" bestFit="1" customWidth="1"/>
    <col min="12806" max="12806" width="6.42578125" style="22" customWidth="1"/>
    <col min="12807" max="12807" width="5" style="22" bestFit="1" customWidth="1"/>
    <col min="12808" max="12808" width="4.5703125" style="22" bestFit="1" customWidth="1"/>
    <col min="12809" max="12809" width="4.42578125" style="22" bestFit="1" customWidth="1"/>
    <col min="12810" max="12810" width="4" style="22" customWidth="1"/>
    <col min="12811" max="13038" width="11.42578125" style="22"/>
    <col min="13039" max="13039" width="14.85546875" style="22" bestFit="1" customWidth="1"/>
    <col min="13040" max="13040" width="28" style="22" bestFit="1" customWidth="1"/>
    <col min="13041" max="13041" width="4.42578125" style="22" bestFit="1" customWidth="1"/>
    <col min="13042" max="13042" width="8" style="22" bestFit="1" customWidth="1"/>
    <col min="13043" max="13043" width="11.42578125" style="22"/>
    <col min="13044" max="13044" width="22.85546875" style="22" bestFit="1" customWidth="1"/>
    <col min="13045" max="13045" width="7" style="22" customWidth="1"/>
    <col min="13046" max="13046" width="6.28515625" style="22" customWidth="1"/>
    <col min="13047" max="13047" width="5.7109375" style="22" customWidth="1"/>
    <col min="13048" max="13048" width="5.7109375" style="22" bestFit="1" customWidth="1"/>
    <col min="13049" max="13049" width="5.85546875" style="22" bestFit="1" customWidth="1"/>
    <col min="13050" max="13050" width="9.42578125" style="22" customWidth="1"/>
    <col min="13051" max="13051" width="5.140625" style="22" customWidth="1"/>
    <col min="13052" max="13052" width="9.7109375" style="22" customWidth="1"/>
    <col min="13053" max="13053" width="6.7109375" style="22" bestFit="1" customWidth="1"/>
    <col min="13054" max="13054" width="4.85546875" style="22" customWidth="1"/>
    <col min="13055" max="13055" width="5.28515625" style="22" customWidth="1"/>
    <col min="13056" max="13057" width="4.42578125" style="22" bestFit="1" customWidth="1"/>
    <col min="13058" max="13058" width="13.28515625" style="22" bestFit="1" customWidth="1"/>
    <col min="13059" max="13059" width="3.140625" style="22" customWidth="1"/>
    <col min="13060" max="13060" width="5.42578125" style="22" bestFit="1" customWidth="1"/>
    <col min="13061" max="13061" width="4.42578125" style="22" bestFit="1" customWidth="1"/>
    <col min="13062" max="13062" width="6.42578125" style="22" customWidth="1"/>
    <col min="13063" max="13063" width="5" style="22" bestFit="1" customWidth="1"/>
    <col min="13064" max="13064" width="4.5703125" style="22" bestFit="1" customWidth="1"/>
    <col min="13065" max="13065" width="4.42578125" style="22" bestFit="1" customWidth="1"/>
    <col min="13066" max="13066" width="4" style="22" customWidth="1"/>
    <col min="13067" max="13294" width="11.42578125" style="22"/>
    <col min="13295" max="13295" width="14.85546875" style="22" bestFit="1" customWidth="1"/>
    <col min="13296" max="13296" width="28" style="22" bestFit="1" customWidth="1"/>
    <col min="13297" max="13297" width="4.42578125" style="22" bestFit="1" customWidth="1"/>
    <col min="13298" max="13298" width="8" style="22" bestFit="1" customWidth="1"/>
    <col min="13299" max="13299" width="11.42578125" style="22"/>
    <col min="13300" max="13300" width="22.85546875" style="22" bestFit="1" customWidth="1"/>
    <col min="13301" max="13301" width="7" style="22" customWidth="1"/>
    <col min="13302" max="13302" width="6.28515625" style="22" customWidth="1"/>
    <col min="13303" max="13303" width="5.7109375" style="22" customWidth="1"/>
    <col min="13304" max="13304" width="5.7109375" style="22" bestFit="1" customWidth="1"/>
    <col min="13305" max="13305" width="5.85546875" style="22" bestFit="1" customWidth="1"/>
    <col min="13306" max="13306" width="9.42578125" style="22" customWidth="1"/>
    <col min="13307" max="13307" width="5.140625" style="22" customWidth="1"/>
    <col min="13308" max="13308" width="9.7109375" style="22" customWidth="1"/>
    <col min="13309" max="13309" width="6.7109375" style="22" bestFit="1" customWidth="1"/>
    <col min="13310" max="13310" width="4.85546875" style="22" customWidth="1"/>
    <col min="13311" max="13311" width="5.28515625" style="22" customWidth="1"/>
    <col min="13312" max="13313" width="4.42578125" style="22" bestFit="1" customWidth="1"/>
    <col min="13314" max="13314" width="13.28515625" style="22" bestFit="1" customWidth="1"/>
    <col min="13315" max="13315" width="3.140625" style="22" customWidth="1"/>
    <col min="13316" max="13316" width="5.42578125" style="22" bestFit="1" customWidth="1"/>
    <col min="13317" max="13317" width="4.42578125" style="22" bestFit="1" customWidth="1"/>
    <col min="13318" max="13318" width="6.42578125" style="22" customWidth="1"/>
    <col min="13319" max="13319" width="5" style="22" bestFit="1" customWidth="1"/>
    <col min="13320" max="13320" width="4.5703125" style="22" bestFit="1" customWidth="1"/>
    <col min="13321" max="13321" width="4.42578125" style="22" bestFit="1" customWidth="1"/>
    <col min="13322" max="13322" width="4" style="22" customWidth="1"/>
    <col min="13323" max="13550" width="11.42578125" style="22"/>
    <col min="13551" max="13551" width="14.85546875" style="22" bestFit="1" customWidth="1"/>
    <col min="13552" max="13552" width="28" style="22" bestFit="1" customWidth="1"/>
    <col min="13553" max="13553" width="4.42578125" style="22" bestFit="1" customWidth="1"/>
    <col min="13554" max="13554" width="8" style="22" bestFit="1" customWidth="1"/>
    <col min="13555" max="13555" width="11.42578125" style="22"/>
    <col min="13556" max="13556" width="22.85546875" style="22" bestFit="1" customWidth="1"/>
    <col min="13557" max="13557" width="7" style="22" customWidth="1"/>
    <col min="13558" max="13558" width="6.28515625" style="22" customWidth="1"/>
    <col min="13559" max="13559" width="5.7109375" style="22" customWidth="1"/>
    <col min="13560" max="13560" width="5.7109375" style="22" bestFit="1" customWidth="1"/>
    <col min="13561" max="13561" width="5.85546875" style="22" bestFit="1" customWidth="1"/>
    <col min="13562" max="13562" width="9.42578125" style="22" customWidth="1"/>
    <col min="13563" max="13563" width="5.140625" style="22" customWidth="1"/>
    <col min="13564" max="13564" width="9.7109375" style="22" customWidth="1"/>
    <col min="13565" max="13565" width="6.7109375" style="22" bestFit="1" customWidth="1"/>
    <col min="13566" max="13566" width="4.85546875" style="22" customWidth="1"/>
    <col min="13567" max="13567" width="5.28515625" style="22" customWidth="1"/>
    <col min="13568" max="13569" width="4.42578125" style="22" bestFit="1" customWidth="1"/>
    <col min="13570" max="13570" width="13.28515625" style="22" bestFit="1" customWidth="1"/>
    <col min="13571" max="13571" width="3.140625" style="22" customWidth="1"/>
    <col min="13572" max="13572" width="5.42578125" style="22" bestFit="1" customWidth="1"/>
    <col min="13573" max="13573" width="4.42578125" style="22" bestFit="1" customWidth="1"/>
    <col min="13574" max="13574" width="6.42578125" style="22" customWidth="1"/>
    <col min="13575" max="13575" width="5" style="22" bestFit="1" customWidth="1"/>
    <col min="13576" max="13576" width="4.5703125" style="22" bestFit="1" customWidth="1"/>
    <col min="13577" max="13577" width="4.42578125" style="22" bestFit="1" customWidth="1"/>
    <col min="13578" max="13578" width="4" style="22" customWidth="1"/>
    <col min="13579" max="13806" width="11.42578125" style="22"/>
    <col min="13807" max="13807" width="14.85546875" style="22" bestFit="1" customWidth="1"/>
    <col min="13808" max="13808" width="28" style="22" bestFit="1" customWidth="1"/>
    <col min="13809" max="13809" width="4.42578125" style="22" bestFit="1" customWidth="1"/>
    <col min="13810" max="13810" width="8" style="22" bestFit="1" customWidth="1"/>
    <col min="13811" max="13811" width="11.42578125" style="22"/>
    <col min="13812" max="13812" width="22.85546875" style="22" bestFit="1" customWidth="1"/>
    <col min="13813" max="13813" width="7" style="22" customWidth="1"/>
    <col min="13814" max="13814" width="6.28515625" style="22" customWidth="1"/>
    <col min="13815" max="13815" width="5.7109375" style="22" customWidth="1"/>
    <col min="13816" max="13816" width="5.7109375" style="22" bestFit="1" customWidth="1"/>
    <col min="13817" max="13817" width="5.85546875" style="22" bestFit="1" customWidth="1"/>
    <col min="13818" max="13818" width="9.42578125" style="22" customWidth="1"/>
    <col min="13819" max="13819" width="5.140625" style="22" customWidth="1"/>
    <col min="13820" max="13820" width="9.7109375" style="22" customWidth="1"/>
    <col min="13821" max="13821" width="6.7109375" style="22" bestFit="1" customWidth="1"/>
    <col min="13822" max="13822" width="4.85546875" style="22" customWidth="1"/>
    <col min="13823" max="13823" width="5.28515625" style="22" customWidth="1"/>
    <col min="13824" max="13825" width="4.42578125" style="22" bestFit="1" customWidth="1"/>
    <col min="13826" max="13826" width="13.28515625" style="22" bestFit="1" customWidth="1"/>
    <col min="13827" max="13827" width="3.140625" style="22" customWidth="1"/>
    <col min="13828" max="13828" width="5.42578125" style="22" bestFit="1" customWidth="1"/>
    <col min="13829" max="13829" width="4.42578125" style="22" bestFit="1" customWidth="1"/>
    <col min="13830" max="13830" width="6.42578125" style="22" customWidth="1"/>
    <col min="13831" max="13831" width="5" style="22" bestFit="1" customWidth="1"/>
    <col min="13832" max="13832" width="4.5703125" style="22" bestFit="1" customWidth="1"/>
    <col min="13833" max="13833" width="4.42578125" style="22" bestFit="1" customWidth="1"/>
    <col min="13834" max="13834" width="4" style="22" customWidth="1"/>
    <col min="13835" max="14062" width="11.42578125" style="22"/>
    <col min="14063" max="14063" width="14.85546875" style="22" bestFit="1" customWidth="1"/>
    <col min="14064" max="14064" width="28" style="22" bestFit="1" customWidth="1"/>
    <col min="14065" max="14065" width="4.42578125" style="22" bestFit="1" customWidth="1"/>
    <col min="14066" max="14066" width="8" style="22" bestFit="1" customWidth="1"/>
    <col min="14067" max="14067" width="11.42578125" style="22"/>
    <col min="14068" max="14068" width="22.85546875" style="22" bestFit="1" customWidth="1"/>
    <col min="14069" max="14069" width="7" style="22" customWidth="1"/>
    <col min="14070" max="14070" width="6.28515625" style="22" customWidth="1"/>
    <col min="14071" max="14071" width="5.7109375" style="22" customWidth="1"/>
    <col min="14072" max="14072" width="5.7109375" style="22" bestFit="1" customWidth="1"/>
    <col min="14073" max="14073" width="5.85546875" style="22" bestFit="1" customWidth="1"/>
    <col min="14074" max="14074" width="9.42578125" style="22" customWidth="1"/>
    <col min="14075" max="14075" width="5.140625" style="22" customWidth="1"/>
    <col min="14076" max="14076" width="9.7109375" style="22" customWidth="1"/>
    <col min="14077" max="14077" width="6.7109375" style="22" bestFit="1" customWidth="1"/>
    <col min="14078" max="14078" width="4.85546875" style="22" customWidth="1"/>
    <col min="14079" max="14079" width="5.28515625" style="22" customWidth="1"/>
    <col min="14080" max="14081" width="4.42578125" style="22" bestFit="1" customWidth="1"/>
    <col min="14082" max="14082" width="13.28515625" style="22" bestFit="1" customWidth="1"/>
    <col min="14083" max="14083" width="3.140625" style="22" customWidth="1"/>
    <col min="14084" max="14084" width="5.42578125" style="22" bestFit="1" customWidth="1"/>
    <col min="14085" max="14085" width="4.42578125" style="22" bestFit="1" customWidth="1"/>
    <col min="14086" max="14086" width="6.42578125" style="22" customWidth="1"/>
    <col min="14087" max="14087" width="5" style="22" bestFit="1" customWidth="1"/>
    <col min="14088" max="14088" width="4.5703125" style="22" bestFit="1" customWidth="1"/>
    <col min="14089" max="14089" width="4.42578125" style="22" bestFit="1" customWidth="1"/>
    <col min="14090" max="14090" width="4" style="22" customWidth="1"/>
    <col min="14091" max="14318" width="11.42578125" style="22"/>
    <col min="14319" max="14319" width="14.85546875" style="22" bestFit="1" customWidth="1"/>
    <col min="14320" max="14320" width="28" style="22" bestFit="1" customWidth="1"/>
    <col min="14321" max="14321" width="4.42578125" style="22" bestFit="1" customWidth="1"/>
    <col min="14322" max="14322" width="8" style="22" bestFit="1" customWidth="1"/>
    <col min="14323" max="14323" width="11.42578125" style="22"/>
    <col min="14324" max="14324" width="22.85546875" style="22" bestFit="1" customWidth="1"/>
    <col min="14325" max="14325" width="7" style="22" customWidth="1"/>
    <col min="14326" max="14326" width="6.28515625" style="22" customWidth="1"/>
    <col min="14327" max="14327" width="5.7109375" style="22" customWidth="1"/>
    <col min="14328" max="14328" width="5.7109375" style="22" bestFit="1" customWidth="1"/>
    <col min="14329" max="14329" width="5.85546875" style="22" bestFit="1" customWidth="1"/>
    <col min="14330" max="14330" width="9.42578125" style="22" customWidth="1"/>
    <col min="14331" max="14331" width="5.140625" style="22" customWidth="1"/>
    <col min="14332" max="14332" width="9.7109375" style="22" customWidth="1"/>
    <col min="14333" max="14333" width="6.7109375" style="22" bestFit="1" customWidth="1"/>
    <col min="14334" max="14334" width="4.85546875" style="22" customWidth="1"/>
    <col min="14335" max="14335" width="5.28515625" style="22" customWidth="1"/>
    <col min="14336" max="14337" width="4.42578125" style="22" bestFit="1" customWidth="1"/>
    <col min="14338" max="14338" width="13.28515625" style="22" bestFit="1" customWidth="1"/>
    <col min="14339" max="14339" width="3.140625" style="22" customWidth="1"/>
    <col min="14340" max="14340" width="5.42578125" style="22" bestFit="1" customWidth="1"/>
    <col min="14341" max="14341" width="4.42578125" style="22" bestFit="1" customWidth="1"/>
    <col min="14342" max="14342" width="6.42578125" style="22" customWidth="1"/>
    <col min="14343" max="14343" width="5" style="22" bestFit="1" customWidth="1"/>
    <col min="14344" max="14344" width="4.5703125" style="22" bestFit="1" customWidth="1"/>
    <col min="14345" max="14345" width="4.42578125" style="22" bestFit="1" customWidth="1"/>
    <col min="14346" max="14346" width="4" style="22" customWidth="1"/>
    <col min="14347" max="14574" width="11.42578125" style="22"/>
    <col min="14575" max="14575" width="14.85546875" style="22" bestFit="1" customWidth="1"/>
    <col min="14576" max="14576" width="28" style="22" bestFit="1" customWidth="1"/>
    <col min="14577" max="14577" width="4.42578125" style="22" bestFit="1" customWidth="1"/>
    <col min="14578" max="14578" width="8" style="22" bestFit="1" customWidth="1"/>
    <col min="14579" max="14579" width="11.42578125" style="22"/>
    <col min="14580" max="14580" width="22.85546875" style="22" bestFit="1" customWidth="1"/>
    <col min="14581" max="14581" width="7" style="22" customWidth="1"/>
    <col min="14582" max="14582" width="6.28515625" style="22" customWidth="1"/>
    <col min="14583" max="14583" width="5.7109375" style="22" customWidth="1"/>
    <col min="14584" max="14584" width="5.7109375" style="22" bestFit="1" customWidth="1"/>
    <col min="14585" max="14585" width="5.85546875" style="22" bestFit="1" customWidth="1"/>
    <col min="14586" max="14586" width="9.42578125" style="22" customWidth="1"/>
    <col min="14587" max="14587" width="5.140625" style="22" customWidth="1"/>
    <col min="14588" max="14588" width="9.7109375" style="22" customWidth="1"/>
    <col min="14589" max="14589" width="6.7109375" style="22" bestFit="1" customWidth="1"/>
    <col min="14590" max="14590" width="4.85546875" style="22" customWidth="1"/>
    <col min="14591" max="14591" width="5.28515625" style="22" customWidth="1"/>
    <col min="14592" max="14593" width="4.42578125" style="22" bestFit="1" customWidth="1"/>
    <col min="14594" max="14594" width="13.28515625" style="22" bestFit="1" customWidth="1"/>
    <col min="14595" max="14595" width="3.140625" style="22" customWidth="1"/>
    <col min="14596" max="14596" width="5.42578125" style="22" bestFit="1" customWidth="1"/>
    <col min="14597" max="14597" width="4.42578125" style="22" bestFit="1" customWidth="1"/>
    <col min="14598" max="14598" width="6.42578125" style="22" customWidth="1"/>
    <col min="14599" max="14599" width="5" style="22" bestFit="1" customWidth="1"/>
    <col min="14600" max="14600" width="4.5703125" style="22" bestFit="1" customWidth="1"/>
    <col min="14601" max="14601" width="4.42578125" style="22" bestFit="1" customWidth="1"/>
    <col min="14602" max="14602" width="4" style="22" customWidth="1"/>
    <col min="14603" max="14830" width="11.42578125" style="22"/>
    <col min="14831" max="14831" width="14.85546875" style="22" bestFit="1" customWidth="1"/>
    <col min="14832" max="14832" width="28" style="22" bestFit="1" customWidth="1"/>
    <col min="14833" max="14833" width="4.42578125" style="22" bestFit="1" customWidth="1"/>
    <col min="14834" max="14834" width="8" style="22" bestFit="1" customWidth="1"/>
    <col min="14835" max="14835" width="11.42578125" style="22"/>
    <col min="14836" max="14836" width="22.85546875" style="22" bestFit="1" customWidth="1"/>
    <col min="14837" max="14837" width="7" style="22" customWidth="1"/>
    <col min="14838" max="14838" width="6.28515625" style="22" customWidth="1"/>
    <col min="14839" max="14839" width="5.7109375" style="22" customWidth="1"/>
    <col min="14840" max="14840" width="5.7109375" style="22" bestFit="1" customWidth="1"/>
    <col min="14841" max="14841" width="5.85546875" style="22" bestFit="1" customWidth="1"/>
    <col min="14842" max="14842" width="9.42578125" style="22" customWidth="1"/>
    <col min="14843" max="14843" width="5.140625" style="22" customWidth="1"/>
    <col min="14844" max="14844" width="9.7109375" style="22" customWidth="1"/>
    <col min="14845" max="14845" width="6.7109375" style="22" bestFit="1" customWidth="1"/>
    <col min="14846" max="14846" width="4.85546875" style="22" customWidth="1"/>
    <col min="14847" max="14847" width="5.28515625" style="22" customWidth="1"/>
    <col min="14848" max="14849" width="4.42578125" style="22" bestFit="1" customWidth="1"/>
    <col min="14850" max="14850" width="13.28515625" style="22" bestFit="1" customWidth="1"/>
    <col min="14851" max="14851" width="3.140625" style="22" customWidth="1"/>
    <col min="14852" max="14852" width="5.42578125" style="22" bestFit="1" customWidth="1"/>
    <col min="14853" max="14853" width="4.42578125" style="22" bestFit="1" customWidth="1"/>
    <col min="14854" max="14854" width="6.42578125" style="22" customWidth="1"/>
    <col min="14855" max="14855" width="5" style="22" bestFit="1" customWidth="1"/>
    <col min="14856" max="14856" width="4.5703125" style="22" bestFit="1" customWidth="1"/>
    <col min="14857" max="14857" width="4.42578125" style="22" bestFit="1" customWidth="1"/>
    <col min="14858" max="14858" width="4" style="22" customWidth="1"/>
    <col min="14859" max="15086" width="11.42578125" style="22"/>
    <col min="15087" max="15087" width="14.85546875" style="22" bestFit="1" customWidth="1"/>
    <col min="15088" max="15088" width="28" style="22" bestFit="1" customWidth="1"/>
    <col min="15089" max="15089" width="4.42578125" style="22" bestFit="1" customWidth="1"/>
    <col min="15090" max="15090" width="8" style="22" bestFit="1" customWidth="1"/>
    <col min="15091" max="15091" width="11.42578125" style="22"/>
    <col min="15092" max="15092" width="22.85546875" style="22" bestFit="1" customWidth="1"/>
    <col min="15093" max="15093" width="7" style="22" customWidth="1"/>
    <col min="15094" max="15094" width="6.28515625" style="22" customWidth="1"/>
    <col min="15095" max="15095" width="5.7109375" style="22" customWidth="1"/>
    <col min="15096" max="15096" width="5.7109375" style="22" bestFit="1" customWidth="1"/>
    <col min="15097" max="15097" width="5.85546875" style="22" bestFit="1" customWidth="1"/>
    <col min="15098" max="15098" width="9.42578125" style="22" customWidth="1"/>
    <col min="15099" max="15099" width="5.140625" style="22" customWidth="1"/>
    <col min="15100" max="15100" width="9.7109375" style="22" customWidth="1"/>
    <col min="15101" max="15101" width="6.7109375" style="22" bestFit="1" customWidth="1"/>
    <col min="15102" max="15102" width="4.85546875" style="22" customWidth="1"/>
    <col min="15103" max="15103" width="5.28515625" style="22" customWidth="1"/>
    <col min="15104" max="15105" width="4.42578125" style="22" bestFit="1" customWidth="1"/>
    <col min="15106" max="15106" width="13.28515625" style="22" bestFit="1" customWidth="1"/>
    <col min="15107" max="15107" width="3.140625" style="22" customWidth="1"/>
    <col min="15108" max="15108" width="5.42578125" style="22" bestFit="1" customWidth="1"/>
    <col min="15109" max="15109" width="4.42578125" style="22" bestFit="1" customWidth="1"/>
    <col min="15110" max="15110" width="6.42578125" style="22" customWidth="1"/>
    <col min="15111" max="15111" width="5" style="22" bestFit="1" customWidth="1"/>
    <col min="15112" max="15112" width="4.5703125" style="22" bestFit="1" customWidth="1"/>
    <col min="15113" max="15113" width="4.42578125" style="22" bestFit="1" customWidth="1"/>
    <col min="15114" max="15114" width="4" style="22" customWidth="1"/>
    <col min="15115" max="15342" width="11.42578125" style="22"/>
    <col min="15343" max="15343" width="14.85546875" style="22" bestFit="1" customWidth="1"/>
    <col min="15344" max="15344" width="28" style="22" bestFit="1" customWidth="1"/>
    <col min="15345" max="15345" width="4.42578125" style="22" bestFit="1" customWidth="1"/>
    <col min="15346" max="15346" width="8" style="22" bestFit="1" customWidth="1"/>
    <col min="15347" max="15347" width="11.42578125" style="22"/>
    <col min="15348" max="15348" width="22.85546875" style="22" bestFit="1" customWidth="1"/>
    <col min="15349" max="15349" width="7" style="22" customWidth="1"/>
    <col min="15350" max="15350" width="6.28515625" style="22" customWidth="1"/>
    <col min="15351" max="15351" width="5.7109375" style="22" customWidth="1"/>
    <col min="15352" max="15352" width="5.7109375" style="22" bestFit="1" customWidth="1"/>
    <col min="15353" max="15353" width="5.85546875" style="22" bestFit="1" customWidth="1"/>
    <col min="15354" max="15354" width="9.42578125" style="22" customWidth="1"/>
    <col min="15355" max="15355" width="5.140625" style="22" customWidth="1"/>
    <col min="15356" max="15356" width="9.7109375" style="22" customWidth="1"/>
    <col min="15357" max="15357" width="6.7109375" style="22" bestFit="1" customWidth="1"/>
    <col min="15358" max="15358" width="4.85546875" style="22" customWidth="1"/>
    <col min="15359" max="15359" width="5.28515625" style="22" customWidth="1"/>
    <col min="15360" max="15361" width="4.42578125" style="22" bestFit="1" customWidth="1"/>
    <col min="15362" max="15362" width="13.28515625" style="22" bestFit="1" customWidth="1"/>
    <col min="15363" max="15363" width="3.140625" style="22" customWidth="1"/>
    <col min="15364" max="15364" width="5.42578125" style="22" bestFit="1" customWidth="1"/>
    <col min="15365" max="15365" width="4.42578125" style="22" bestFit="1" customWidth="1"/>
    <col min="15366" max="15366" width="6.42578125" style="22" customWidth="1"/>
    <col min="15367" max="15367" width="5" style="22" bestFit="1" customWidth="1"/>
    <col min="15368" max="15368" width="4.5703125" style="22" bestFit="1" customWidth="1"/>
    <col min="15369" max="15369" width="4.42578125" style="22" bestFit="1" customWidth="1"/>
    <col min="15370" max="15370" width="4" style="22" customWidth="1"/>
    <col min="15371" max="15598" width="11.42578125" style="22"/>
    <col min="15599" max="15599" width="14.85546875" style="22" bestFit="1" customWidth="1"/>
    <col min="15600" max="15600" width="28" style="22" bestFit="1" customWidth="1"/>
    <col min="15601" max="15601" width="4.42578125" style="22" bestFit="1" customWidth="1"/>
    <col min="15602" max="15602" width="8" style="22" bestFit="1" customWidth="1"/>
    <col min="15603" max="15603" width="11.42578125" style="22"/>
    <col min="15604" max="15604" width="22.85546875" style="22" bestFit="1" customWidth="1"/>
    <col min="15605" max="15605" width="7" style="22" customWidth="1"/>
    <col min="15606" max="15606" width="6.28515625" style="22" customWidth="1"/>
    <col min="15607" max="15607" width="5.7109375" style="22" customWidth="1"/>
    <col min="15608" max="15608" width="5.7109375" style="22" bestFit="1" customWidth="1"/>
    <col min="15609" max="15609" width="5.85546875" style="22" bestFit="1" customWidth="1"/>
    <col min="15610" max="15610" width="9.42578125" style="22" customWidth="1"/>
    <col min="15611" max="15611" width="5.140625" style="22" customWidth="1"/>
    <col min="15612" max="15612" width="9.7109375" style="22" customWidth="1"/>
    <col min="15613" max="15613" width="6.7109375" style="22" bestFit="1" customWidth="1"/>
    <col min="15614" max="15614" width="4.85546875" style="22" customWidth="1"/>
    <col min="15615" max="15615" width="5.28515625" style="22" customWidth="1"/>
    <col min="15616" max="15617" width="4.42578125" style="22" bestFit="1" customWidth="1"/>
    <col min="15618" max="15618" width="13.28515625" style="22" bestFit="1" customWidth="1"/>
    <col min="15619" max="15619" width="3.140625" style="22" customWidth="1"/>
    <col min="15620" max="15620" width="5.42578125" style="22" bestFit="1" customWidth="1"/>
    <col min="15621" max="15621" width="4.42578125" style="22" bestFit="1" customWidth="1"/>
    <col min="15622" max="15622" width="6.42578125" style="22" customWidth="1"/>
    <col min="15623" max="15623" width="5" style="22" bestFit="1" customWidth="1"/>
    <col min="15624" max="15624" width="4.5703125" style="22" bestFit="1" customWidth="1"/>
    <col min="15625" max="15625" width="4.42578125" style="22" bestFit="1" customWidth="1"/>
    <col min="15626" max="15626" width="4" style="22" customWidth="1"/>
    <col min="15627" max="15854" width="11.42578125" style="22"/>
    <col min="15855" max="15855" width="14.85546875" style="22" bestFit="1" customWidth="1"/>
    <col min="15856" max="15856" width="28" style="22" bestFit="1" customWidth="1"/>
    <col min="15857" max="15857" width="4.42578125" style="22" bestFit="1" customWidth="1"/>
    <col min="15858" max="15858" width="8" style="22" bestFit="1" customWidth="1"/>
    <col min="15859" max="15859" width="11.42578125" style="22"/>
    <col min="15860" max="15860" width="22.85546875" style="22" bestFit="1" customWidth="1"/>
    <col min="15861" max="15861" width="7" style="22" customWidth="1"/>
    <col min="15862" max="15862" width="6.28515625" style="22" customWidth="1"/>
    <col min="15863" max="15863" width="5.7109375" style="22" customWidth="1"/>
    <col min="15864" max="15864" width="5.7109375" style="22" bestFit="1" customWidth="1"/>
    <col min="15865" max="15865" width="5.85546875" style="22" bestFit="1" customWidth="1"/>
    <col min="15866" max="15866" width="9.42578125" style="22" customWidth="1"/>
    <col min="15867" max="15867" width="5.140625" style="22" customWidth="1"/>
    <col min="15868" max="15868" width="9.7109375" style="22" customWidth="1"/>
    <col min="15869" max="15869" width="6.7109375" style="22" bestFit="1" customWidth="1"/>
    <col min="15870" max="15870" width="4.85546875" style="22" customWidth="1"/>
    <col min="15871" max="15871" width="5.28515625" style="22" customWidth="1"/>
    <col min="15872" max="15873" width="4.42578125" style="22" bestFit="1" customWidth="1"/>
    <col min="15874" max="15874" width="13.28515625" style="22" bestFit="1" customWidth="1"/>
    <col min="15875" max="15875" width="3.140625" style="22" customWidth="1"/>
    <col min="15876" max="15876" width="5.42578125" style="22" bestFit="1" customWidth="1"/>
    <col min="15877" max="15877" width="4.42578125" style="22" bestFit="1" customWidth="1"/>
    <col min="15878" max="15878" width="6.42578125" style="22" customWidth="1"/>
    <col min="15879" max="15879" width="5" style="22" bestFit="1" customWidth="1"/>
    <col min="15880" max="15880" width="4.5703125" style="22" bestFit="1" customWidth="1"/>
    <col min="15881" max="15881" width="4.42578125" style="22" bestFit="1" customWidth="1"/>
    <col min="15882" max="15882" width="4" style="22" customWidth="1"/>
    <col min="15883" max="16110" width="11.42578125" style="22"/>
    <col min="16111" max="16111" width="14.85546875" style="22" bestFit="1" customWidth="1"/>
    <col min="16112" max="16112" width="28" style="22" bestFit="1" customWidth="1"/>
    <col min="16113" max="16113" width="4.42578125" style="22" bestFit="1" customWidth="1"/>
    <col min="16114" max="16114" width="8" style="22" bestFit="1" customWidth="1"/>
    <col min="16115" max="16115" width="11.42578125" style="22"/>
    <col min="16116" max="16116" width="22.85546875" style="22" bestFit="1" customWidth="1"/>
    <col min="16117" max="16117" width="7" style="22" customWidth="1"/>
    <col min="16118" max="16118" width="6.28515625" style="22" customWidth="1"/>
    <col min="16119" max="16119" width="5.7109375" style="22" customWidth="1"/>
    <col min="16120" max="16120" width="5.7109375" style="22" bestFit="1" customWidth="1"/>
    <col min="16121" max="16121" width="5.85546875" style="22" bestFit="1" customWidth="1"/>
    <col min="16122" max="16122" width="9.42578125" style="22" customWidth="1"/>
    <col min="16123" max="16123" width="5.140625" style="22" customWidth="1"/>
    <col min="16124" max="16124" width="9.7109375" style="22" customWidth="1"/>
    <col min="16125" max="16125" width="6.7109375" style="22" bestFit="1" customWidth="1"/>
    <col min="16126" max="16126" width="4.85546875" style="22" customWidth="1"/>
    <col min="16127" max="16127" width="5.28515625" style="22" customWidth="1"/>
    <col min="16128" max="16129" width="4.42578125" style="22" bestFit="1" customWidth="1"/>
    <col min="16130" max="16130" width="13.28515625" style="22" bestFit="1" customWidth="1"/>
    <col min="16131" max="16131" width="3.140625" style="22" customWidth="1"/>
    <col min="16132" max="16132" width="5.42578125" style="22" bestFit="1" customWidth="1"/>
    <col min="16133" max="16133" width="4.42578125" style="22" bestFit="1" customWidth="1"/>
    <col min="16134" max="16134" width="6.42578125" style="22" customWidth="1"/>
    <col min="16135" max="16135" width="5" style="22" bestFit="1" customWidth="1"/>
    <col min="16136" max="16136" width="4.5703125" style="22" bestFit="1" customWidth="1"/>
    <col min="16137" max="16137" width="4.42578125" style="22" bestFit="1" customWidth="1"/>
    <col min="16138" max="16138" width="4" style="22" customWidth="1"/>
    <col min="16139" max="16384" width="11.42578125" style="22"/>
  </cols>
  <sheetData>
    <row r="1" spans="1:24">
      <c r="A1" s="1"/>
      <c r="B1" s="1"/>
      <c r="C1" s="490" t="s">
        <v>0</v>
      </c>
      <c r="D1" s="491"/>
      <c r="E1" s="491"/>
      <c r="F1" s="491"/>
      <c r="G1" s="491"/>
      <c r="H1" s="492"/>
      <c r="I1" s="339"/>
      <c r="J1" s="491" t="s">
        <v>1</v>
      </c>
      <c r="K1" s="491"/>
      <c r="L1" s="491"/>
      <c r="M1" s="491"/>
      <c r="N1" s="491"/>
      <c r="O1" s="491"/>
      <c r="P1" s="491"/>
      <c r="Q1" s="1"/>
    </row>
    <row r="2" spans="1:24" ht="15" customHeight="1">
      <c r="A2" s="1"/>
      <c r="B2" s="1"/>
      <c r="C2" s="493" t="s">
        <v>2</v>
      </c>
      <c r="D2" s="494"/>
      <c r="E2" s="495" t="s">
        <v>3</v>
      </c>
      <c r="F2" s="494"/>
      <c r="G2" s="494"/>
      <c r="H2" s="494"/>
      <c r="I2" s="3"/>
      <c r="J2" s="496" t="s">
        <v>4</v>
      </c>
      <c r="K2" s="498" t="s">
        <v>5</v>
      </c>
      <c r="L2" s="499"/>
      <c r="M2" s="499"/>
      <c r="N2" s="499"/>
      <c r="O2" s="499"/>
      <c r="P2" s="483"/>
      <c r="Q2" s="1"/>
      <c r="R2" s="109"/>
      <c r="S2" s="110"/>
      <c r="T2" s="109"/>
      <c r="U2" s="111" t="s">
        <v>90</v>
      </c>
      <c r="V2" s="110"/>
      <c r="W2" s="112"/>
    </row>
    <row r="3" spans="1:24" s="396" customFormat="1" ht="38.25">
      <c r="A3" s="4"/>
      <c r="B3" s="4"/>
      <c r="C3" s="5"/>
      <c r="D3" s="5"/>
      <c r="E3" s="501" t="s">
        <v>377</v>
      </c>
      <c r="F3" s="494"/>
      <c r="G3" s="501" t="s">
        <v>7</v>
      </c>
      <c r="H3" s="494"/>
      <c r="I3" s="8" t="s">
        <v>378</v>
      </c>
      <c r="J3" s="497"/>
      <c r="K3" s="500"/>
      <c r="L3" s="499"/>
      <c r="M3" s="499"/>
      <c r="N3" s="499"/>
      <c r="O3" s="499"/>
      <c r="P3" s="483"/>
      <c r="Q3" s="4"/>
      <c r="R3" s="113"/>
      <c r="S3" s="114"/>
      <c r="T3" s="114"/>
      <c r="U3" s="114"/>
      <c r="V3" s="114"/>
      <c r="W3" s="112"/>
    </row>
    <row r="4" spans="1:24" ht="15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49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379</v>
      </c>
      <c r="Q4" s="397"/>
      <c r="R4" s="115" t="s">
        <v>10</v>
      </c>
      <c r="S4" s="115" t="s">
        <v>91</v>
      </c>
      <c r="T4" s="115" t="s">
        <v>92</v>
      </c>
      <c r="U4" s="116" t="s">
        <v>93</v>
      </c>
      <c r="V4" s="117" t="s">
        <v>94</v>
      </c>
      <c r="W4" s="117" t="s">
        <v>95</v>
      </c>
    </row>
    <row r="5" spans="1:24" ht="15">
      <c r="A5" s="17"/>
      <c r="B5" s="18"/>
      <c r="C5" s="19">
        <f>SUM(C7:C46)-C19-C32</f>
        <v>260.90396069426345</v>
      </c>
      <c r="D5" s="18"/>
      <c r="E5" s="20"/>
      <c r="F5" s="21"/>
      <c r="H5" s="23"/>
      <c r="J5" s="24"/>
      <c r="K5" s="25"/>
      <c r="L5" s="14"/>
      <c r="M5" s="14"/>
      <c r="N5" s="15"/>
      <c r="O5" s="16"/>
      <c r="P5" s="26">
        <f>P7+P23+P26+SUM(P38:P46)</f>
        <v>160.20600633916879</v>
      </c>
      <c r="Q5" s="397"/>
      <c r="R5" s="118">
        <f t="shared" ref="R5:W5" si="0">SUM(R7:R46)</f>
        <v>160.44801339285715</v>
      </c>
      <c r="S5" s="118">
        <f t="shared" si="0"/>
        <v>4.16</v>
      </c>
      <c r="T5" s="118">
        <f t="shared" si="0"/>
        <v>45.970000000000006</v>
      </c>
      <c r="U5" s="118">
        <f t="shared" si="0"/>
        <v>39.575257157187252</v>
      </c>
      <c r="V5" s="118">
        <f t="shared" si="0"/>
        <v>20.524742842812749</v>
      </c>
      <c r="W5" s="118">
        <f t="shared" si="0"/>
        <v>50.218013392857145</v>
      </c>
      <c r="X5" s="41"/>
    </row>
    <row r="6" spans="1:24">
      <c r="A6" s="1"/>
      <c r="B6" s="1"/>
      <c r="C6" s="27">
        <f>C5+8-265.78-L12-0.36+0.08</f>
        <v>0.19396069426347334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>
        <f>P5-157.65+8-P43</f>
        <v>-9.3993660831211301E-2</v>
      </c>
      <c r="Q6" s="28"/>
      <c r="R6" s="119">
        <f>R5-(157.65-8+R43)</f>
        <v>0.14801339285713766</v>
      </c>
      <c r="S6" s="58">
        <f>S5-4.16</f>
        <v>0</v>
      </c>
      <c r="T6" s="454">
        <f>T5-30.28-5.04</f>
        <v>10.650000000000006</v>
      </c>
      <c r="U6" s="1"/>
      <c r="V6" s="454">
        <f>U5+V5-68.1+8</f>
        <v>7.1054273576010019E-15</v>
      </c>
      <c r="W6" s="454">
        <f>W5-50.07</f>
        <v>0.14801339285714477</v>
      </c>
    </row>
    <row r="7" spans="1:24">
      <c r="A7" s="486" t="s">
        <v>15</v>
      </c>
      <c r="B7" s="1" t="s">
        <v>17</v>
      </c>
      <c r="C7" s="17">
        <f>0.83*(1-0.59/115.72)</f>
        <v>0.82576823366747309</v>
      </c>
      <c r="D7" s="487">
        <f>SUM(C7:C20)</f>
        <v>128.53748245765641</v>
      </c>
      <c r="E7" s="30"/>
      <c r="F7" s="488">
        <f>SUM(E7:E19)</f>
        <v>81.562337262357403</v>
      </c>
      <c r="G7" s="17">
        <f>C7-E7</f>
        <v>0.82576823366747309</v>
      </c>
      <c r="H7" s="488">
        <f>SUM(G6:G19)</f>
        <v>46.975145195299007</v>
      </c>
      <c r="J7" s="487">
        <f>H7-I13</f>
        <v>43.92514519529901</v>
      </c>
      <c r="K7" s="31"/>
      <c r="L7" s="31"/>
      <c r="M7" s="31"/>
      <c r="N7" s="338"/>
      <c r="O7" s="344"/>
      <c r="P7" s="489">
        <f>J7-K12-L12-M12</f>
        <v>37.859245852056695</v>
      </c>
      <c r="Q7" s="399"/>
      <c r="R7" s="120"/>
      <c r="S7" s="121"/>
      <c r="T7" s="122"/>
      <c r="U7" s="123"/>
      <c r="V7" s="122"/>
      <c r="W7" s="123"/>
    </row>
    <row r="8" spans="1:24">
      <c r="A8" s="486"/>
      <c r="B8" s="1" t="s">
        <v>18</v>
      </c>
      <c r="C8" s="17">
        <f>5.42*(1-0.59/115.72)</f>
        <v>5.3923660559972344</v>
      </c>
      <c r="D8" s="487"/>
      <c r="E8" s="30">
        <f>C8*0.1</f>
        <v>0.53923660559972342</v>
      </c>
      <c r="F8" s="488"/>
      <c r="G8" s="17">
        <f>0.9*C8</f>
        <v>4.8531294503975113</v>
      </c>
      <c r="H8" s="488"/>
      <c r="J8" s="487"/>
      <c r="K8" s="31"/>
      <c r="L8" s="31"/>
      <c r="M8" s="31"/>
      <c r="N8" s="338"/>
      <c r="O8" s="344"/>
      <c r="P8" s="489"/>
      <c r="Q8" s="399"/>
      <c r="R8" s="124"/>
      <c r="S8" s="125"/>
      <c r="T8" s="126"/>
      <c r="U8" s="127"/>
      <c r="V8" s="126"/>
      <c r="W8" s="127"/>
    </row>
    <row r="9" spans="1:24">
      <c r="A9" s="486"/>
      <c r="B9" s="1" t="s">
        <v>19</v>
      </c>
      <c r="C9" s="17">
        <f>0.049*(1-0.59/115.72)</f>
        <v>4.8750172830971307E-2</v>
      </c>
      <c r="D9" s="487"/>
      <c r="E9" s="30"/>
      <c r="F9" s="488"/>
      <c r="G9" s="17">
        <f t="shared" ref="G9" si="1">C9-E9</f>
        <v>4.8750172830971307E-2</v>
      </c>
      <c r="H9" s="488"/>
      <c r="J9" s="487"/>
      <c r="K9" s="31"/>
      <c r="L9" s="31"/>
      <c r="M9" s="31"/>
      <c r="N9" s="338"/>
      <c r="O9" s="344"/>
      <c r="P9" s="489"/>
      <c r="Q9" s="399"/>
      <c r="R9" s="124"/>
      <c r="S9" s="125"/>
      <c r="T9" s="126"/>
      <c r="U9" s="127"/>
      <c r="V9" s="126"/>
      <c r="W9" s="127"/>
    </row>
    <row r="10" spans="1:24">
      <c r="A10" s="486"/>
      <c r="B10" s="1" t="s">
        <v>20</v>
      </c>
      <c r="C10" s="17">
        <f>111.68*(1-0.59/115.72)</f>
        <v>111.11059799516073</v>
      </c>
      <c r="D10" s="487"/>
      <c r="E10" s="30">
        <f>C10*(1-0.33)</f>
        <v>74.444100656757684</v>
      </c>
      <c r="F10" s="488"/>
      <c r="G10" s="30">
        <f>C10-E10</f>
        <v>36.666497338403047</v>
      </c>
      <c r="H10" s="488"/>
      <c r="J10" s="487"/>
      <c r="K10" s="31"/>
      <c r="L10" s="31"/>
      <c r="M10" s="31"/>
      <c r="N10" s="338"/>
      <c r="O10" s="344"/>
      <c r="P10" s="489"/>
      <c r="Q10" s="399"/>
      <c r="R10" s="124"/>
      <c r="S10" s="125"/>
      <c r="T10" s="126"/>
      <c r="U10" s="127"/>
      <c r="V10" s="126"/>
      <c r="W10" s="127"/>
    </row>
    <row r="11" spans="1:24">
      <c r="A11" s="486"/>
      <c r="B11" s="1" t="s">
        <v>21</v>
      </c>
      <c r="C11" s="17"/>
      <c r="D11" s="487"/>
      <c r="E11" s="30"/>
      <c r="F11" s="488"/>
      <c r="G11" s="17">
        <f>C11-E11</f>
        <v>0</v>
      </c>
      <c r="H11" s="488"/>
      <c r="J11" s="487"/>
      <c r="K11" s="31"/>
      <c r="L11" s="31"/>
      <c r="M11" s="31"/>
      <c r="N11" s="338"/>
      <c r="O11" s="344"/>
      <c r="P11" s="489"/>
      <c r="Q11" s="399"/>
      <c r="R11" s="124"/>
      <c r="S11" s="125"/>
      <c r="T11" s="126"/>
      <c r="U11" s="127"/>
      <c r="V11" s="126"/>
      <c r="W11" s="127"/>
    </row>
    <row r="12" spans="1:24">
      <c r="A12" s="486"/>
      <c r="B12" s="1" t="s">
        <v>22</v>
      </c>
      <c r="C12" s="17">
        <f>1.8</f>
        <v>1.8</v>
      </c>
      <c r="D12" s="487"/>
      <c r="E12" s="30">
        <f t="shared" ref="E12:E18" si="2">C12-G12</f>
        <v>1.44</v>
      </c>
      <c r="F12" s="488"/>
      <c r="G12" s="17">
        <f>0.2*C12</f>
        <v>0.36000000000000004</v>
      </c>
      <c r="H12" s="488"/>
      <c r="J12" s="487"/>
      <c r="K12" s="31">
        <f>77.86-E10</f>
        <v>3.4158993432423159</v>
      </c>
      <c r="L12" s="31">
        <f>4.32-1.67</f>
        <v>2.6500000000000004</v>
      </c>
      <c r="M12" s="31"/>
      <c r="N12" s="338"/>
      <c r="O12" s="344"/>
      <c r="P12" s="489"/>
      <c r="Q12" s="400"/>
      <c r="R12" s="124"/>
      <c r="S12" s="125"/>
      <c r="T12" s="126"/>
      <c r="U12" s="127"/>
      <c r="V12" s="126"/>
      <c r="W12" s="127"/>
    </row>
    <row r="13" spans="1:24">
      <c r="A13" s="486"/>
      <c r="B13" s="1" t="s">
        <v>23</v>
      </c>
      <c r="C13" s="17"/>
      <c r="D13" s="487"/>
      <c r="E13" s="30">
        <f t="shared" si="2"/>
        <v>0</v>
      </c>
      <c r="F13" s="488"/>
      <c r="G13" s="17"/>
      <c r="H13" s="488"/>
      <c r="I13" s="34">
        <f>2.77+0.28</f>
        <v>3.05</v>
      </c>
      <c r="J13" s="487"/>
      <c r="K13" s="31"/>
      <c r="L13" s="31"/>
      <c r="M13" s="31"/>
      <c r="N13" s="338"/>
      <c r="O13" s="344"/>
      <c r="P13" s="489"/>
      <c r="Q13" s="1"/>
      <c r="R13" s="124">
        <f>SUM(S7:W19)</f>
        <v>38.010000000000005</v>
      </c>
      <c r="S13" s="128">
        <v>0.68</v>
      </c>
      <c r="T13" s="126">
        <f>9.5+0.88</f>
        <v>10.38</v>
      </c>
      <c r="U13" s="126">
        <f>25.89*14.6/(14.6+10.3)</f>
        <v>15.180481927710844</v>
      </c>
      <c r="V13" s="126">
        <f>25.89*10.3/(10.3+14.6)</f>
        <v>10.709518072289159</v>
      </c>
      <c r="W13" s="126">
        <f>1.06</f>
        <v>1.06</v>
      </c>
    </row>
    <row r="14" spans="1:24">
      <c r="A14" s="486"/>
      <c r="B14" s="1" t="s">
        <v>24</v>
      </c>
      <c r="C14" s="17"/>
      <c r="D14" s="487"/>
      <c r="E14" s="30">
        <f t="shared" si="2"/>
        <v>0</v>
      </c>
      <c r="F14" s="488"/>
      <c r="G14" s="17"/>
      <c r="H14" s="488"/>
      <c r="J14" s="487"/>
      <c r="K14" s="31"/>
      <c r="L14" s="31"/>
      <c r="M14" s="31"/>
      <c r="N14" s="338"/>
      <c r="O14" s="344"/>
      <c r="P14" s="489"/>
      <c r="Q14" s="1"/>
      <c r="R14" s="124"/>
      <c r="S14" s="125"/>
      <c r="T14" s="126"/>
      <c r="U14" s="127"/>
      <c r="V14" s="126"/>
      <c r="W14" s="127"/>
    </row>
    <row r="15" spans="1:24">
      <c r="A15" s="486"/>
      <c r="B15" s="1" t="s">
        <v>25</v>
      </c>
      <c r="C15" s="17">
        <v>0</v>
      </c>
      <c r="D15" s="487"/>
      <c r="E15" s="30">
        <f t="shared" si="2"/>
        <v>0</v>
      </c>
      <c r="F15" s="488"/>
      <c r="G15" s="17"/>
      <c r="H15" s="488"/>
      <c r="I15" s="41"/>
      <c r="J15" s="487"/>
      <c r="K15" s="31"/>
      <c r="L15" s="31"/>
      <c r="M15" s="31"/>
      <c r="N15" s="338"/>
      <c r="O15" s="344"/>
      <c r="P15" s="489"/>
      <c r="Q15" s="1"/>
      <c r="R15" s="124"/>
      <c r="S15" s="125"/>
      <c r="T15" s="126"/>
      <c r="U15" s="127"/>
      <c r="V15" s="126"/>
      <c r="W15" s="127"/>
    </row>
    <row r="16" spans="1:24">
      <c r="A16" s="486"/>
      <c r="B16" s="1" t="s">
        <v>26</v>
      </c>
      <c r="C16" s="17">
        <v>0</v>
      </c>
      <c r="D16" s="487"/>
      <c r="E16" s="30">
        <f t="shared" si="2"/>
        <v>0</v>
      </c>
      <c r="F16" s="488"/>
      <c r="G16" s="17"/>
      <c r="H16" s="488"/>
      <c r="J16" s="487"/>
      <c r="K16" s="31"/>
      <c r="L16" s="31"/>
      <c r="M16" s="31"/>
      <c r="N16" s="338"/>
      <c r="O16" s="344"/>
      <c r="P16" s="489"/>
      <c r="Q16" s="1"/>
      <c r="R16" s="124"/>
      <c r="S16" s="125"/>
      <c r="T16" s="126"/>
      <c r="U16" s="127"/>
      <c r="V16" s="126"/>
      <c r="W16" s="127"/>
    </row>
    <row r="17" spans="1:24">
      <c r="A17" s="486"/>
      <c r="B17" s="1" t="s">
        <v>27</v>
      </c>
      <c r="C17" s="17">
        <f>1.01</f>
        <v>1.01</v>
      </c>
      <c r="D17" s="487"/>
      <c r="E17" s="30">
        <f t="shared" si="2"/>
        <v>0.62619999999999998</v>
      </c>
      <c r="F17" s="488"/>
      <c r="G17" s="17">
        <f>0.38*C17</f>
        <v>0.38380000000000003</v>
      </c>
      <c r="H17" s="488"/>
      <c r="J17" s="487"/>
      <c r="K17" s="31"/>
      <c r="L17" s="31"/>
      <c r="M17" s="31"/>
      <c r="N17" s="338"/>
      <c r="O17" s="344"/>
      <c r="P17" s="489"/>
      <c r="Q17" s="1"/>
      <c r="R17" s="124"/>
      <c r="S17" s="125"/>
      <c r="T17" s="126"/>
      <c r="U17" s="127"/>
      <c r="V17" s="126"/>
      <c r="W17" s="127"/>
    </row>
    <row r="18" spans="1:24">
      <c r="A18" s="486"/>
      <c r="B18" s="1" t="s">
        <v>28</v>
      </c>
      <c r="C18" s="17">
        <v>4.66</v>
      </c>
      <c r="D18" s="487"/>
      <c r="E18" s="30">
        <f t="shared" si="2"/>
        <v>2.8891999999999998</v>
      </c>
      <c r="F18" s="488"/>
      <c r="G18" s="17">
        <f>0.38*C18</f>
        <v>1.7708000000000002</v>
      </c>
      <c r="H18" s="488"/>
      <c r="J18" s="487"/>
      <c r="K18" s="31"/>
      <c r="L18" s="31"/>
      <c r="M18" s="31"/>
      <c r="N18" s="338"/>
      <c r="O18" s="344"/>
      <c r="P18" s="489"/>
      <c r="Q18" s="1"/>
      <c r="R18" s="124"/>
      <c r="S18" s="125"/>
      <c r="T18" s="126"/>
      <c r="U18" s="127"/>
      <c r="V18" s="126"/>
      <c r="W18" s="127"/>
    </row>
    <row r="19" spans="1:24">
      <c r="A19" s="486"/>
      <c r="B19" s="1" t="s">
        <v>29</v>
      </c>
      <c r="C19" s="17">
        <f>3.09+0.6</f>
        <v>3.69</v>
      </c>
      <c r="D19" s="487"/>
      <c r="E19" s="30">
        <f>C19-G19</f>
        <v>1.6235999999999997</v>
      </c>
      <c r="F19" s="488"/>
      <c r="G19" s="17">
        <f>0.56*C19</f>
        <v>2.0664000000000002</v>
      </c>
      <c r="H19" s="488"/>
      <c r="J19" s="487"/>
      <c r="K19" s="31"/>
      <c r="L19" s="31"/>
      <c r="M19" s="31"/>
      <c r="N19" s="338"/>
      <c r="O19" s="344"/>
      <c r="P19" s="489"/>
      <c r="Q19" s="1"/>
      <c r="R19" s="129"/>
      <c r="S19" s="130"/>
      <c r="T19" s="131"/>
      <c r="U19" s="132"/>
      <c r="V19" s="131"/>
      <c r="W19" s="132"/>
    </row>
    <row r="20" spans="1:24" ht="13.5" thickBot="1">
      <c r="A20" s="1"/>
      <c r="B20" s="1"/>
      <c r="C20" s="1"/>
      <c r="D20" s="36">
        <f>SUM(C7:C19)-(115.72+4.32-1.67+4.66+1.01+3.09+0.6+1.8+-0.59)</f>
        <v>-0.40251754234358827</v>
      </c>
      <c r="E20" s="17"/>
      <c r="F20" s="36">
        <f>SUM(C12:C19)-SUM(G12:G19)-5.88-0.28</f>
        <v>0.41899999999999982</v>
      </c>
      <c r="G20" s="17"/>
      <c r="H20" s="455">
        <f>SUM(G12:G19)-5.28+0.28</f>
        <v>-0.41899999999999982</v>
      </c>
      <c r="I20" s="1"/>
      <c r="J20" s="1"/>
      <c r="K20" s="1"/>
      <c r="L20" s="1"/>
      <c r="M20" s="1"/>
      <c r="N20" s="1"/>
      <c r="O20" s="1"/>
      <c r="P20" s="37">
        <f>P7-38.01</f>
        <v>-0.150754147943303</v>
      </c>
      <c r="Q20" s="401"/>
      <c r="R20" s="17">
        <f>R13-38.01</f>
        <v>0</v>
      </c>
      <c r="S20" s="1"/>
      <c r="T20" s="17"/>
      <c r="U20" s="1"/>
      <c r="V20" s="17"/>
      <c r="W20" s="1"/>
    </row>
    <row r="21" spans="1:24">
      <c r="A21" s="481" t="s">
        <v>13</v>
      </c>
      <c r="B21" s="1" t="s">
        <v>21</v>
      </c>
      <c r="C21" s="17"/>
      <c r="D21" s="482">
        <f>SUM(C21:C24)</f>
        <v>38.930000000000007</v>
      </c>
      <c r="F21" s="482"/>
      <c r="G21" s="17">
        <f t="shared" ref="G21:G45" si="3">C21-E21</f>
        <v>0</v>
      </c>
      <c r="H21" s="484">
        <f>SUM(G21:G24)</f>
        <v>38.410000000000004</v>
      </c>
      <c r="I21" s="17"/>
      <c r="J21" s="484">
        <f>H21</f>
        <v>38.410000000000004</v>
      </c>
      <c r="K21" s="476"/>
      <c r="L21" s="476"/>
      <c r="M21" s="476"/>
      <c r="N21" s="38"/>
      <c r="O21" s="38"/>
      <c r="P21" s="38"/>
      <c r="Q21" s="1"/>
      <c r="R21" s="402"/>
      <c r="S21" s="403"/>
      <c r="T21" s="404"/>
      <c r="U21" s="404"/>
      <c r="V21" s="404"/>
      <c r="W21" s="405"/>
    </row>
    <row r="22" spans="1:24">
      <c r="A22" s="481"/>
      <c r="B22" s="1" t="s">
        <v>30</v>
      </c>
      <c r="C22" s="17">
        <v>0.2</v>
      </c>
      <c r="D22" s="483"/>
      <c r="F22" s="483"/>
      <c r="G22" s="17">
        <f t="shared" si="3"/>
        <v>0.2</v>
      </c>
      <c r="H22" s="485"/>
      <c r="I22" s="17"/>
      <c r="J22" s="484"/>
      <c r="K22" s="476"/>
      <c r="L22" s="476"/>
      <c r="M22" s="476"/>
      <c r="N22" s="340"/>
      <c r="O22" s="40"/>
      <c r="P22" s="40"/>
      <c r="Q22" s="1"/>
      <c r="R22" s="406"/>
      <c r="S22" s="407"/>
      <c r="T22" s="408"/>
      <c r="U22" s="408"/>
      <c r="V22" s="408"/>
      <c r="W22" s="409"/>
    </row>
    <row r="23" spans="1:24">
      <c r="A23" s="481"/>
      <c r="B23" s="1" t="s">
        <v>31</v>
      </c>
      <c r="C23" s="17"/>
      <c r="D23" s="483"/>
      <c r="E23" s="41"/>
      <c r="F23" s="483"/>
      <c r="G23" s="17">
        <f t="shared" si="3"/>
        <v>0</v>
      </c>
      <c r="H23" s="485"/>
      <c r="I23" s="17"/>
      <c r="J23" s="484"/>
      <c r="K23" s="476"/>
      <c r="L23" s="476"/>
      <c r="M23" s="476"/>
      <c r="N23" s="340">
        <f>C32+C28</f>
        <v>3.64</v>
      </c>
      <c r="O23" s="40">
        <f>C19</f>
        <v>3.69</v>
      </c>
      <c r="P23" s="40">
        <f>J21-N23-O23-K21</f>
        <v>31.080000000000002</v>
      </c>
      <c r="Q23" s="1"/>
      <c r="R23" s="456">
        <f>SUM(S23:W23)</f>
        <v>32.112462447672989</v>
      </c>
      <c r="S23" s="410">
        <v>0.22</v>
      </c>
      <c r="T23" s="410">
        <f>(12.1+0.51+0.76-1.12)*G24/(G24+G32)</f>
        <v>11.526040384141837</v>
      </c>
      <c r="U23" s="410">
        <f>21.55*16/(16+6.1)*G24/(G24+G32)</f>
        <v>14.679762579932053</v>
      </c>
      <c r="V23" s="410">
        <f>21.55*6.1/(16+6.1)*G24/(G24+G32)</f>
        <v>5.5966594835990957</v>
      </c>
      <c r="W23" s="411">
        <v>0.09</v>
      </c>
      <c r="X23" s="457"/>
    </row>
    <row r="24" spans="1:24">
      <c r="A24" s="481"/>
      <c r="B24" s="1" t="s">
        <v>32</v>
      </c>
      <c r="C24" s="17">
        <f>40.06-C45</f>
        <v>38.730000000000004</v>
      </c>
      <c r="D24" s="483"/>
      <c r="E24" s="22">
        <f>1.12-0.6</f>
        <v>0.52000000000000013</v>
      </c>
      <c r="F24" s="483"/>
      <c r="G24" s="17">
        <f t="shared" si="3"/>
        <v>38.21</v>
      </c>
      <c r="H24" s="485"/>
      <c r="I24" s="42"/>
      <c r="J24" s="484"/>
      <c r="K24" s="476"/>
      <c r="L24" s="476"/>
      <c r="M24" s="476"/>
      <c r="N24" s="340"/>
      <c r="O24" s="40"/>
      <c r="P24" s="40"/>
      <c r="Q24" s="1"/>
      <c r="R24" s="412"/>
      <c r="S24" s="413"/>
      <c r="T24" s="414"/>
      <c r="U24" s="414"/>
      <c r="V24" s="414"/>
      <c r="W24" s="415"/>
    </row>
    <row r="25" spans="1:24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>
        <f>P23-G22+G32-34.47+0.36</f>
        <v>-0.82999999999999774</v>
      </c>
      <c r="Q25" s="1"/>
      <c r="R25" s="416"/>
      <c r="S25" s="417"/>
      <c r="T25" s="324"/>
      <c r="U25" s="324"/>
      <c r="V25" s="324"/>
      <c r="W25" s="418"/>
    </row>
    <row r="26" spans="1:24">
      <c r="A26" s="477" t="s">
        <v>14</v>
      </c>
      <c r="B26" s="1" t="s">
        <v>21</v>
      </c>
      <c r="C26" s="43">
        <v>0</v>
      </c>
      <c r="D26" s="478">
        <f>SUM(C26:C32)</f>
        <v>4.2692126116071432</v>
      </c>
      <c r="E26" s="43">
        <f t="shared" ref="E26:E31" si="4">C26*0.2</f>
        <v>0</v>
      </c>
      <c r="F26" s="479"/>
      <c r="G26" s="41">
        <f>C26-E26</f>
        <v>0</v>
      </c>
      <c r="H26" s="479">
        <f>SUM(G26:G32)</f>
        <v>2.9033700892857142</v>
      </c>
      <c r="I26" s="1"/>
      <c r="J26" s="478">
        <f>H26</f>
        <v>2.9033700892857142</v>
      </c>
      <c r="K26" s="480"/>
      <c r="L26" s="480"/>
      <c r="M26" s="480"/>
      <c r="N26" s="470"/>
      <c r="O26" s="471"/>
      <c r="P26" s="471">
        <f>J26-K26-M26</f>
        <v>2.9033700892857142</v>
      </c>
      <c r="Q26" s="1"/>
      <c r="R26" s="419"/>
      <c r="S26" s="420"/>
      <c r="T26" s="420"/>
      <c r="U26" s="420"/>
      <c r="V26" s="421"/>
      <c r="W26" s="422"/>
    </row>
    <row r="27" spans="1:24">
      <c r="A27" s="477"/>
      <c r="B27" s="1" t="s">
        <v>22</v>
      </c>
      <c r="C27" s="43">
        <f>(2.4-C12)*(1-0.81/17.92)</f>
        <v>0.57287946428571412</v>
      </c>
      <c r="D27" s="478"/>
      <c r="E27" s="43">
        <f>0.2*C27</f>
        <v>0.11457589285714283</v>
      </c>
      <c r="F27" s="479"/>
      <c r="G27" s="41">
        <f>C27-E27</f>
        <v>0.45830357142857131</v>
      </c>
      <c r="H27" s="479"/>
      <c r="I27" s="1"/>
      <c r="J27" s="478"/>
      <c r="K27" s="480"/>
      <c r="L27" s="480"/>
      <c r="M27" s="480"/>
      <c r="N27" s="470"/>
      <c r="O27" s="471"/>
      <c r="P27" s="471"/>
      <c r="Q27" s="1"/>
      <c r="R27" s="406"/>
      <c r="S27" s="408"/>
      <c r="T27" s="408"/>
      <c r="U27" s="408"/>
      <c r="V27" s="407"/>
      <c r="W27" s="423"/>
    </row>
    <row r="28" spans="1:24">
      <c r="A28" s="477"/>
      <c r="B28" s="1" t="s">
        <v>26</v>
      </c>
      <c r="C28" s="43">
        <f>0.64</f>
        <v>0.64</v>
      </c>
      <c r="D28" s="478"/>
      <c r="E28" s="43">
        <v>0.64</v>
      </c>
      <c r="F28" s="479"/>
      <c r="G28" s="41"/>
      <c r="H28" s="479"/>
      <c r="I28" s="1"/>
      <c r="J28" s="478"/>
      <c r="K28" s="480"/>
      <c r="L28" s="480" t="e">
        <v>#REF!</v>
      </c>
      <c r="M28" s="480"/>
      <c r="N28" s="470" t="e">
        <v>#REF!</v>
      </c>
      <c r="O28" s="471" t="e">
        <v>#REF!</v>
      </c>
      <c r="P28" s="471"/>
      <c r="Q28" s="1"/>
      <c r="R28" s="406"/>
      <c r="S28" s="408"/>
      <c r="T28" s="408"/>
      <c r="U28" s="408"/>
      <c r="V28" s="407"/>
      <c r="W28" s="423"/>
    </row>
    <row r="29" spans="1:24">
      <c r="A29" s="477"/>
      <c r="B29" s="1" t="s">
        <v>23</v>
      </c>
      <c r="C29" s="424"/>
      <c r="D29" s="478"/>
      <c r="E29" s="43">
        <f t="shared" si="4"/>
        <v>0</v>
      </c>
      <c r="F29" s="479"/>
      <c r="G29" s="41">
        <f>C29-E29</f>
        <v>0</v>
      </c>
      <c r="H29" s="479"/>
      <c r="I29" s="1"/>
      <c r="J29" s="478"/>
      <c r="K29" s="480"/>
      <c r="L29" s="480" t="e">
        <v>#REF!</v>
      </c>
      <c r="M29" s="480"/>
      <c r="N29" s="470" t="e">
        <v>#REF!</v>
      </c>
      <c r="O29" s="471" t="e">
        <v>#REF!</v>
      </c>
      <c r="P29" s="471"/>
      <c r="Q29" s="1"/>
      <c r="R29" s="425">
        <f>SUM(S29:W29)</f>
        <v>2.4699820098867007</v>
      </c>
      <c r="S29" s="426">
        <v>0.05</v>
      </c>
      <c r="T29" s="426">
        <f>(12.1+0.51+0.76-1.12)*G32/(G24+G32)+2.15*SUM(G26:G31)/(SUM(G26:G31,G36:G40))</f>
        <v>0.96811434267357399</v>
      </c>
      <c r="U29" s="426">
        <f>21.55*16/(16+6.1)*G32/(G24+G32)+1.57*SUM(G26:G31)/(SUM(G26:G31,G36:G40))*8.2/(8.2+0.9)</f>
        <v>1.0827040552699636</v>
      </c>
      <c r="V29" s="426">
        <f>21.55*6.1/(16+6.1)*G32/(G24+G32)+1.57*SUM(G26:G31)/(SUM(G26:G31,G36:G40))*0.9/(8.2+0.9)</f>
        <v>0.36916361194316305</v>
      </c>
      <c r="W29" s="427">
        <v>0</v>
      </c>
      <c r="X29" s="458"/>
    </row>
    <row r="30" spans="1:24">
      <c r="A30" s="477"/>
      <c r="B30" s="1" t="s">
        <v>24</v>
      </c>
      <c r="C30" s="43"/>
      <c r="D30" s="478"/>
      <c r="E30" s="43">
        <f t="shared" si="4"/>
        <v>0</v>
      </c>
      <c r="F30" s="479"/>
      <c r="G30" s="41">
        <f t="shared" ref="G30:G32" si="5">C30-E30</f>
        <v>0</v>
      </c>
      <c r="H30" s="479"/>
      <c r="I30" s="1"/>
      <c r="J30" s="478"/>
      <c r="K30" s="480"/>
      <c r="L30" s="480"/>
      <c r="M30" s="480"/>
      <c r="N30" s="470"/>
      <c r="O30" s="471"/>
      <c r="P30" s="471"/>
      <c r="Q30" s="1"/>
      <c r="R30" s="406"/>
      <c r="S30" s="408"/>
      <c r="T30" s="408"/>
      <c r="U30" s="408"/>
      <c r="V30" s="407"/>
      <c r="W30" s="423"/>
    </row>
    <row r="31" spans="1:24">
      <c r="A31" s="477"/>
      <c r="B31" s="1" t="s">
        <v>33</v>
      </c>
      <c r="C31" s="43">
        <f>0.059*(1-0.81/17.92)</f>
        <v>5.6333147321428564E-2</v>
      </c>
      <c r="D31" s="478"/>
      <c r="E31" s="43">
        <f t="shared" si="4"/>
        <v>1.1266629464285714E-2</v>
      </c>
      <c r="F31" s="479"/>
      <c r="G31" s="41">
        <f>C31-E31</f>
        <v>4.506651785714285E-2</v>
      </c>
      <c r="H31" s="479"/>
      <c r="I31" s="1"/>
      <c r="J31" s="478"/>
      <c r="K31" s="480"/>
      <c r="L31" s="480"/>
      <c r="M31" s="480"/>
      <c r="N31" s="470"/>
      <c r="O31" s="471"/>
      <c r="P31" s="471"/>
      <c r="Q31" s="1"/>
      <c r="R31" s="406"/>
      <c r="S31" s="408"/>
      <c r="T31" s="408"/>
      <c r="U31" s="408"/>
      <c r="V31" s="407"/>
      <c r="W31" s="423"/>
    </row>
    <row r="32" spans="1:24">
      <c r="A32" s="477"/>
      <c r="B32" s="1" t="s">
        <v>29</v>
      </c>
      <c r="C32" s="43">
        <v>3</v>
      </c>
      <c r="D32" s="478"/>
      <c r="E32" s="43">
        <f>C32*0.2</f>
        <v>0.60000000000000009</v>
      </c>
      <c r="F32" s="479"/>
      <c r="G32" s="41">
        <f t="shared" si="5"/>
        <v>2.4</v>
      </c>
      <c r="H32" s="479"/>
      <c r="I32" s="1"/>
      <c r="J32" s="478"/>
      <c r="K32" s="480"/>
      <c r="L32" s="480"/>
      <c r="M32" s="480"/>
      <c r="N32" s="470"/>
      <c r="O32" s="471"/>
      <c r="P32" s="471"/>
      <c r="Q32" s="1"/>
      <c r="R32" s="412"/>
      <c r="S32" s="414"/>
      <c r="T32" s="414"/>
      <c r="U32" s="414"/>
      <c r="V32" s="413"/>
      <c r="W32" s="428"/>
    </row>
    <row r="33" spans="1:23">
      <c r="A33" s="341"/>
      <c r="B33" s="1" t="s">
        <v>27</v>
      </c>
      <c r="C33" s="34"/>
      <c r="D33" s="348"/>
      <c r="E33" s="34"/>
      <c r="F33" s="342"/>
      <c r="G33" s="41"/>
      <c r="H33" s="342"/>
      <c r="I33" s="1"/>
      <c r="J33" s="348"/>
      <c r="K33" s="342"/>
      <c r="L33" s="342"/>
      <c r="M33" s="342"/>
      <c r="N33" s="342"/>
      <c r="O33" s="342"/>
      <c r="P33" s="342"/>
      <c r="Q33" s="1"/>
      <c r="R33" s="429"/>
      <c r="S33" s="430"/>
      <c r="T33" s="430"/>
      <c r="U33" s="430"/>
      <c r="V33" s="430"/>
      <c r="W33" s="409"/>
    </row>
    <row r="34" spans="1:23">
      <c r="A34" s="341"/>
      <c r="B34" s="1" t="s">
        <v>28</v>
      </c>
      <c r="C34" s="34"/>
      <c r="D34" s="348"/>
      <c r="E34" s="34"/>
      <c r="F34" s="342"/>
      <c r="G34" s="41"/>
      <c r="H34" s="342"/>
      <c r="I34" s="1"/>
      <c r="J34" s="348"/>
      <c r="K34" s="342"/>
      <c r="L34" s="342"/>
      <c r="M34" s="342"/>
      <c r="N34" s="342"/>
      <c r="O34" s="342"/>
      <c r="P34" s="342"/>
      <c r="Q34" s="1"/>
      <c r="R34" s="429"/>
      <c r="S34" s="430"/>
      <c r="T34" s="430"/>
      <c r="U34" s="430"/>
      <c r="V34" s="430"/>
      <c r="W34" s="409"/>
    </row>
    <row r="35" spans="1:23">
      <c r="A35" s="4"/>
      <c r="B35" s="1"/>
      <c r="D35" s="37"/>
      <c r="E35" s="1"/>
      <c r="F35" s="1"/>
      <c r="G35" s="17"/>
      <c r="H35" s="45"/>
      <c r="I35" s="1"/>
      <c r="J35" s="1"/>
      <c r="K35" s="1"/>
      <c r="L35" s="1"/>
      <c r="M35" s="1"/>
      <c r="N35" s="1"/>
      <c r="O35" s="1"/>
      <c r="P35" s="431">
        <f>SUM(G36:G41,G26:G31,G21:G23)-14.41+8</f>
        <v>1.0106357142857139</v>
      </c>
      <c r="Q35" s="1"/>
      <c r="R35" s="459"/>
      <c r="S35" s="417"/>
      <c r="T35" s="324"/>
      <c r="U35" s="324"/>
      <c r="V35" s="324"/>
      <c r="W35" s="418"/>
    </row>
    <row r="36" spans="1:23">
      <c r="A36" s="472" t="s">
        <v>34</v>
      </c>
      <c r="B36" s="1" t="s">
        <v>21</v>
      </c>
      <c r="D36" s="472">
        <f>SUM(C36:C46)</f>
        <v>95.857265624999997</v>
      </c>
      <c r="E36" s="346"/>
      <c r="F36" s="474"/>
      <c r="G36" s="17">
        <f t="shared" si="3"/>
        <v>0</v>
      </c>
      <c r="H36" s="472">
        <f>SUM(G36:G46)</f>
        <v>91.017265625000007</v>
      </c>
      <c r="I36" s="345"/>
      <c r="J36" s="345"/>
      <c r="K36" s="345"/>
      <c r="L36" s="345"/>
      <c r="M36" s="345"/>
      <c r="N36" s="345"/>
      <c r="O36" s="345"/>
      <c r="P36" s="49"/>
      <c r="R36" s="433"/>
      <c r="S36" s="420"/>
      <c r="T36" s="434"/>
      <c r="U36" s="420"/>
      <c r="V36" s="435"/>
      <c r="W36" s="436"/>
    </row>
    <row r="37" spans="1:23">
      <c r="A37" s="472"/>
      <c r="B37" s="1" t="s">
        <v>23</v>
      </c>
      <c r="C37" s="41">
        <f>(10.1+0.38-8)*(1-0.81/17.92)-C22</f>
        <v>2.1679017857142857</v>
      </c>
      <c r="D37" s="472"/>
      <c r="E37" s="346">
        <v>0</v>
      </c>
      <c r="F37" s="474"/>
      <c r="G37" s="17">
        <f>C37-E37</f>
        <v>2.1679017857142857</v>
      </c>
      <c r="H37" s="472"/>
      <c r="I37" s="345"/>
      <c r="J37" s="345"/>
      <c r="K37" s="345"/>
      <c r="L37" s="345"/>
      <c r="M37" s="345"/>
      <c r="N37" s="345"/>
      <c r="O37" s="345"/>
      <c r="P37" s="53"/>
      <c r="R37" s="429">
        <f>SUM(S37:W39)</f>
        <v>3.2975555424403127</v>
      </c>
      <c r="S37" s="295"/>
      <c r="T37" s="295">
        <f>2.15*SUM(G36:G40)/(SUM(G26:G31,G36:G40))</f>
        <v>1.905845273184589</v>
      </c>
      <c r="U37" s="295">
        <f>1.57*SUM(G36:G40)/(SUM(G26:G31,G36:G40))*8.2/(8.2+0.9)-U38</f>
        <v>1.1585886835601025</v>
      </c>
      <c r="V37" s="295">
        <f>1.57*SUM(G36:G40)/(SUM(G26:G31,G36:G40))*0.9/(8.2+0.9)</f>
        <v>0.13764167498133528</v>
      </c>
      <c r="W37" s="437"/>
    </row>
    <row r="38" spans="1:23">
      <c r="A38" s="472"/>
      <c r="B38" s="1" t="s">
        <v>33</v>
      </c>
      <c r="C38" s="41">
        <f>0.1*(1-0.81/17.92)</f>
        <v>9.5479910714285715E-2</v>
      </c>
      <c r="D38" s="472"/>
      <c r="E38" s="346"/>
      <c r="F38" s="474"/>
      <c r="G38" s="17">
        <f t="shared" si="3"/>
        <v>9.5479910714285715E-2</v>
      </c>
      <c r="H38" s="472"/>
      <c r="I38" s="345"/>
      <c r="J38" s="345"/>
      <c r="K38" s="345"/>
      <c r="L38" s="345"/>
      <c r="M38" s="345"/>
      <c r="N38" s="347">
        <f>SUM(P38,P26,P23)-R23-R29-R37</f>
        <v>3.2622321428569023E-2</v>
      </c>
      <c r="O38" s="345"/>
      <c r="P38" s="51">
        <f>SUM(G36:G40)</f>
        <v>3.9292522321428569</v>
      </c>
      <c r="R38" s="429"/>
      <c r="S38" s="438"/>
      <c r="T38" s="294"/>
      <c r="U38" s="295">
        <f>G38</f>
        <v>9.5479910714285715E-2</v>
      </c>
      <c r="V38" s="410"/>
      <c r="W38" s="418"/>
    </row>
    <row r="39" spans="1:23" ht="13.5" thickBot="1">
      <c r="A39" s="472"/>
      <c r="B39" s="1" t="s">
        <v>35</v>
      </c>
      <c r="C39" s="335">
        <v>0.1</v>
      </c>
      <c r="D39" s="472"/>
      <c r="E39" s="346"/>
      <c r="F39" s="474"/>
      <c r="G39" s="17">
        <f t="shared" si="3"/>
        <v>0.1</v>
      </c>
      <c r="H39" s="472"/>
      <c r="I39" s="345"/>
      <c r="J39" s="347"/>
      <c r="K39" s="345"/>
      <c r="L39" s="345"/>
      <c r="M39" s="345"/>
      <c r="N39" s="345"/>
      <c r="O39" s="345"/>
      <c r="P39" s="53"/>
      <c r="R39" s="460"/>
      <c r="S39" s="439"/>
      <c r="T39" s="440"/>
      <c r="U39" s="440"/>
      <c r="V39" s="441"/>
      <c r="W39" s="442"/>
    </row>
    <row r="40" spans="1:23">
      <c r="A40" s="472"/>
      <c r="B40" s="1" t="s">
        <v>36</v>
      </c>
      <c r="C40" s="41">
        <f>1.64*(1-0.81/17.92)</f>
        <v>1.5658705357142855</v>
      </c>
      <c r="D40" s="472"/>
      <c r="E40" s="346"/>
      <c r="F40" s="474"/>
      <c r="G40" s="17">
        <f t="shared" si="3"/>
        <v>1.5658705357142855</v>
      </c>
      <c r="H40" s="472"/>
      <c r="I40" s="345"/>
      <c r="J40" s="345"/>
      <c r="K40" s="345"/>
      <c r="L40" s="345"/>
      <c r="M40" s="345"/>
      <c r="N40" s="345"/>
      <c r="O40" s="345"/>
      <c r="P40" s="51">
        <f>G41</f>
        <v>2.7880133928571427</v>
      </c>
      <c r="R40" s="343">
        <f>W40</f>
        <v>2.7880133928571427</v>
      </c>
      <c r="S40" s="134"/>
      <c r="T40" s="135"/>
      <c r="U40" s="134"/>
      <c r="V40" s="135"/>
      <c r="W40" s="461">
        <f>G41</f>
        <v>2.7880133928571427</v>
      </c>
    </row>
    <row r="41" spans="1:23">
      <c r="A41" s="472"/>
      <c r="B41" s="1" t="s">
        <v>37</v>
      </c>
      <c r="C41" s="41">
        <f>(2.64+0.36-0.08)*(1-0.81/17.92)</f>
        <v>2.7880133928571427</v>
      </c>
      <c r="D41" s="472"/>
      <c r="E41" s="54"/>
      <c r="F41" s="474"/>
      <c r="G41" s="17">
        <f t="shared" si="3"/>
        <v>2.7880133928571427</v>
      </c>
      <c r="H41" s="472"/>
      <c r="I41" s="345"/>
      <c r="J41" s="345"/>
      <c r="K41" s="345"/>
      <c r="L41" s="345"/>
      <c r="M41" s="345"/>
      <c r="N41" s="345"/>
      <c r="O41" s="345"/>
      <c r="P41" s="51">
        <f>G42</f>
        <v>65.540000000000006</v>
      </c>
      <c r="Q41" s="462">
        <f>SUM(S41:X41)-65.54</f>
        <v>0</v>
      </c>
      <c r="R41" s="343">
        <f>SUM(S41:W41)</f>
        <v>65.539999999999992</v>
      </c>
      <c r="S41" s="135">
        <v>3.21</v>
      </c>
      <c r="T41" s="135">
        <f>5.23+0.03</f>
        <v>5.2600000000000007</v>
      </c>
      <c r="U41" s="135">
        <f>10.79*8.2/(8.2+4.3)</f>
        <v>7.0782399999999983</v>
      </c>
      <c r="V41" s="135">
        <f>10.79*4.3/(8.2+4.3)</f>
        <v>3.7117599999999995</v>
      </c>
      <c r="W41" s="136">
        <f>46.28</f>
        <v>46.28</v>
      </c>
    </row>
    <row r="42" spans="1:23">
      <c r="A42" s="472"/>
      <c r="B42" s="1" t="s">
        <v>38</v>
      </c>
      <c r="C42" s="41">
        <f>82.04-C43-C17</f>
        <v>70.38</v>
      </c>
      <c r="D42" s="472"/>
      <c r="E42" s="54">
        <f>C42-G42</f>
        <v>4.8399999999999892</v>
      </c>
      <c r="F42" s="474"/>
      <c r="G42" s="17">
        <f>65.54</f>
        <v>65.540000000000006</v>
      </c>
      <c r="H42" s="472"/>
      <c r="I42" s="345"/>
      <c r="J42" s="345"/>
      <c r="K42" s="345"/>
      <c r="L42" s="345"/>
      <c r="M42" s="345"/>
      <c r="N42" s="345"/>
      <c r="O42" s="345"/>
      <c r="P42" s="53"/>
      <c r="R42" s="343"/>
      <c r="S42" s="134"/>
      <c r="T42" s="134"/>
      <c r="U42" s="134"/>
      <c r="V42" s="134"/>
      <c r="W42" s="134"/>
    </row>
    <row r="43" spans="1:23">
      <c r="A43" s="472"/>
      <c r="B43" s="1" t="s">
        <v>39</v>
      </c>
      <c r="C43" s="41">
        <v>10.65</v>
      </c>
      <c r="D43" s="472"/>
      <c r="E43" s="54"/>
      <c r="F43" s="474"/>
      <c r="G43" s="17">
        <f>C43-E43</f>
        <v>10.65</v>
      </c>
      <c r="H43" s="472"/>
      <c r="I43" s="345"/>
      <c r="J43" s="345"/>
      <c r="K43" s="345"/>
      <c r="L43" s="345"/>
      <c r="M43" s="345"/>
      <c r="N43" s="345"/>
      <c r="O43" s="345"/>
      <c r="P43" s="51">
        <f>G43</f>
        <v>10.65</v>
      </c>
      <c r="R43" s="343">
        <f t="shared" ref="R43" si="6">SUM(S43:W43)</f>
        <v>10.65</v>
      </c>
      <c r="S43" s="135"/>
      <c r="T43" s="135">
        <f>P43</f>
        <v>10.65</v>
      </c>
      <c r="U43" s="135"/>
      <c r="V43" s="135"/>
      <c r="W43" s="135"/>
    </row>
    <row r="44" spans="1:23">
      <c r="A44" s="472"/>
      <c r="B44" s="1" t="s">
        <v>40</v>
      </c>
      <c r="C44" s="41"/>
      <c r="D44" s="472"/>
      <c r="E44" s="54"/>
      <c r="F44" s="474"/>
      <c r="G44" s="17">
        <f t="shared" si="3"/>
        <v>0</v>
      </c>
      <c r="H44" s="472"/>
      <c r="I44" s="345"/>
      <c r="J44" s="345"/>
      <c r="K44" s="345"/>
      <c r="L44" s="345"/>
      <c r="M44" s="345"/>
      <c r="N44" s="345"/>
      <c r="O44" s="345"/>
      <c r="P44" s="53"/>
      <c r="R44" s="343"/>
      <c r="S44" s="135"/>
      <c r="T44" s="135"/>
      <c r="U44" s="135"/>
      <c r="V44" s="135"/>
      <c r="W44" s="135"/>
    </row>
    <row r="45" spans="1:23">
      <c r="A45" s="472"/>
      <c r="B45" s="1" t="s">
        <v>41</v>
      </c>
      <c r="C45" s="41">
        <v>1.33</v>
      </c>
      <c r="D45" s="472"/>
      <c r="E45" s="54"/>
      <c r="F45" s="474"/>
      <c r="G45" s="17">
        <f t="shared" si="3"/>
        <v>1.33</v>
      </c>
      <c r="H45" s="472"/>
      <c r="I45" s="345"/>
      <c r="J45" s="345"/>
      <c r="K45" s="345"/>
      <c r="L45" s="345"/>
      <c r="M45" s="345"/>
      <c r="N45" s="345"/>
      <c r="O45" s="345"/>
      <c r="P45" s="53"/>
      <c r="R45" s="343"/>
      <c r="S45" s="136"/>
      <c r="T45" s="135"/>
      <c r="U45" s="136"/>
      <c r="V45" s="160"/>
      <c r="W45" s="135"/>
    </row>
    <row r="46" spans="1:23">
      <c r="A46" s="473"/>
      <c r="B46" s="1" t="s">
        <v>42</v>
      </c>
      <c r="C46" s="41">
        <f>11.44-C18</f>
        <v>6.7799999999999994</v>
      </c>
      <c r="D46" s="473"/>
      <c r="E46" s="55"/>
      <c r="F46" s="475"/>
      <c r="G46" s="17">
        <f>C46</f>
        <v>6.7799999999999994</v>
      </c>
      <c r="H46" s="473"/>
      <c r="I46" s="345"/>
      <c r="J46" s="345"/>
      <c r="K46" s="345"/>
      <c r="L46" s="345"/>
      <c r="M46" s="345"/>
      <c r="N46" s="345"/>
      <c r="O46" s="345"/>
      <c r="P46" s="56">
        <f>G46-E51</f>
        <v>5.4561247728263753</v>
      </c>
      <c r="R46" s="343">
        <f>SUM(S46:W46)</f>
        <v>5.58</v>
      </c>
      <c r="S46" s="162"/>
      <c r="T46" s="163">
        <f>0.94+0.36+1.49+2.49</f>
        <v>5.28</v>
      </c>
      <c r="U46" s="164">
        <f>0.27+0.03</f>
        <v>0.30000000000000004</v>
      </c>
      <c r="V46" s="165"/>
      <c r="W46" s="166"/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463"/>
      <c r="Q47" s="1"/>
      <c r="R47" s="458"/>
    </row>
    <row r="48" spans="1:23">
      <c r="B48" s="1"/>
      <c r="C48" s="60"/>
      <c r="D48" s="61"/>
      <c r="E48" s="62"/>
      <c r="F48" s="61"/>
      <c r="G48" s="67"/>
      <c r="H48" s="67"/>
      <c r="I48" s="63"/>
      <c r="J48" s="63"/>
      <c r="K48" s="63"/>
      <c r="L48" s="64"/>
      <c r="M48" s="61"/>
      <c r="N48" s="61"/>
      <c r="O48" s="61"/>
      <c r="P48" s="1"/>
      <c r="Q48" s="1"/>
      <c r="R48" s="458"/>
    </row>
    <row r="49" spans="1:17">
      <c r="C49" s="66"/>
      <c r="D49" s="61"/>
      <c r="F49" s="61"/>
      <c r="G49" s="61"/>
      <c r="H49" s="61"/>
      <c r="I49" s="60"/>
      <c r="J49" s="60"/>
      <c r="K49" s="60"/>
      <c r="L49" s="66"/>
      <c r="M49" s="61"/>
      <c r="N49" s="60"/>
      <c r="O49" s="60"/>
      <c r="Q49" s="1"/>
    </row>
    <row r="50" spans="1:17">
      <c r="A50" s="22" t="s">
        <v>43</v>
      </c>
      <c r="C50" s="66"/>
      <c r="D50" s="61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  <c r="Q50" s="1"/>
    </row>
    <row r="51" spans="1:17">
      <c r="B51" s="1" t="s">
        <v>44</v>
      </c>
      <c r="C51" s="68"/>
      <c r="D51" s="61"/>
      <c r="E51" s="17">
        <f>[3]Table10s2!$W$21*1000/4000000</f>
        <v>1.323875227173624</v>
      </c>
      <c r="F51" s="447"/>
      <c r="G51" s="61"/>
      <c r="H51" s="61"/>
      <c r="I51" s="34"/>
      <c r="J51" s="67"/>
      <c r="K51" s="67"/>
      <c r="L51" s="64"/>
      <c r="M51" s="61"/>
      <c r="N51" s="67"/>
      <c r="O51" s="67"/>
      <c r="P51" s="1"/>
      <c r="Q51" s="1"/>
    </row>
    <row r="52" spans="1:17">
      <c r="B52" s="1" t="s">
        <v>41</v>
      </c>
      <c r="C52" s="69"/>
      <c r="D52" s="17"/>
      <c r="E52" s="70">
        <f>G45</f>
        <v>1.33</v>
      </c>
      <c r="F52" s="447"/>
      <c r="G52" s="61"/>
      <c r="H52" s="61"/>
      <c r="I52" s="34"/>
      <c r="J52" s="67"/>
      <c r="K52" s="67"/>
      <c r="L52" s="64"/>
      <c r="M52" s="61"/>
      <c r="N52" s="67"/>
      <c r="O52" s="67"/>
      <c r="P52" s="1"/>
      <c r="Q52" s="1"/>
    </row>
    <row r="53" spans="1:17">
      <c r="B53" s="1" t="s">
        <v>39</v>
      </c>
      <c r="C53" s="69"/>
      <c r="D53" s="17"/>
      <c r="E53" s="71">
        <f>(([3]Table10s2!$W$20+[3]Table10s2!$W$22)*1000-E52*2.394*1000000)/3200000</f>
        <v>1.5453320782328828</v>
      </c>
      <c r="F53" s="447"/>
      <c r="G53" s="61"/>
      <c r="H53" s="61"/>
      <c r="I53" s="34"/>
      <c r="J53" s="67"/>
      <c r="K53" s="67"/>
      <c r="L53" s="64"/>
      <c r="M53" s="64"/>
      <c r="N53" s="67"/>
      <c r="O53" s="67"/>
      <c r="P53" s="1"/>
      <c r="Q53" s="1"/>
    </row>
    <row r="54" spans="1:17">
      <c r="B54" s="1"/>
      <c r="C54" s="69"/>
      <c r="D54" s="17"/>
      <c r="E54" s="447"/>
      <c r="F54" s="447"/>
      <c r="G54" s="61"/>
      <c r="H54" s="61"/>
      <c r="I54" s="34"/>
      <c r="J54" s="67"/>
      <c r="K54" s="67"/>
      <c r="L54" s="64"/>
      <c r="M54" s="61"/>
      <c r="N54" s="67"/>
      <c r="O54" s="67"/>
      <c r="P54" s="1"/>
      <c r="Q54" s="1"/>
    </row>
    <row r="55" spans="1:17">
      <c r="B55" s="1"/>
      <c r="C55" s="69"/>
      <c r="D55" s="17"/>
      <c r="E55" s="447"/>
      <c r="F55" s="447"/>
      <c r="G55" s="61"/>
      <c r="H55" s="61"/>
      <c r="I55" s="34"/>
      <c r="J55" s="67"/>
      <c r="K55" s="67"/>
      <c r="L55" s="66"/>
      <c r="M55" s="61"/>
      <c r="N55" s="60"/>
      <c r="O55" s="60"/>
      <c r="P55" s="1"/>
      <c r="Q55" s="1"/>
    </row>
    <row r="56" spans="1:17">
      <c r="B56" s="1"/>
      <c r="C56" s="69"/>
      <c r="D56" s="17"/>
      <c r="E56" s="447"/>
      <c r="F56" s="447"/>
      <c r="G56" s="61"/>
      <c r="H56" s="61"/>
      <c r="I56" s="34"/>
      <c r="J56" s="67"/>
      <c r="K56" s="67"/>
      <c r="L56" s="64"/>
      <c r="M56" s="61"/>
      <c r="N56" s="67"/>
      <c r="O56" s="67"/>
      <c r="P56" s="1"/>
      <c r="Q56" s="1"/>
    </row>
    <row r="57" spans="1:17">
      <c r="B57" s="1"/>
      <c r="C57" s="69"/>
      <c r="D57" s="17"/>
      <c r="E57" s="447"/>
      <c r="F57" s="447"/>
      <c r="G57" s="61"/>
      <c r="H57" s="61"/>
      <c r="I57" s="67"/>
      <c r="J57" s="67"/>
      <c r="K57" s="67"/>
      <c r="L57" s="64"/>
      <c r="M57" s="61"/>
      <c r="N57" s="67"/>
      <c r="O57" s="67"/>
      <c r="P57" s="1"/>
      <c r="Q57" s="1"/>
    </row>
    <row r="58" spans="1:17">
      <c r="B58" s="1"/>
      <c r="C58" s="448"/>
      <c r="D58" s="448"/>
      <c r="E58" s="448"/>
      <c r="F58" s="448"/>
      <c r="G58" s="61"/>
      <c r="H58" s="61"/>
      <c r="I58" s="67"/>
      <c r="J58" s="67"/>
      <c r="K58" s="67"/>
      <c r="L58" s="64"/>
      <c r="M58" s="64"/>
      <c r="N58" s="64"/>
      <c r="O58" s="64"/>
      <c r="P58" s="1"/>
      <c r="Q58" s="1"/>
    </row>
    <row r="59" spans="1:17">
      <c r="B59" s="1"/>
      <c r="C59" s="61"/>
      <c r="D59" s="61"/>
      <c r="E59" s="61"/>
      <c r="F59" s="61"/>
      <c r="G59" s="61"/>
      <c r="H59" s="61"/>
      <c r="I59" s="67"/>
      <c r="J59" s="67"/>
      <c r="K59" s="67"/>
      <c r="L59" s="64"/>
      <c r="M59" s="449"/>
      <c r="N59" s="450"/>
      <c r="O59" s="450"/>
      <c r="P59" s="1"/>
      <c r="Q59" s="1"/>
    </row>
    <row r="60" spans="1:17">
      <c r="B60" s="1"/>
      <c r="C60" s="61"/>
      <c r="D60" s="61"/>
      <c r="E60" s="61"/>
      <c r="F60" s="61"/>
      <c r="G60" s="61"/>
      <c r="H60" s="61"/>
      <c r="I60" s="67"/>
      <c r="J60" s="67"/>
      <c r="K60" s="67"/>
      <c r="L60" s="64"/>
      <c r="M60" s="449"/>
      <c r="N60" s="450"/>
      <c r="O60" s="450"/>
      <c r="P60" s="1"/>
      <c r="Q60" s="1"/>
    </row>
    <row r="64" spans="1:17">
      <c r="C64" s="451"/>
    </row>
    <row r="65" spans="3:3">
      <c r="C65" s="452"/>
    </row>
    <row r="66" spans="3:3">
      <c r="C66" s="451"/>
    </row>
    <row r="67" spans="3:3">
      <c r="C67" s="451"/>
    </row>
    <row r="68" spans="3:3">
      <c r="C68" s="453"/>
    </row>
  </sheetData>
  <mergeCells count="37">
    <mergeCell ref="P7:P19"/>
    <mergeCell ref="C1:H1"/>
    <mergeCell ref="J1:P1"/>
    <mergeCell ref="C2:D2"/>
    <mergeCell ref="E2:H2"/>
    <mergeCell ref="J2:J4"/>
    <mergeCell ref="K2:P3"/>
    <mergeCell ref="E3:F3"/>
    <mergeCell ref="G3:H3"/>
    <mergeCell ref="A7:A19"/>
    <mergeCell ref="D7:D19"/>
    <mergeCell ref="F7:F19"/>
    <mergeCell ref="H7:H19"/>
    <mergeCell ref="J7:J19"/>
    <mergeCell ref="L21:L24"/>
    <mergeCell ref="M21:M24"/>
    <mergeCell ref="A26:A32"/>
    <mergeCell ref="D26:D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N26:N32"/>
    <mergeCell ref="O26:O32"/>
    <mergeCell ref="P26:P32"/>
    <mergeCell ref="A36:A46"/>
    <mergeCell ref="D36:D46"/>
    <mergeCell ref="F36:F46"/>
    <mergeCell ref="H36:H46"/>
  </mergeCells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/>
  <dimension ref="B3:M14"/>
  <sheetViews>
    <sheetView workbookViewId="0"/>
  </sheetViews>
  <sheetFormatPr baseColWidth="10" defaultRowHeight="15"/>
  <cols>
    <col min="1" max="16384" width="11.42578125" style="300"/>
  </cols>
  <sheetData>
    <row r="3" spans="2:13">
      <c r="C3" s="300" t="s">
        <v>248</v>
      </c>
    </row>
    <row r="4" spans="2:13">
      <c r="C4" s="300" t="s">
        <v>249</v>
      </c>
      <c r="D4" s="300" t="s">
        <v>250</v>
      </c>
      <c r="E4" s="300" t="s">
        <v>42</v>
      </c>
      <c r="F4" s="300" t="s">
        <v>251</v>
      </c>
      <c r="G4" s="300" t="s">
        <v>224</v>
      </c>
      <c r="H4" s="300" t="s">
        <v>252</v>
      </c>
      <c r="I4" s="300" t="s">
        <v>32</v>
      </c>
      <c r="J4" s="300" t="s">
        <v>253</v>
      </c>
      <c r="K4" s="300" t="s">
        <v>254</v>
      </c>
      <c r="L4" s="300" t="s">
        <v>255</v>
      </c>
    </row>
    <row r="5" spans="2:13">
      <c r="B5" s="300">
        <v>2050</v>
      </c>
      <c r="C5" s="300">
        <v>0.05</v>
      </c>
      <c r="D5" s="300">
        <v>0.45</v>
      </c>
      <c r="E5" s="300">
        <v>0</v>
      </c>
      <c r="F5" s="300">
        <v>0</v>
      </c>
      <c r="G5" s="300">
        <v>0</v>
      </c>
      <c r="H5" s="300">
        <v>0</v>
      </c>
      <c r="I5" s="300">
        <v>0</v>
      </c>
      <c r="J5" s="300">
        <v>0.25</v>
      </c>
      <c r="K5" s="300">
        <v>0.25</v>
      </c>
      <c r="L5" s="300">
        <v>45.563789831074999</v>
      </c>
    </row>
    <row r="12" spans="2:13">
      <c r="B12" s="300" t="s">
        <v>256</v>
      </c>
    </row>
    <row r="13" spans="2:13">
      <c r="C13" s="300" t="s">
        <v>20</v>
      </c>
      <c r="D13" s="300" t="s">
        <v>42</v>
      </c>
      <c r="E13" s="300" t="s">
        <v>224</v>
      </c>
      <c r="F13" s="300" t="s">
        <v>252</v>
      </c>
      <c r="G13" s="300" t="s">
        <v>32</v>
      </c>
      <c r="H13" s="300" t="s">
        <v>257</v>
      </c>
      <c r="I13" s="300" t="s">
        <v>258</v>
      </c>
      <c r="J13" s="300" t="s">
        <v>135</v>
      </c>
      <c r="K13" s="300" t="s">
        <v>259</v>
      </c>
      <c r="L13" s="300" t="s">
        <v>255</v>
      </c>
      <c r="M13" s="300" t="s">
        <v>31</v>
      </c>
    </row>
    <row r="14" spans="2:13">
      <c r="B14" s="300">
        <v>2050</v>
      </c>
      <c r="C14" s="300">
        <v>0.151745068285281</v>
      </c>
      <c r="D14" s="300">
        <v>0</v>
      </c>
      <c r="E14" s="300">
        <v>0</v>
      </c>
      <c r="F14" s="300">
        <v>0</v>
      </c>
      <c r="G14" s="300">
        <v>2.2761760242792101E-2</v>
      </c>
      <c r="H14" s="300">
        <v>9.7116843702579697E-2</v>
      </c>
      <c r="I14" s="300">
        <v>0.34901365705614601</v>
      </c>
      <c r="J14" s="300">
        <v>0.37936267071320201</v>
      </c>
      <c r="K14" s="300">
        <v>0</v>
      </c>
      <c r="L14" s="300">
        <v>659</v>
      </c>
      <c r="M14" s="300">
        <v>1.8209408194233698E-2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W53"/>
  <sheetViews>
    <sheetView topLeftCell="H1" workbookViewId="0">
      <selection activeCell="U38" sqref="U38"/>
    </sheetView>
  </sheetViews>
  <sheetFormatPr baseColWidth="10" defaultRowHeight="15"/>
  <cols>
    <col min="1" max="1" width="11.42578125" style="300"/>
    <col min="2" max="2" width="25.85546875" style="300" customWidth="1"/>
    <col min="3" max="17" width="11.42578125" style="300"/>
    <col min="18" max="23" width="11.42578125" style="22"/>
    <col min="24" max="16384" width="11.42578125" style="300"/>
  </cols>
  <sheetData>
    <row r="1" spans="1:23">
      <c r="A1" s="1"/>
      <c r="B1" s="1"/>
      <c r="C1" s="490" t="s">
        <v>0</v>
      </c>
      <c r="D1" s="490"/>
      <c r="E1" s="490"/>
      <c r="F1" s="490"/>
      <c r="G1" s="490"/>
      <c r="H1" s="490"/>
      <c r="I1" s="2"/>
      <c r="J1" s="491" t="s">
        <v>1</v>
      </c>
      <c r="K1" s="491"/>
      <c r="L1" s="491"/>
      <c r="M1" s="491"/>
      <c r="N1" s="491"/>
      <c r="O1" s="491"/>
      <c r="P1" s="491"/>
    </row>
    <row r="2" spans="1:23">
      <c r="A2" s="1"/>
      <c r="B2" s="1"/>
      <c r="C2" s="493" t="s">
        <v>2</v>
      </c>
      <c r="D2" s="503"/>
      <c r="E2" s="495" t="s">
        <v>3</v>
      </c>
      <c r="F2" s="494"/>
      <c r="G2" s="494"/>
      <c r="H2" s="494"/>
      <c r="I2" s="3"/>
      <c r="J2" s="504" t="s">
        <v>4</v>
      </c>
      <c r="K2" s="498" t="s">
        <v>5</v>
      </c>
      <c r="L2" s="496"/>
      <c r="M2" s="496"/>
      <c r="N2" s="496"/>
      <c r="O2" s="496"/>
      <c r="P2" s="504"/>
      <c r="R2" s="109"/>
      <c r="S2" s="110"/>
      <c r="T2" s="109"/>
      <c r="U2" s="111" t="s">
        <v>90</v>
      </c>
      <c r="V2" s="110"/>
      <c r="W2" s="112"/>
    </row>
    <row r="3" spans="1:23" ht="51">
      <c r="A3" s="4"/>
      <c r="B3" s="4"/>
      <c r="C3" s="5"/>
      <c r="D3" s="5"/>
      <c r="E3" s="6" t="s">
        <v>6</v>
      </c>
      <c r="F3" s="7"/>
      <c r="G3" s="501" t="s">
        <v>7</v>
      </c>
      <c r="H3" s="505"/>
      <c r="I3" s="8" t="s">
        <v>75</v>
      </c>
      <c r="J3" s="504"/>
      <c r="K3" s="498"/>
      <c r="L3" s="496"/>
      <c r="M3" s="496"/>
      <c r="N3" s="496"/>
      <c r="O3" s="496"/>
      <c r="P3" s="504"/>
      <c r="R3" s="113"/>
      <c r="S3" s="114"/>
      <c r="T3" s="114"/>
      <c r="U3" s="114"/>
      <c r="V3" s="114"/>
      <c r="W3" s="112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504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5" t="s">
        <v>10</v>
      </c>
      <c r="S4" s="115" t="s">
        <v>91</v>
      </c>
      <c r="T4" s="115" t="s">
        <v>92</v>
      </c>
      <c r="U4" s="116" t="s">
        <v>93</v>
      </c>
      <c r="V4" s="117" t="s">
        <v>94</v>
      </c>
      <c r="W4" s="117" t="s">
        <v>95</v>
      </c>
    </row>
    <row r="5" spans="1:23">
      <c r="A5" s="17"/>
      <c r="B5" s="18"/>
      <c r="C5" s="19">
        <f>SUM(C7:C46)-N23-O23</f>
        <v>249.12043549946651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133.27094326078958</v>
      </c>
      <c r="R5" s="118">
        <f>SUM(R13,R23,R26:R32,R42)</f>
        <v>133.16085395618143</v>
      </c>
      <c r="S5" s="118">
        <f>SUM(S7:S46)</f>
        <v>4.4860507954281585</v>
      </c>
      <c r="T5" s="118">
        <f>SUM(T7:T46)</f>
        <v>26.18639574733271</v>
      </c>
      <c r="U5" s="118">
        <f>SUM(U7:U46)</f>
        <v>34.165290372129363</v>
      </c>
      <c r="V5" s="297">
        <f>SUM(V7:V46)</f>
        <v>24.506016758025947</v>
      </c>
      <c r="W5" s="118">
        <f>SUM(W7:W46)</f>
        <v>43.817100283265233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9"/>
      <c r="S6" s="1"/>
      <c r="T6" s="1"/>
      <c r="U6" s="1"/>
      <c r="V6" s="1"/>
      <c r="W6" s="1"/>
    </row>
    <row r="7" spans="1:23">
      <c r="A7" s="486" t="s">
        <v>15</v>
      </c>
      <c r="B7" s="1" t="s">
        <v>17</v>
      </c>
      <c r="C7" s="17">
        <f>'Mix énergie_2015'!I14*'Mix énergie_2015'!L14/11.63</f>
        <v>1.8142734307824566</v>
      </c>
      <c r="D7" s="506">
        <f>SUM(C7:C19)</f>
        <v>129.56373899657171</v>
      </c>
      <c r="E7" s="30"/>
      <c r="F7" s="488">
        <f>SUM(E7:E19)</f>
        <v>80.11378790097973</v>
      </c>
      <c r="G7" s="17">
        <f>C7-E7</f>
        <v>1.8142734307824566</v>
      </c>
      <c r="H7" s="488">
        <f>SUM(G7:G19)</f>
        <v>49.449951095591956</v>
      </c>
      <c r="I7" s="22"/>
      <c r="J7" s="506">
        <f>H7-I13</f>
        <v>46.667663907285849</v>
      </c>
      <c r="K7" s="31"/>
      <c r="L7" s="31"/>
      <c r="M7" s="31"/>
      <c r="N7" s="32"/>
      <c r="O7" s="33"/>
      <c r="P7" s="502">
        <f>J7-K12-L12-M12</f>
        <v>38.11564327100038</v>
      </c>
      <c r="R7" s="120"/>
      <c r="S7" s="121"/>
      <c r="T7" s="122"/>
      <c r="U7" s="123"/>
      <c r="V7" s="122"/>
      <c r="W7" s="123"/>
    </row>
    <row r="8" spans="1:23">
      <c r="A8" s="486"/>
      <c r="B8" s="1" t="s">
        <v>18</v>
      </c>
      <c r="C8" s="17">
        <f>'Mix énergie_2015'!H14*'Mix énergie_2015'!L14/11.63</f>
        <v>5.0472914875322665</v>
      </c>
      <c r="D8" s="506"/>
      <c r="E8" s="30">
        <f>C8-G8</f>
        <v>0.50472914875322683</v>
      </c>
      <c r="F8" s="488"/>
      <c r="G8" s="17">
        <f>0.9*C8</f>
        <v>4.5425623387790397</v>
      </c>
      <c r="H8" s="488"/>
      <c r="I8" s="22"/>
      <c r="J8" s="506"/>
      <c r="K8" s="31"/>
      <c r="L8" s="31"/>
      <c r="M8" s="31"/>
      <c r="N8" s="32"/>
      <c r="O8" s="33"/>
      <c r="P8" s="502"/>
      <c r="R8" s="124"/>
      <c r="S8" s="125"/>
      <c r="T8" s="126"/>
      <c r="U8" s="127"/>
      <c r="V8" s="126"/>
      <c r="W8" s="127"/>
    </row>
    <row r="9" spans="1:23">
      <c r="A9" s="486"/>
      <c r="B9" s="1" t="s">
        <v>19</v>
      </c>
      <c r="C9" s="17">
        <f>'Mix énergie_2015'!J14*'Mix énergie_2015'!L14/11.63</f>
        <v>0.63628546861565138</v>
      </c>
      <c r="D9" s="506"/>
      <c r="E9" s="30"/>
      <c r="F9" s="488"/>
      <c r="G9" s="17">
        <f t="shared" ref="G9:G45" si="0">C9-E9</f>
        <v>0.63628546861565138</v>
      </c>
      <c r="H9" s="488"/>
      <c r="I9" s="22"/>
      <c r="J9" s="506"/>
      <c r="K9" s="31"/>
      <c r="L9" s="31"/>
      <c r="M9" s="31"/>
      <c r="N9" s="32"/>
      <c r="O9" s="33"/>
      <c r="P9" s="502"/>
      <c r="R9" s="124"/>
      <c r="S9" s="125"/>
      <c r="T9" s="126"/>
      <c r="U9" s="127"/>
      <c r="V9" s="126"/>
      <c r="W9" s="127"/>
    </row>
    <row r="10" spans="1:23">
      <c r="A10" s="486"/>
      <c r="B10" s="1" t="s">
        <v>20</v>
      </c>
      <c r="C10" s="17">
        <f>'Bilan enerdata v2206_2015'!F12</f>
        <v>113.97587222178795</v>
      </c>
      <c r="D10" s="506"/>
      <c r="E10" s="325">
        <f>C10*(1-0.345)</f>
        <v>74.654196305271114</v>
      </c>
      <c r="F10" s="488"/>
      <c r="G10" s="30">
        <f>C10-E10</f>
        <v>39.321675916516838</v>
      </c>
      <c r="H10" s="488"/>
      <c r="I10" s="22"/>
      <c r="J10" s="506"/>
      <c r="K10" s="31"/>
      <c r="L10" s="31"/>
      <c r="M10" s="31"/>
      <c r="N10" s="32"/>
      <c r="O10" s="33"/>
      <c r="P10" s="502"/>
      <c r="R10" s="124"/>
      <c r="S10" s="125"/>
      <c r="T10" s="126"/>
      <c r="U10" s="127"/>
      <c r="V10" s="126"/>
      <c r="W10" s="127"/>
    </row>
    <row r="11" spans="1:23">
      <c r="A11" s="486"/>
      <c r="B11" s="1" t="s">
        <v>21</v>
      </c>
      <c r="C11" s="17">
        <f>'Mix énergie_2015'!F14*'Mix énergie_2015'!L14/11.63</f>
        <v>0</v>
      </c>
      <c r="D11" s="506"/>
      <c r="E11" s="30"/>
      <c r="F11" s="488"/>
      <c r="G11" s="17">
        <f>C11-E11</f>
        <v>0</v>
      </c>
      <c r="H11" s="488"/>
      <c r="I11" s="22"/>
      <c r="J11" s="506"/>
      <c r="K11" s="31"/>
      <c r="L11" s="31"/>
      <c r="M11" s="31"/>
      <c r="N11" s="32"/>
      <c r="O11" s="33"/>
      <c r="P11" s="502"/>
      <c r="R11" s="124"/>
      <c r="S11" s="125"/>
      <c r="T11" s="126"/>
      <c r="U11" s="127"/>
      <c r="V11" s="126"/>
      <c r="W11" s="127"/>
    </row>
    <row r="12" spans="1:23">
      <c r="A12" s="486"/>
      <c r="B12" s="1" t="s">
        <v>22</v>
      </c>
      <c r="C12" s="318">
        <f>'Bilan enerdata v2206_2015'!H22+'Bilan enerdata v2206_2015'!H23*0.36</f>
        <v>2.1609897773956241</v>
      </c>
      <c r="D12" s="506"/>
      <c r="E12" s="30">
        <f>C12-G12</f>
        <v>1.7287918219164993</v>
      </c>
      <c r="F12" s="488"/>
      <c r="G12" s="17">
        <f>0.2*C12</f>
        <v>0.43219795547912487</v>
      </c>
      <c r="H12" s="488"/>
      <c r="I12" s="22"/>
      <c r="J12" s="506"/>
      <c r="K12" s="31">
        <f>'Bilan enerdata v2206_2015'!I30</f>
        <v>3.0435941530524504</v>
      </c>
      <c r="L12" s="31">
        <f>-('Bilan enerdata v2206_2015'!I14+'Bilan enerdata v2206_2015'!I13)</f>
        <v>5.508426483233019</v>
      </c>
      <c r="M12" s="31">
        <v>0</v>
      </c>
      <c r="N12" s="32">
        <v>0</v>
      </c>
      <c r="O12" s="33">
        <v>0</v>
      </c>
      <c r="P12" s="502"/>
      <c r="R12" s="124"/>
      <c r="S12" s="125"/>
      <c r="T12" s="126"/>
      <c r="U12" s="127"/>
      <c r="V12" s="126"/>
      <c r="W12" s="127"/>
    </row>
    <row r="13" spans="1:23">
      <c r="A13" s="486"/>
      <c r="B13" s="1" t="s">
        <v>23</v>
      </c>
      <c r="C13" s="316">
        <v>0</v>
      </c>
      <c r="D13" s="506"/>
      <c r="E13" s="30">
        <f>C13-G13</f>
        <v>0</v>
      </c>
      <c r="F13" s="488"/>
      <c r="G13" s="17">
        <f>0.2*C13</f>
        <v>0</v>
      </c>
      <c r="H13" s="488"/>
      <c r="I13" s="326">
        <f>'Bilan enerdata v2206_2015'!I29</f>
        <v>2.7822871883061051</v>
      </c>
      <c r="J13" s="506"/>
      <c r="K13" s="31"/>
      <c r="L13" s="31"/>
      <c r="M13" s="31"/>
      <c r="N13" s="32"/>
      <c r="O13" s="33"/>
      <c r="P13" s="502"/>
      <c r="R13" s="124">
        <f>SUM(S7:W19)</f>
        <v>38.082514273546224</v>
      </c>
      <c r="S13" s="128">
        <f>'Bilan enerdata v2206_2015'!I37</f>
        <v>0.74651762682717115</v>
      </c>
      <c r="T13" s="126">
        <f>'Bilan enerdata v2206_2015'!I33</f>
        <v>10.069552160227975</v>
      </c>
      <c r="U13" s="126">
        <f>'Bilan enerdata v2206_2015'!I35</f>
        <v>13.620367058142639</v>
      </c>
      <c r="V13" s="126">
        <f>'Bilan enerdata v2206_2015'!I36</f>
        <v>12.701365476499774</v>
      </c>
      <c r="W13" s="126">
        <f>'Bilan enerdata v2206_2015'!I34</f>
        <v>0.9447119518486673</v>
      </c>
    </row>
    <row r="14" spans="1:23">
      <c r="A14" s="486"/>
      <c r="B14" s="1" t="s">
        <v>24</v>
      </c>
      <c r="C14" s="17">
        <v>0</v>
      </c>
      <c r="D14" s="506"/>
      <c r="E14" s="30"/>
      <c r="F14" s="488"/>
      <c r="G14" s="17"/>
      <c r="H14" s="488"/>
      <c r="I14" s="22"/>
      <c r="J14" s="506"/>
      <c r="K14" s="31"/>
      <c r="L14" s="31"/>
      <c r="M14" s="31"/>
      <c r="N14" s="32"/>
      <c r="O14" s="33"/>
      <c r="P14" s="502"/>
      <c r="R14" s="124"/>
      <c r="S14" s="125"/>
      <c r="T14" s="126"/>
      <c r="U14" s="127"/>
      <c r="V14" s="126"/>
      <c r="W14" s="127"/>
    </row>
    <row r="15" spans="1:23">
      <c r="A15" s="486"/>
      <c r="B15" s="1" t="s">
        <v>25</v>
      </c>
      <c r="C15" s="17">
        <v>0</v>
      </c>
      <c r="D15" s="506"/>
      <c r="E15" s="30"/>
      <c r="F15" s="488"/>
      <c r="G15" s="17"/>
      <c r="H15" s="488"/>
      <c r="I15" s="22"/>
      <c r="J15" s="506"/>
      <c r="K15" s="31"/>
      <c r="L15" s="31"/>
      <c r="M15" s="31"/>
      <c r="N15" s="32"/>
      <c r="O15" s="33"/>
      <c r="P15" s="502"/>
      <c r="R15" s="124"/>
      <c r="S15" s="125"/>
      <c r="T15" s="126"/>
      <c r="U15" s="127"/>
      <c r="V15" s="126"/>
      <c r="W15" s="127"/>
    </row>
    <row r="16" spans="1:23">
      <c r="A16" s="486"/>
      <c r="B16" s="1" t="s">
        <v>26</v>
      </c>
      <c r="C16" s="17">
        <v>0</v>
      </c>
      <c r="D16" s="506"/>
      <c r="E16" s="30"/>
      <c r="F16" s="488"/>
      <c r="G16" s="17"/>
      <c r="H16" s="488"/>
      <c r="I16" s="22"/>
      <c r="J16" s="506"/>
      <c r="K16" s="31"/>
      <c r="L16" s="31"/>
      <c r="M16" s="31"/>
      <c r="N16" s="32"/>
      <c r="O16" s="33"/>
      <c r="P16" s="502"/>
      <c r="R16" s="124"/>
      <c r="S16" s="125"/>
      <c r="T16" s="126"/>
      <c r="U16" s="127"/>
      <c r="V16" s="126"/>
      <c r="W16" s="127"/>
    </row>
    <row r="17" spans="1:23">
      <c r="A17" s="486"/>
      <c r="B17" s="1" t="s">
        <v>27</v>
      </c>
      <c r="C17" s="17">
        <f>'Bilan enerdata v2206_2015'!D22+0.36*'Bilan enerdata v2206_2015'!D23</f>
        <v>0.5484</v>
      </c>
      <c r="D17" s="506"/>
      <c r="E17" s="30">
        <f t="shared" ref="E17:E18" si="1">C17-G17</f>
        <v>0.34000799999999998</v>
      </c>
      <c r="F17" s="488"/>
      <c r="G17" s="17">
        <f>0.38*C17</f>
        <v>0.20839199999999999</v>
      </c>
      <c r="H17" s="488"/>
      <c r="I17" s="22"/>
      <c r="J17" s="506"/>
      <c r="K17" s="31"/>
      <c r="L17" s="31"/>
      <c r="M17" s="31"/>
      <c r="N17" s="32"/>
      <c r="O17" s="33"/>
      <c r="P17" s="502"/>
      <c r="R17" s="124"/>
      <c r="S17" s="125"/>
      <c r="T17" s="126"/>
      <c r="U17" s="127"/>
      <c r="V17" s="126"/>
      <c r="W17" s="127"/>
    </row>
    <row r="18" spans="1:23">
      <c r="A18" s="486"/>
      <c r="B18" s="1" t="s">
        <v>28</v>
      </c>
      <c r="C18" s="17">
        <f>'Bilan enerdata v2206_2015'!B22+0.36*'Bilan enerdata v2206_2015'!B23</f>
        <v>2.8810384246527176</v>
      </c>
      <c r="D18" s="506"/>
      <c r="E18" s="30">
        <f t="shared" si="1"/>
        <v>1.7862438232846849</v>
      </c>
      <c r="F18" s="488"/>
      <c r="G18" s="17">
        <f>0.38*C18</f>
        <v>1.0947946013680327</v>
      </c>
      <c r="H18" s="488"/>
      <c r="I18" s="22"/>
      <c r="J18" s="506"/>
      <c r="K18" s="31"/>
      <c r="L18" s="31"/>
      <c r="M18" s="31"/>
      <c r="N18" s="32"/>
      <c r="O18" s="33"/>
      <c r="P18" s="502"/>
      <c r="R18" s="124"/>
      <c r="S18" s="125"/>
      <c r="T18" s="126"/>
      <c r="U18" s="127"/>
      <c r="V18" s="126"/>
      <c r="W18" s="127"/>
    </row>
    <row r="19" spans="1:23">
      <c r="A19" s="486"/>
      <c r="B19" s="317" t="s">
        <v>262</v>
      </c>
      <c r="C19" s="17">
        <f>'Bilan enerdata v2206_2015'!E22+0.36*'Bilan enerdata v2206_2015'!E23</f>
        <v>2.4995881858050257</v>
      </c>
      <c r="D19" s="506"/>
      <c r="E19" s="30">
        <f>C19-G19</f>
        <v>1.0998188017542112</v>
      </c>
      <c r="F19" s="488"/>
      <c r="G19" s="17">
        <f>0.56*C19</f>
        <v>1.3997693840508145</v>
      </c>
      <c r="H19" s="488"/>
      <c r="I19" s="22"/>
      <c r="J19" s="506"/>
      <c r="K19" s="31"/>
      <c r="L19" s="31"/>
      <c r="M19" s="31"/>
      <c r="N19" s="32"/>
      <c r="O19" s="33"/>
      <c r="P19" s="502"/>
      <c r="R19" s="129"/>
      <c r="S19" s="130"/>
      <c r="T19" s="131"/>
      <c r="U19" s="132"/>
      <c r="V19" s="131"/>
      <c r="W19" s="132"/>
    </row>
    <row r="20" spans="1:23">
      <c r="A20" s="1"/>
      <c r="B20" s="1"/>
      <c r="C20" s="35"/>
      <c r="D20" s="36"/>
      <c r="E20" s="17"/>
      <c r="F20" s="36"/>
      <c r="G20" s="36"/>
      <c r="H20" s="36">
        <f>-'Bilan enerdata v2206_2015'!I22</f>
        <v>47.166809974204646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481" t="s">
        <v>13</v>
      </c>
      <c r="B21" s="1" t="s">
        <v>21</v>
      </c>
      <c r="C21" s="17">
        <f>-'Bilan enerdata v2206_2015'!E25</f>
        <v>6.3456577815993124E-3</v>
      </c>
      <c r="D21" s="509">
        <f>SUM(C21:C24)</f>
        <v>35.549428802971775</v>
      </c>
      <c r="E21" s="22"/>
      <c r="F21" s="482"/>
      <c r="G21" s="17">
        <f t="shared" si="0"/>
        <v>6.3456577815993124E-3</v>
      </c>
      <c r="H21" s="484">
        <f>SUM(G21:G24)</f>
        <v>34.307352074167369</v>
      </c>
      <c r="I21" s="17"/>
      <c r="J21" s="482">
        <f>H21-I22</f>
        <v>34.307352074167369</v>
      </c>
      <c r="K21" s="507">
        <f>'Bilan enerdata v2206_2015'!E30</f>
        <v>0.46122098022355978</v>
      </c>
      <c r="L21" s="507"/>
      <c r="M21" s="507">
        <v>0</v>
      </c>
      <c r="N21" s="38"/>
      <c r="O21" s="38"/>
      <c r="P21" s="38"/>
      <c r="R21" s="138"/>
      <c r="S21" s="139"/>
      <c r="T21" s="140"/>
      <c r="U21" s="140"/>
      <c r="V21" s="140"/>
      <c r="W21" s="139"/>
    </row>
    <row r="22" spans="1:23">
      <c r="A22" s="481"/>
      <c r="B22" s="1" t="s">
        <v>30</v>
      </c>
      <c r="C22" s="17"/>
      <c r="D22" s="509"/>
      <c r="E22" s="22"/>
      <c r="F22" s="482"/>
      <c r="G22" s="17">
        <f t="shared" si="0"/>
        <v>0</v>
      </c>
      <c r="H22" s="484"/>
      <c r="I22" s="329"/>
      <c r="J22" s="482"/>
      <c r="K22" s="507"/>
      <c r="L22" s="507"/>
      <c r="M22" s="507"/>
      <c r="N22" s="39"/>
      <c r="O22" s="40"/>
      <c r="P22" s="40"/>
      <c r="R22" s="141"/>
      <c r="S22" s="40"/>
      <c r="T22" s="39"/>
      <c r="U22" s="39"/>
      <c r="V22" s="39"/>
      <c r="W22" s="40"/>
    </row>
    <row r="23" spans="1:23">
      <c r="A23" s="481"/>
      <c r="B23" s="1" t="s">
        <v>31</v>
      </c>
      <c r="C23" s="17"/>
      <c r="D23" s="509"/>
      <c r="E23" s="41"/>
      <c r="F23" s="482"/>
      <c r="G23" s="17">
        <f t="shared" si="0"/>
        <v>0</v>
      </c>
      <c r="H23" s="484"/>
      <c r="I23" s="17"/>
      <c r="J23" s="482"/>
      <c r="K23" s="507"/>
      <c r="L23" s="507"/>
      <c r="M23" s="507"/>
      <c r="N23" s="39">
        <f>C32</f>
        <v>1.9937550478726827</v>
      </c>
      <c r="O23" s="40">
        <f>C19</f>
        <v>2.4995881858050257</v>
      </c>
      <c r="P23" s="40">
        <f>J21-N23-O23-K21</f>
        <v>29.352787860266105</v>
      </c>
      <c r="R23" s="141">
        <f>SUM(S23:W23)</f>
        <v>29.39176019401825</v>
      </c>
      <c r="S23" s="142">
        <f>'Bilan enerdata v2206_2015'!E37</f>
        <v>0.20038837309893262</v>
      </c>
      <c r="T23" s="142">
        <f>'Bilan enerdata v2206_2015'!E33</f>
        <v>10.203836493244836</v>
      </c>
      <c r="U23" s="142">
        <f>'Bilan enerdata v2206_2015'!E35</f>
        <v>11.782543572350074</v>
      </c>
      <c r="V23" s="142">
        <f>'Bilan enerdata v2206_2015'!E36</f>
        <v>7.1387763292293327</v>
      </c>
      <c r="W23" s="142">
        <f>'Bilan enerdata v2206_2015'!E34</f>
        <v>6.6215426095074262E-2</v>
      </c>
    </row>
    <row r="24" spans="1:23">
      <c r="A24" s="481"/>
      <c r="B24" s="1" t="s">
        <v>32</v>
      </c>
      <c r="C24" s="17">
        <f>'Bilan enerdata v2206_2015'!E18+'Bilan enerdata v2206_2015'!E17-C45+1.1</f>
        <v>35.543083145190174</v>
      </c>
      <c r="D24" s="509"/>
      <c r="E24" s="41">
        <f>'Bilan enerdata v2206_2015'!E29+'Bilan enerdata v2206_2015'!E26</f>
        <v>1.2420767288044043</v>
      </c>
      <c r="F24" s="482"/>
      <c r="G24" s="17">
        <f t="shared" si="0"/>
        <v>34.301006416385768</v>
      </c>
      <c r="H24" s="484"/>
      <c r="I24" s="42"/>
      <c r="J24" s="482"/>
      <c r="K24" s="507"/>
      <c r="L24" s="507"/>
      <c r="M24" s="507"/>
      <c r="N24" s="39"/>
      <c r="O24" s="40"/>
      <c r="P24" s="40"/>
      <c r="R24" s="143"/>
      <c r="S24" s="144"/>
      <c r="T24" s="145"/>
      <c r="U24" s="145"/>
      <c r="V24" s="145"/>
      <c r="W24" s="144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3"/>
      <c r="U25" s="133"/>
      <c r="V25" s="133"/>
      <c r="W25" s="64"/>
    </row>
    <row r="26" spans="1:23">
      <c r="A26" s="477" t="s">
        <v>14</v>
      </c>
      <c r="B26" s="1" t="s">
        <v>21</v>
      </c>
      <c r="C26" s="43">
        <f>-'Mix énergie_2015'!F5*'Mix énergie_2015'!L5/11.63</f>
        <v>0</v>
      </c>
      <c r="D26" s="510">
        <f>SUM(C26:C34)</f>
        <v>4.852609931522248</v>
      </c>
      <c r="E26" s="43">
        <f t="shared" ref="E26:E31" si="2">C26*0.2</f>
        <v>0</v>
      </c>
      <c r="F26" s="479"/>
      <c r="G26" s="41">
        <f t="shared" ref="G26:G31" si="3">C26-E26</f>
        <v>0</v>
      </c>
      <c r="H26" s="479">
        <f>SUM(G26:G34)</f>
        <v>3.8257593733700697</v>
      </c>
      <c r="I26" s="1"/>
      <c r="J26" s="508">
        <f>H26</f>
        <v>3.8257593733700697</v>
      </c>
      <c r="K26" s="470">
        <f>'Bilan enerdata v2206_2015'!J30</f>
        <v>0.80882690971625104</v>
      </c>
      <c r="L26" s="327">
        <v>0</v>
      </c>
      <c r="M26" s="470"/>
      <c r="N26" s="149"/>
      <c r="O26" s="150"/>
      <c r="P26" s="511">
        <f>J26-K26-M26</f>
        <v>3.0169324636538186</v>
      </c>
      <c r="R26" s="146"/>
      <c r="S26" s="146"/>
      <c r="T26" s="146"/>
      <c r="U26" s="146"/>
      <c r="V26" s="147"/>
      <c r="W26" s="146"/>
    </row>
    <row r="27" spans="1:23">
      <c r="A27" s="477"/>
      <c r="B27" s="1" t="s">
        <v>22</v>
      </c>
      <c r="C27" s="319">
        <v>0.6</v>
      </c>
      <c r="D27" s="510"/>
      <c r="E27" s="43">
        <f t="shared" si="2"/>
        <v>0.12</v>
      </c>
      <c r="F27" s="479"/>
      <c r="G27" s="41">
        <f t="shared" si="3"/>
        <v>0.48</v>
      </c>
      <c r="H27" s="479"/>
      <c r="I27" s="329"/>
      <c r="J27" s="508"/>
      <c r="K27" s="470"/>
      <c r="L27" s="327"/>
      <c r="M27" s="470"/>
      <c r="N27" s="149"/>
      <c r="O27" s="150"/>
      <c r="P27" s="511"/>
      <c r="R27" s="148"/>
      <c r="S27" s="149"/>
      <c r="T27" s="149"/>
      <c r="U27" s="149"/>
      <c r="V27" s="150"/>
      <c r="W27" s="149"/>
    </row>
    <row r="28" spans="1:23">
      <c r="A28" s="477"/>
      <c r="B28" s="1" t="s">
        <v>26</v>
      </c>
      <c r="C28" s="43">
        <f>'Mix énergie_2015'!J5*'Mix énergie_2015'!L5/11.63</f>
        <v>4.8409286328460872E-2</v>
      </c>
      <c r="D28" s="510"/>
      <c r="E28" s="43">
        <f t="shared" si="2"/>
        <v>9.6818572656921752E-3</v>
      </c>
      <c r="F28" s="479"/>
      <c r="G28" s="41">
        <f>C28-E28</f>
        <v>3.8727429062768701E-2</v>
      </c>
      <c r="H28" s="479"/>
      <c r="I28" s="1"/>
      <c r="J28" s="508"/>
      <c r="K28" s="470"/>
      <c r="L28" s="327"/>
      <c r="M28" s="470"/>
      <c r="N28" s="149"/>
      <c r="O28" s="150"/>
      <c r="P28" s="511"/>
      <c r="R28" s="148"/>
      <c r="S28" s="149"/>
      <c r="T28" s="149"/>
      <c r="U28" s="149"/>
      <c r="V28" s="150"/>
      <c r="W28" s="149"/>
    </row>
    <row r="29" spans="1:23">
      <c r="A29" s="477"/>
      <c r="B29" s="1" t="s">
        <v>23</v>
      </c>
      <c r="C29" s="319">
        <f>'Bilan enerdata v2206_2015'!H24+'Bilan enerdata v2206_2015'!H23*0.64-C30-C27</f>
        <v>1.4497200726091526</v>
      </c>
      <c r="D29" s="510"/>
      <c r="E29" s="43">
        <f t="shared" si="2"/>
        <v>0.28994401452183055</v>
      </c>
      <c r="F29" s="479"/>
      <c r="G29" s="41">
        <f t="shared" si="3"/>
        <v>1.159776058087322</v>
      </c>
      <c r="H29" s="479"/>
      <c r="I29" s="1"/>
      <c r="J29" s="508"/>
      <c r="K29" s="470"/>
      <c r="L29" s="327"/>
      <c r="M29" s="470"/>
      <c r="N29" s="149"/>
      <c r="O29" s="150"/>
      <c r="P29" s="511"/>
      <c r="R29" s="151">
        <f>SUM(S29:W29)</f>
        <v>3.0705862327457898</v>
      </c>
      <c r="S29" s="152">
        <f>'Bilan enerdata v2206_2015'!J37</f>
        <v>6.4536710533781346E-3</v>
      </c>
      <c r="T29" s="152">
        <f>'Bilan enerdata v2206_2015'!J33</f>
        <v>1.1415347236508666</v>
      </c>
      <c r="U29" s="152">
        <f>'Bilan enerdata v2206_2015'!J35</f>
        <v>1.211844363001864</v>
      </c>
      <c r="V29" s="152">
        <f>'Bilan enerdata v2206_2015'!J36</f>
        <v>0.710753475039681</v>
      </c>
      <c r="W29" s="152">
        <f>'Bilan enerdata v2206_2015'!J34</f>
        <v>0</v>
      </c>
    </row>
    <row r="30" spans="1:23">
      <c r="A30" s="477"/>
      <c r="B30" s="1" t="s">
        <v>24</v>
      </c>
      <c r="C30" s="320">
        <f>'Mix énergie_2015'!K5*'Mix énergie_2015'!L5/11.63</f>
        <v>0.24204643164230435</v>
      </c>
      <c r="D30" s="510"/>
      <c r="E30" s="43">
        <f t="shared" si="2"/>
        <v>4.8409286328460872E-2</v>
      </c>
      <c r="F30" s="479"/>
      <c r="G30" s="41">
        <f t="shared" si="3"/>
        <v>0.19363714531384349</v>
      </c>
      <c r="H30" s="479"/>
      <c r="I30" s="1"/>
      <c r="J30" s="508"/>
      <c r="K30" s="470"/>
      <c r="L30" s="327"/>
      <c r="M30" s="470"/>
      <c r="N30" s="149"/>
      <c r="O30" s="150"/>
      <c r="P30" s="511"/>
      <c r="R30" s="148"/>
      <c r="S30" s="149"/>
      <c r="T30" s="149"/>
      <c r="U30" s="149"/>
      <c r="V30" s="150"/>
      <c r="W30" s="149"/>
    </row>
    <row r="31" spans="1:23">
      <c r="A31" s="477"/>
      <c r="B31" s="1" t="s">
        <v>33</v>
      </c>
      <c r="C31" s="320">
        <v>0</v>
      </c>
      <c r="D31" s="510"/>
      <c r="E31" s="43">
        <f t="shared" si="2"/>
        <v>0</v>
      </c>
      <c r="F31" s="479"/>
      <c r="G31" s="41">
        <f t="shared" si="3"/>
        <v>0</v>
      </c>
      <c r="H31" s="479"/>
      <c r="I31" s="1"/>
      <c r="J31" s="508"/>
      <c r="K31" s="470"/>
      <c r="L31" s="327"/>
      <c r="M31" s="470"/>
      <c r="N31" s="149"/>
      <c r="O31" s="150"/>
      <c r="P31" s="511"/>
      <c r="R31" s="148"/>
      <c r="S31" s="149"/>
      <c r="T31" s="149"/>
      <c r="U31" s="149"/>
      <c r="V31" s="150"/>
      <c r="W31" s="149"/>
    </row>
    <row r="32" spans="1:23">
      <c r="A32" s="477"/>
      <c r="B32" s="1" t="s">
        <v>29</v>
      </c>
      <c r="C32" s="43">
        <f>'Bilan enerdata v2206_2015'!E23*0.64+'Bilan enerdata v2206_2015'!E24</f>
        <v>1.9937550478726827</v>
      </c>
      <c r="D32" s="510"/>
      <c r="E32" s="43">
        <f>C32*0.2+'Bilan enerdata v2206_2015'!J29</f>
        <v>0.45507958142226451</v>
      </c>
      <c r="F32" s="479"/>
      <c r="G32" s="41">
        <f>C32-E32</f>
        <v>1.5386754664504181</v>
      </c>
      <c r="H32" s="479"/>
      <c r="I32" s="1"/>
      <c r="J32" s="508"/>
      <c r="K32" s="470"/>
      <c r="L32" s="327"/>
      <c r="M32" s="470"/>
      <c r="N32" s="149"/>
      <c r="O32" s="150"/>
      <c r="P32" s="511"/>
      <c r="R32" s="153"/>
      <c r="S32" s="154"/>
      <c r="T32" s="154"/>
      <c r="U32" s="154"/>
      <c r="V32" s="155"/>
      <c r="W32" s="154"/>
    </row>
    <row r="33" spans="1:23">
      <c r="A33" s="321"/>
      <c r="B33" s="317" t="s">
        <v>27</v>
      </c>
      <c r="C33" s="34">
        <f>'Bilan enerdata v2206_2015'!D24+'Bilan enerdata v2206_2015'!D23*0.64</f>
        <v>0.22359999999999999</v>
      </c>
      <c r="D33" s="510"/>
      <c r="E33" s="43">
        <f t="shared" ref="E33:E34" si="4">C33*0.2</f>
        <v>4.4720000000000003E-2</v>
      </c>
      <c r="F33" s="323"/>
      <c r="G33" s="41">
        <f t="shared" ref="G33:G34" si="5">C33-E33</f>
        <v>0.17887999999999998</v>
      </c>
      <c r="H33" s="323"/>
      <c r="I33" s="1"/>
      <c r="J33" s="322"/>
      <c r="K33" s="323"/>
      <c r="L33" s="323"/>
      <c r="M33" s="323"/>
      <c r="N33" s="323"/>
      <c r="O33" s="323"/>
      <c r="P33" s="323"/>
      <c r="R33" s="322"/>
      <c r="S33" s="323"/>
      <c r="T33" s="323"/>
      <c r="U33" s="323"/>
      <c r="V33" s="323"/>
      <c r="W33" s="323"/>
    </row>
    <row r="34" spans="1:23">
      <c r="A34" s="321"/>
      <c r="B34" s="317" t="s">
        <v>28</v>
      </c>
      <c r="C34" s="34">
        <f>'Bilan enerdata v2206_2015'!B24+0.64*'Bilan enerdata v2206_2015'!B23</f>
        <v>0.29507909306964747</v>
      </c>
      <c r="D34" s="510"/>
      <c r="E34" s="43">
        <f t="shared" si="4"/>
        <v>5.9015818613929495E-2</v>
      </c>
      <c r="F34" s="323"/>
      <c r="G34" s="41">
        <f t="shared" si="5"/>
        <v>0.23606327445571798</v>
      </c>
      <c r="H34" s="323"/>
      <c r="I34" s="1"/>
      <c r="J34" s="322"/>
      <c r="K34" s="323"/>
      <c r="L34" s="323"/>
      <c r="M34" s="323"/>
      <c r="N34" s="323"/>
      <c r="O34" s="323"/>
      <c r="P34" s="323"/>
      <c r="R34" s="322"/>
      <c r="S34" s="323"/>
      <c r="T34" s="323"/>
      <c r="U34" s="323"/>
      <c r="V34" s="323"/>
      <c r="W34" s="323"/>
    </row>
    <row r="35" spans="1:23">
      <c r="A35" s="4"/>
      <c r="B35" s="1"/>
      <c r="C35" s="22"/>
      <c r="D35" s="37"/>
      <c r="E35" s="1"/>
      <c r="F35" s="1"/>
      <c r="G35" s="44"/>
      <c r="H35" s="45">
        <f>-'Bilan enerdata v2206_2015'!J23-'Bilan enerdata v2206_2015'!J24</f>
        <v>3.8249712484952707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472" t="s">
        <v>34</v>
      </c>
      <c r="B36" s="1" t="s">
        <v>21</v>
      </c>
      <c r="C36" s="22">
        <v>0</v>
      </c>
      <c r="D36" s="472">
        <f>SUM(C36:C46)</f>
        <v>83.648001002078502</v>
      </c>
      <c r="E36" s="47"/>
      <c r="F36" s="474"/>
      <c r="G36" s="17">
        <f t="shared" ref="G36:G40" si="6">C36</f>
        <v>0</v>
      </c>
      <c r="H36" s="472">
        <f>SUM(G36:G46)</f>
        <v>81.799983518558861</v>
      </c>
      <c r="I36" s="48"/>
      <c r="J36" s="52"/>
      <c r="K36" s="48"/>
      <c r="L36" s="48"/>
      <c r="M36" s="48"/>
      <c r="N36" s="48"/>
      <c r="O36" s="48"/>
      <c r="P36" s="49"/>
      <c r="R36" s="156"/>
      <c r="S36" s="137">
        <v>0</v>
      </c>
      <c r="T36" s="135">
        <v>0</v>
      </c>
      <c r="U36" s="137">
        <v>0</v>
      </c>
      <c r="V36" s="157">
        <v>0</v>
      </c>
      <c r="W36" s="156">
        <v>0</v>
      </c>
    </row>
    <row r="37" spans="1:23">
      <c r="A37" s="472"/>
      <c r="B37" s="1" t="s">
        <v>23</v>
      </c>
      <c r="C37" s="324">
        <f>'Bilan enerdata v2206_2015'!H18-8-C38-C39-C12-C14-C27-C30-C41+E37-'Bilan enerdata v2206_2015'!H25-C44-C40-C31-C29-C13+0.6</f>
        <v>2.1388997950353379</v>
      </c>
      <c r="D37" s="472"/>
      <c r="E37" s="330">
        <f>'Bilan enerdata v2206_2015'!H29</f>
        <v>5.1017483519633131E-2</v>
      </c>
      <c r="F37" s="474"/>
      <c r="G37" s="17">
        <f>C37-E37</f>
        <v>2.0878823115157048</v>
      </c>
      <c r="H37" s="472"/>
      <c r="J37" s="52"/>
      <c r="K37" s="48"/>
      <c r="L37" s="48"/>
      <c r="M37" s="50"/>
      <c r="N37" s="48"/>
      <c r="O37" s="48"/>
      <c r="P37" s="51">
        <f>SUM(G36:G41)</f>
        <v>6.1931555806843352</v>
      </c>
      <c r="R37" s="158"/>
      <c r="S37" s="295">
        <f>'Bilan enerdata v2206_2015'!H37</f>
        <v>0.15947740517817902</v>
      </c>
      <c r="T37" s="295">
        <f>'Bilan enerdata v2206_2015'!H33</f>
        <v>1.3655536447883825</v>
      </c>
      <c r="U37" s="295">
        <f>'Bilan enerdata v2206_2015'!H35-'Bilan 2015'!U38-'Bilan 2015'!U39-8</f>
        <v>0.38556550106511445</v>
      </c>
      <c r="V37" s="298">
        <f>'Bilan enerdata v2206_2015'!H36-'Bilan 2015'!V39-V38</f>
        <v>0.1923748628609907</v>
      </c>
      <c r="W37" s="136">
        <f>E37</f>
        <v>5.1017483519633131E-2</v>
      </c>
    </row>
    <row r="38" spans="1:23">
      <c r="A38" s="472"/>
      <c r="B38" s="1" t="s">
        <v>33</v>
      </c>
      <c r="C38" s="41">
        <f>SUM(S38:W38)</f>
        <v>0.18351100535446557</v>
      </c>
      <c r="D38" s="472"/>
      <c r="E38" s="47"/>
      <c r="F38" s="474"/>
      <c r="G38" s="17">
        <f t="shared" si="6"/>
        <v>0.18351100535446557</v>
      </c>
      <c r="H38" s="472"/>
      <c r="I38" s="48"/>
      <c r="J38" s="52"/>
      <c r="K38" s="48"/>
      <c r="L38" s="48"/>
      <c r="M38" s="52"/>
      <c r="N38" s="48"/>
      <c r="O38" s="48"/>
      <c r="P38" s="53"/>
      <c r="R38" s="158"/>
      <c r="S38" s="137">
        <v>0</v>
      </c>
      <c r="T38" s="135">
        <v>0</v>
      </c>
      <c r="U38" s="136">
        <f>'Modèle résidentiel hch_2015'!B8/11.63</f>
        <v>9.0670749742659484E-2</v>
      </c>
      <c r="V38" s="159">
        <f>'Format demande MedPro_2015'!C226</f>
        <v>9.2840255611806088E-2</v>
      </c>
      <c r="W38" s="156">
        <v>0</v>
      </c>
    </row>
    <row r="39" spans="1:23">
      <c r="A39" s="472"/>
      <c r="B39" s="1" t="s">
        <v>35</v>
      </c>
      <c r="C39" s="41">
        <f>SUM(S39:W39)-C40</f>
        <v>7.3606842012311602E-2</v>
      </c>
      <c r="D39" s="472"/>
      <c r="E39" s="47"/>
      <c r="F39" s="474"/>
      <c r="G39" s="17">
        <f t="shared" si="6"/>
        <v>7.3606842012311602E-2</v>
      </c>
      <c r="H39" s="472"/>
      <c r="I39" s="48"/>
      <c r="J39" s="52"/>
      <c r="K39" s="48"/>
      <c r="L39" s="48"/>
      <c r="M39" s="52"/>
      <c r="N39" s="48"/>
      <c r="O39" s="48"/>
      <c r="P39" s="53"/>
      <c r="R39" s="158"/>
      <c r="S39" s="299">
        <f>'Format demande MedPro_2015'!C360</f>
        <v>0</v>
      </c>
      <c r="T39" s="135">
        <v>0</v>
      </c>
      <c r="U39" s="296">
        <f>'Modèle résidentiel ch_2015'!J9/11.63+'Modèle résidentiel hch_2015'!B9/11.63*2/3</f>
        <v>0.36223952016398392</v>
      </c>
      <c r="V39" s="315">
        <f>('Modèle tertiaire_2015'!J3+'Modèle tertiaire_2015'!J4)/11.63+'Corrections Bilan enerdata'!H21*('Modèle tertiaire_2015'!J3+'Modèle tertiaire_2015'!J4)/('Modèle tertiaire_2015'!J3+'Modèle tertiaire_2015'!J4+'Modèle tertiaire_2015'!F3+'Modèle tertiaire_2015'!F4+'Modèle tertiaire_2015'!I3+'Modèle tertiaire_2015'!I4)</f>
        <v>0.61136732184832765</v>
      </c>
      <c r="W39" s="156">
        <v>0</v>
      </c>
    </row>
    <row r="40" spans="1:23">
      <c r="A40" s="472"/>
      <c r="B40" s="1" t="s">
        <v>36</v>
      </c>
      <c r="C40" s="41">
        <v>0.9</v>
      </c>
      <c r="D40" s="472"/>
      <c r="E40" s="47"/>
      <c r="F40" s="474"/>
      <c r="G40" s="17">
        <f t="shared" si="6"/>
        <v>0.9</v>
      </c>
      <c r="H40" s="472"/>
      <c r="I40" s="48"/>
      <c r="J40" s="52"/>
      <c r="K40" s="48"/>
      <c r="L40" s="48"/>
      <c r="M40" s="48"/>
      <c r="N40" s="48"/>
      <c r="O40" s="48"/>
      <c r="P40" s="53"/>
      <c r="R40" s="158"/>
      <c r="S40" s="299"/>
      <c r="T40" s="135"/>
      <c r="U40" s="299"/>
      <c r="V40" s="315"/>
      <c r="W40" s="134">
        <v>0</v>
      </c>
    </row>
    <row r="41" spans="1:23">
      <c r="A41" s="472"/>
      <c r="B41" s="1" t="s">
        <v>37</v>
      </c>
      <c r="C41" s="41">
        <f>SUM(S41:W41)</f>
        <v>2.9481554218018533</v>
      </c>
      <c r="D41" s="472"/>
      <c r="E41" s="54"/>
      <c r="F41" s="474"/>
      <c r="G41" s="17">
        <f>C41</f>
        <v>2.9481554218018533</v>
      </c>
      <c r="H41" s="472"/>
      <c r="I41" s="48"/>
      <c r="J41" s="52"/>
      <c r="K41" s="48"/>
      <c r="L41" s="48"/>
      <c r="M41" s="48"/>
      <c r="N41" s="48"/>
      <c r="O41" s="48"/>
      <c r="P41" s="51">
        <f>G42</f>
        <v>39.807000000000002</v>
      </c>
      <c r="R41" s="156"/>
      <c r="S41" s="135">
        <v>0</v>
      </c>
      <c r="T41" s="135">
        <v>0</v>
      </c>
      <c r="U41" s="135">
        <v>0</v>
      </c>
      <c r="V41" s="135">
        <v>0</v>
      </c>
      <c r="W41" s="136">
        <f>'Bilan enerdata v2206_2015'!H34</f>
        <v>2.9481554218018533</v>
      </c>
    </row>
    <row r="42" spans="1:23">
      <c r="A42" s="472"/>
      <c r="B42" s="1" t="s">
        <v>38</v>
      </c>
      <c r="C42" s="41">
        <f>W42+E42</f>
        <v>41.603999999999999</v>
      </c>
      <c r="D42" s="472"/>
      <c r="E42" s="331">
        <f>'Bilan enerdata v2206_2015'!D29</f>
        <v>1.7969999999999999</v>
      </c>
      <c r="F42" s="474"/>
      <c r="G42" s="17">
        <f>C42-E42</f>
        <v>39.807000000000002</v>
      </c>
      <c r="H42" s="472"/>
      <c r="J42" s="52"/>
      <c r="K42" s="48"/>
      <c r="L42" s="48"/>
      <c r="M42" s="48"/>
      <c r="N42" s="48"/>
      <c r="O42" s="48"/>
      <c r="P42" s="53"/>
      <c r="R42" s="158">
        <f>SUM(S36:W46)</f>
        <v>62.615993255871146</v>
      </c>
      <c r="S42" s="134">
        <v>0</v>
      </c>
      <c r="T42" s="134">
        <v>0</v>
      </c>
      <c r="U42" s="134">
        <v>0</v>
      </c>
      <c r="V42" s="134">
        <v>0</v>
      </c>
      <c r="W42" s="135">
        <f>'Bilan enerdata v2206_2015'!D34</f>
        <v>39.807000000000002</v>
      </c>
    </row>
    <row r="43" spans="1:23">
      <c r="A43" s="472"/>
      <c r="B43" s="1" t="s">
        <v>39</v>
      </c>
      <c r="C43" s="41">
        <f>SUM(S43:W43)+E53</f>
        <v>29.079370516172602</v>
      </c>
      <c r="D43" s="472"/>
      <c r="E43" s="54"/>
      <c r="F43" s="474"/>
      <c r="G43" s="17">
        <f>C43</f>
        <v>29.079370516172602</v>
      </c>
      <c r="H43" s="472"/>
      <c r="I43" s="48"/>
      <c r="J43" s="52"/>
      <c r="K43" s="48"/>
      <c r="L43" s="48"/>
      <c r="M43" s="48"/>
      <c r="N43" s="48"/>
      <c r="O43" s="48"/>
      <c r="P43" s="51">
        <f>G43-E53</f>
        <v>15.418370516172603</v>
      </c>
      <c r="R43" s="158"/>
      <c r="S43" s="135">
        <f>'Bilan enerdata v2206_2015'!D37</f>
        <v>3.371</v>
      </c>
      <c r="T43" s="135">
        <f>'Bilan enerdata v2206_2015'!D33</f>
        <v>2.3566094604778205</v>
      </c>
      <c r="U43" s="135">
        <f>'Bilan enerdata v2206_2015'!D35</f>
        <v>6.675295411054611</v>
      </c>
      <c r="V43" s="135">
        <f>'Bilan enerdata v2206_2015'!D36</f>
        <v>3.0154656446401722</v>
      </c>
      <c r="W43" s="135">
        <v>0</v>
      </c>
    </row>
    <row r="44" spans="1:23">
      <c r="A44" s="472"/>
      <c r="B44" s="1" t="s">
        <v>40</v>
      </c>
      <c r="C44" s="324">
        <v>0</v>
      </c>
      <c r="D44" s="472"/>
      <c r="E44" s="54"/>
      <c r="F44" s="474"/>
      <c r="G44" s="17">
        <f t="shared" si="0"/>
        <v>0</v>
      </c>
      <c r="H44" s="472"/>
      <c r="I44" s="48"/>
      <c r="J44" s="52"/>
      <c r="K44" s="48"/>
      <c r="L44" s="48"/>
      <c r="M44" s="48"/>
      <c r="N44" s="48"/>
      <c r="O44" s="48"/>
      <c r="P44" s="53"/>
      <c r="R44" s="158"/>
      <c r="S44" s="294"/>
      <c r="T44" s="294"/>
      <c r="U44" s="294"/>
      <c r="V44" s="294"/>
      <c r="W44" s="135">
        <v>0</v>
      </c>
    </row>
    <row r="45" spans="1:23">
      <c r="A45" s="472"/>
      <c r="B45" s="1" t="s">
        <v>41</v>
      </c>
      <c r="C45" s="41">
        <f>E52</f>
        <v>1.101586241324729</v>
      </c>
      <c r="D45" s="472"/>
      <c r="E45" s="54"/>
      <c r="F45" s="474"/>
      <c r="G45" s="17">
        <f t="shared" si="0"/>
        <v>1.101586241324729</v>
      </c>
      <c r="H45" s="472"/>
      <c r="I45" s="48"/>
      <c r="J45" s="52"/>
      <c r="K45" s="48"/>
      <c r="L45" s="48"/>
      <c r="M45" s="48"/>
      <c r="N45" s="48"/>
      <c r="O45" s="48"/>
      <c r="P45" s="53"/>
      <c r="R45" s="158"/>
      <c r="S45" s="136">
        <v>0</v>
      </c>
      <c r="T45" s="135">
        <v>0</v>
      </c>
      <c r="U45" s="136">
        <v>0</v>
      </c>
      <c r="V45" s="160">
        <v>0</v>
      </c>
      <c r="W45" s="135">
        <v>0</v>
      </c>
    </row>
    <row r="46" spans="1:23">
      <c r="A46" s="472"/>
      <c r="B46" s="1" t="s">
        <v>42</v>
      </c>
      <c r="C46" s="41">
        <f>'Bilan enerdata v2206_2015'!B18-C34-C18</f>
        <v>5.6188711803771971</v>
      </c>
      <c r="D46" s="472"/>
      <c r="E46" s="331"/>
      <c r="F46" s="474"/>
      <c r="G46" s="17">
        <f>C46-E46</f>
        <v>5.6188711803771971</v>
      </c>
      <c r="H46" s="472"/>
      <c r="J46" s="52"/>
      <c r="K46" s="48"/>
      <c r="L46" s="48"/>
      <c r="M46" s="48"/>
      <c r="N46" s="48"/>
      <c r="O46" s="48"/>
      <c r="P46" s="56">
        <f>G46-E51</f>
        <v>1.3670535690123442</v>
      </c>
      <c r="R46" s="161"/>
      <c r="S46" s="162">
        <f>'Bilan enerdata v2206_2015'!B37</f>
        <v>2.2137192704974398E-3</v>
      </c>
      <c r="T46" s="163">
        <f>'Bilan enerdata v2206_2015'!B33</f>
        <v>1.0493092649428299</v>
      </c>
      <c r="U46" s="164">
        <f>'Bilan enerdata v2206_2015'!B35</f>
        <v>3.6764196608413298E-2</v>
      </c>
      <c r="V46" s="165">
        <f>'Bilan enerdata v2206_2015'!B36</f>
        <v>4.3073392295861899E-2</v>
      </c>
      <c r="W46" s="166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 v2206_2015'!B28+'Bilan enerdata v2206_2015'!B39+'Bilan enerdata v2206_2015'!B29</f>
        <v>4.2518176113648529</v>
      </c>
      <c r="F51" s="328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7">
        <f>SUM(E51:E53)</f>
        <v>19.014403852689583</v>
      </c>
      <c r="R51" s="41">
        <f>SUM(E51:E53)</f>
        <v>19.014403852689583</v>
      </c>
    </row>
    <row r="52" spans="1:18">
      <c r="A52" s="22"/>
      <c r="B52" s="1" t="s">
        <v>41</v>
      </c>
      <c r="C52" s="69"/>
      <c r="D52" s="17"/>
      <c r="E52" s="70">
        <f>'Bilan enerdata v2206_2015'!E39</f>
        <v>1.101586241324729</v>
      </c>
      <c r="F52" s="328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 v2206_2015'!D28+'Bilan enerdata v2206_2015'!D39</f>
        <v>13.661</v>
      </c>
      <c r="F53" s="328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P26:P32"/>
    <mergeCell ref="A36:A46"/>
    <mergeCell ref="D36:D46"/>
    <mergeCell ref="F36:F46"/>
    <mergeCell ref="H36:H46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D26:D3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W53"/>
  <sheetViews>
    <sheetView topLeftCell="A2" workbookViewId="0">
      <pane xSplit="2" ySplit="3" topLeftCell="M5" activePane="bottomRight" state="frozen"/>
      <selection activeCell="A2" sqref="A2"/>
      <selection pane="topRight" activeCell="C2" sqref="C2"/>
      <selection pane="bottomLeft" activeCell="A5" sqref="A5"/>
      <selection pane="bottomRight" activeCell="B24" sqref="B24"/>
    </sheetView>
  </sheetViews>
  <sheetFormatPr baseColWidth="10" defaultRowHeight="15"/>
  <cols>
    <col min="1" max="1" width="11.42578125" style="300"/>
    <col min="2" max="2" width="25.85546875" style="300" customWidth="1"/>
    <col min="3" max="16" width="11.42578125" style="300"/>
    <col min="17" max="17" width="31.140625" style="300" customWidth="1"/>
    <col min="18" max="23" width="11.42578125" style="22"/>
    <col min="24" max="16384" width="11.42578125" style="300"/>
  </cols>
  <sheetData>
    <row r="1" spans="1:23">
      <c r="A1" s="1"/>
      <c r="B1" s="1"/>
      <c r="C1" s="490" t="s">
        <v>0</v>
      </c>
      <c r="D1" s="491"/>
      <c r="E1" s="491"/>
      <c r="F1" s="491"/>
      <c r="G1" s="491"/>
      <c r="H1" s="492"/>
      <c r="I1" s="2"/>
      <c r="J1" s="491" t="s">
        <v>1</v>
      </c>
      <c r="K1" s="491"/>
      <c r="L1" s="491"/>
      <c r="M1" s="491"/>
      <c r="N1" s="491"/>
      <c r="O1" s="491"/>
      <c r="P1" s="491"/>
    </row>
    <row r="2" spans="1:23">
      <c r="A2" s="1"/>
      <c r="B2" s="1"/>
      <c r="C2" s="493" t="s">
        <v>2</v>
      </c>
      <c r="D2" s="494"/>
      <c r="E2" s="495" t="s">
        <v>3</v>
      </c>
      <c r="F2" s="494"/>
      <c r="G2" s="494"/>
      <c r="H2" s="494"/>
      <c r="I2" s="3"/>
      <c r="J2" s="496" t="s">
        <v>4</v>
      </c>
      <c r="K2" s="498" t="s">
        <v>5</v>
      </c>
      <c r="L2" s="499"/>
      <c r="M2" s="499"/>
      <c r="N2" s="499"/>
      <c r="O2" s="499"/>
      <c r="P2" s="483"/>
      <c r="R2" s="109"/>
      <c r="S2" s="110"/>
      <c r="T2" s="109"/>
      <c r="U2" s="111" t="s">
        <v>90</v>
      </c>
      <c r="V2" s="110"/>
      <c r="W2" s="112"/>
    </row>
    <row r="3" spans="1:23" ht="51">
      <c r="A3" s="4"/>
      <c r="B3" s="4"/>
      <c r="C3" s="5"/>
      <c r="D3" s="5"/>
      <c r="E3" s="6" t="s">
        <v>6</v>
      </c>
      <c r="F3" s="7"/>
      <c r="G3" s="501" t="s">
        <v>7</v>
      </c>
      <c r="H3" s="494"/>
      <c r="I3" s="8" t="s">
        <v>75</v>
      </c>
      <c r="J3" s="497"/>
      <c r="K3" s="500"/>
      <c r="L3" s="499"/>
      <c r="M3" s="499"/>
      <c r="N3" s="499"/>
      <c r="O3" s="499"/>
      <c r="P3" s="483"/>
      <c r="R3" s="113"/>
      <c r="S3" s="114"/>
      <c r="T3" s="114"/>
      <c r="U3" s="114"/>
      <c r="V3" s="114"/>
      <c r="W3" s="112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497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5" t="s">
        <v>10</v>
      </c>
      <c r="S4" s="115" t="s">
        <v>91</v>
      </c>
      <c r="T4" s="115" t="s">
        <v>92</v>
      </c>
      <c r="U4" s="116" t="s">
        <v>93</v>
      </c>
      <c r="V4" s="117" t="s">
        <v>94</v>
      </c>
      <c r="W4" s="117" t="s">
        <v>95</v>
      </c>
    </row>
    <row r="5" spans="1:23">
      <c r="A5" s="17"/>
      <c r="B5" s="18"/>
      <c r="C5" s="19">
        <f>SUM(C7:C46)-N23-O23</f>
        <v>241.0074447826282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129.09132820127263</v>
      </c>
      <c r="R5" s="118">
        <f>SUM(R13,R23,R26:R32,R42)</f>
        <v>129.000846350557</v>
      </c>
      <c r="S5" s="118">
        <f>SUM(S7:S46)</f>
        <v>4.3281368214623477</v>
      </c>
      <c r="T5" s="118">
        <f>SUM(T7:T46)</f>
        <v>26.199554905265195</v>
      </c>
      <c r="U5" s="118">
        <f>SUM(U7:U46)</f>
        <v>32.225733644445036</v>
      </c>
      <c r="V5" s="297">
        <f>SUM(V7:V46)</f>
        <v>23.306925181080317</v>
      </c>
      <c r="W5" s="118">
        <f>SUM(W7:W46)</f>
        <v>42.940495798304106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9"/>
      <c r="S6" s="1"/>
      <c r="T6" s="1"/>
      <c r="U6" s="1"/>
      <c r="V6" s="1"/>
      <c r="W6" s="1"/>
    </row>
    <row r="7" spans="1:23">
      <c r="A7" s="486" t="s">
        <v>15</v>
      </c>
      <c r="B7" s="1" t="s">
        <v>17</v>
      </c>
      <c r="C7" s="17">
        <f>'Mix énergie_2020'!I14*'Mix énergie_2020'!L14/11.63</f>
        <v>3.6113499570077385</v>
      </c>
      <c r="D7" s="487">
        <f>SUM(C7:C19)</f>
        <v>129.21741375216357</v>
      </c>
      <c r="E7" s="30"/>
      <c r="F7" s="488">
        <f>SUM(E7:E19)</f>
        <v>80.788527949342665</v>
      </c>
      <c r="G7" s="17">
        <f>C7-E7</f>
        <v>3.6113499570077385</v>
      </c>
      <c r="H7" s="488">
        <f>SUM(G7:G19)</f>
        <v>48.428885802820872</v>
      </c>
      <c r="I7" s="22"/>
      <c r="J7" s="487">
        <f>H7-I13</f>
        <v>45.971638754538752</v>
      </c>
      <c r="K7" s="31"/>
      <c r="L7" s="31"/>
      <c r="M7" s="31"/>
      <c r="N7" s="32"/>
      <c r="O7" s="33"/>
      <c r="P7" s="489">
        <f>J7-K12-L12-M12</f>
        <v>38.245418934693156</v>
      </c>
      <c r="R7" s="120"/>
      <c r="S7" s="121"/>
      <c r="T7" s="122"/>
      <c r="U7" s="123"/>
      <c r="V7" s="122"/>
      <c r="W7" s="123"/>
    </row>
    <row r="8" spans="1:23">
      <c r="A8" s="486"/>
      <c r="B8" s="1" t="s">
        <v>18</v>
      </c>
      <c r="C8" s="17">
        <f>'Mix énergie_2020'!H14*'Mix énergie_2020'!L14/11.63</f>
        <v>5.2450558899397892</v>
      </c>
      <c r="D8" s="487"/>
      <c r="E8" s="30">
        <f>C8-G8</f>
        <v>0.52450558899397848</v>
      </c>
      <c r="F8" s="488"/>
      <c r="G8" s="17">
        <f>0.9*C8</f>
        <v>4.7205503009458107</v>
      </c>
      <c r="H8" s="488"/>
      <c r="I8" s="22"/>
      <c r="J8" s="487"/>
      <c r="K8" s="31"/>
      <c r="L8" s="31"/>
      <c r="M8" s="31"/>
      <c r="N8" s="32"/>
      <c r="O8" s="33"/>
      <c r="P8" s="489"/>
      <c r="R8" s="124"/>
      <c r="S8" s="125"/>
      <c r="T8" s="126"/>
      <c r="U8" s="127"/>
      <c r="V8" s="126"/>
      <c r="W8" s="127"/>
    </row>
    <row r="9" spans="1:23">
      <c r="A9" s="486"/>
      <c r="B9" s="1" t="s">
        <v>19</v>
      </c>
      <c r="C9" s="17">
        <f>'Mix énergie_2020'!J14*'Mix énergie_2020'!L14/11.63</f>
        <v>1.4617368873602772</v>
      </c>
      <c r="D9" s="487"/>
      <c r="E9" s="30"/>
      <c r="F9" s="488"/>
      <c r="G9" s="17">
        <f t="shared" ref="G9:G45" si="0">C9-E9</f>
        <v>1.4617368873602772</v>
      </c>
      <c r="H9" s="488"/>
      <c r="I9" s="22"/>
      <c r="J9" s="487"/>
      <c r="K9" s="31"/>
      <c r="L9" s="31"/>
      <c r="M9" s="31"/>
      <c r="N9" s="32"/>
      <c r="O9" s="33"/>
      <c r="P9" s="489"/>
      <c r="R9" s="124"/>
      <c r="S9" s="125"/>
      <c r="T9" s="126"/>
      <c r="U9" s="127"/>
      <c r="V9" s="126"/>
      <c r="W9" s="127"/>
    </row>
    <row r="10" spans="1:23">
      <c r="A10" s="486"/>
      <c r="B10" s="1" t="s">
        <v>20</v>
      </c>
      <c r="C10" s="17">
        <f>'Bilan enerdata v2206_2020'!F12</f>
        <v>109.38183514566988</v>
      </c>
      <c r="D10" s="487"/>
      <c r="E10" s="325">
        <f>C10*(1-0.32)</f>
        <v>74.379647899055513</v>
      </c>
      <c r="F10" s="488"/>
      <c r="G10" s="30">
        <f>C10-E10</f>
        <v>35.002187246614369</v>
      </c>
      <c r="H10" s="488"/>
      <c r="I10" s="22"/>
      <c r="J10" s="487"/>
      <c r="K10" s="31"/>
      <c r="L10" s="31"/>
      <c r="M10" s="31"/>
      <c r="N10" s="32"/>
      <c r="O10" s="33"/>
      <c r="P10" s="489"/>
      <c r="R10" s="124"/>
      <c r="S10" s="125"/>
      <c r="T10" s="126"/>
      <c r="U10" s="127"/>
      <c r="V10" s="126"/>
      <c r="W10" s="127"/>
    </row>
    <row r="11" spans="1:23">
      <c r="A11" s="486"/>
      <c r="B11" s="1" t="s">
        <v>21</v>
      </c>
      <c r="C11" s="17">
        <f>'Mix énergie_2020'!F14*'Mix énergie_2020'!L14/11.63</f>
        <v>0</v>
      </c>
      <c r="D11" s="487"/>
      <c r="E11" s="30"/>
      <c r="F11" s="488"/>
      <c r="G11" s="17">
        <f>C11-E11</f>
        <v>0</v>
      </c>
      <c r="H11" s="488"/>
      <c r="I11" s="22"/>
      <c r="J11" s="487"/>
      <c r="K11" s="31"/>
      <c r="L11" s="31"/>
      <c r="M11" s="31"/>
      <c r="N11" s="32"/>
      <c r="O11" s="33"/>
      <c r="P11" s="489"/>
      <c r="R11" s="124"/>
      <c r="S11" s="125"/>
      <c r="T11" s="126"/>
      <c r="U11" s="127"/>
      <c r="V11" s="126"/>
      <c r="W11" s="127"/>
    </row>
    <row r="12" spans="1:23">
      <c r="A12" s="486"/>
      <c r="B12" s="1" t="s">
        <v>22</v>
      </c>
      <c r="C12" s="318">
        <f>'Bilan enerdata v2206_2020'!H22+'Bilan enerdata v2206_2020'!H23*0.36-C13</f>
        <v>2.0631806275096816</v>
      </c>
      <c r="D12" s="487"/>
      <c r="E12" s="30">
        <f>C12-G12</f>
        <v>1.4235946329816804</v>
      </c>
      <c r="F12" s="488"/>
      <c r="G12" s="17">
        <f>0.31*C12</f>
        <v>0.63958599452800124</v>
      </c>
      <c r="H12" s="488"/>
      <c r="I12" s="22"/>
      <c r="J12" s="487"/>
      <c r="K12" s="31">
        <f>'Bilan enerdata v2206_2020'!I30</f>
        <v>3.1333411601296381</v>
      </c>
      <c r="L12" s="31">
        <f>-('Bilan enerdata v2206_2020'!I14+'Bilan enerdata v2206_2020'!I13)</f>
        <v>4.5928786597159572</v>
      </c>
      <c r="M12" s="31">
        <v>0</v>
      </c>
      <c r="N12" s="32">
        <v>0</v>
      </c>
      <c r="O12" s="33">
        <v>0</v>
      </c>
      <c r="P12" s="489"/>
      <c r="R12" s="124"/>
      <c r="S12" s="125"/>
      <c r="T12" s="126"/>
      <c r="U12" s="127"/>
      <c r="V12" s="126"/>
      <c r="W12" s="127"/>
    </row>
    <row r="13" spans="1:23">
      <c r="A13" s="486"/>
      <c r="B13" s="1" t="s">
        <v>23</v>
      </c>
      <c r="C13" s="316">
        <v>0.7</v>
      </c>
      <c r="D13" s="487"/>
      <c r="E13" s="30">
        <f>C13-G13</f>
        <v>0.48299999999999998</v>
      </c>
      <c r="F13" s="488"/>
      <c r="G13" s="17">
        <f>0.31*C13</f>
        <v>0.217</v>
      </c>
      <c r="H13" s="488"/>
      <c r="I13" s="326">
        <f>'Bilan enerdata v2206_2020'!I29</f>
        <v>2.4572470482821185</v>
      </c>
      <c r="J13" s="487"/>
      <c r="K13" s="31"/>
      <c r="L13" s="31"/>
      <c r="M13" s="31"/>
      <c r="N13" s="32"/>
      <c r="O13" s="33"/>
      <c r="P13" s="489"/>
      <c r="R13" s="124">
        <f>SUM(S7:W19)</f>
        <v>38.157133131872278</v>
      </c>
      <c r="S13" s="128">
        <f>'Bilan enerdata v2206_2020'!I37</f>
        <v>0.77750449760492502</v>
      </c>
      <c r="T13" s="126">
        <f>'Bilan enerdata v2206_2020'!I33</f>
        <v>10.072222086615001</v>
      </c>
      <c r="U13" s="126">
        <f>'Bilan enerdata v2206_2020'!I35</f>
        <v>13.00983683571549</v>
      </c>
      <c r="V13" s="126">
        <f>'Bilan enerdata v2206_2020'!I36</f>
        <v>13.031439326384481</v>
      </c>
      <c r="W13" s="126">
        <f>'Bilan enerdata v2206_2020'!I34</f>
        <v>1.2661303855523829</v>
      </c>
    </row>
    <row r="14" spans="1:23">
      <c r="A14" s="486"/>
      <c r="B14" s="1" t="s">
        <v>24</v>
      </c>
      <c r="C14" s="17">
        <v>0</v>
      </c>
      <c r="D14" s="487"/>
      <c r="E14" s="30"/>
      <c r="F14" s="488"/>
      <c r="G14" s="17"/>
      <c r="H14" s="488"/>
      <c r="I14" s="22"/>
      <c r="J14" s="487"/>
      <c r="K14" s="31"/>
      <c r="L14" s="31"/>
      <c r="M14" s="31"/>
      <c r="N14" s="32"/>
      <c r="O14" s="33"/>
      <c r="P14" s="489"/>
      <c r="R14" s="124"/>
      <c r="S14" s="125"/>
      <c r="T14" s="126"/>
      <c r="U14" s="127"/>
      <c r="V14" s="126"/>
      <c r="W14" s="127"/>
    </row>
    <row r="15" spans="1:23">
      <c r="A15" s="486"/>
      <c r="B15" s="1" t="s">
        <v>25</v>
      </c>
      <c r="C15" s="17">
        <v>0</v>
      </c>
      <c r="D15" s="487"/>
      <c r="E15" s="30"/>
      <c r="F15" s="488"/>
      <c r="G15" s="17"/>
      <c r="H15" s="488"/>
      <c r="I15" s="22"/>
      <c r="J15" s="487"/>
      <c r="K15" s="31"/>
      <c r="L15" s="31"/>
      <c r="M15" s="31"/>
      <c r="N15" s="32"/>
      <c r="O15" s="33"/>
      <c r="P15" s="489"/>
      <c r="R15" s="124"/>
      <c r="S15" s="125"/>
      <c r="T15" s="126"/>
      <c r="U15" s="127"/>
      <c r="V15" s="126"/>
      <c r="W15" s="127"/>
    </row>
    <row r="16" spans="1:23">
      <c r="A16" s="486"/>
      <c r="B16" s="1" t="s">
        <v>26</v>
      </c>
      <c r="C16" s="17">
        <v>0</v>
      </c>
      <c r="D16" s="487"/>
      <c r="E16" s="30"/>
      <c r="F16" s="488"/>
      <c r="G16" s="17"/>
      <c r="H16" s="488"/>
      <c r="I16" s="22"/>
      <c r="J16" s="487"/>
      <c r="K16" s="31"/>
      <c r="L16" s="31"/>
      <c r="M16" s="31"/>
      <c r="N16" s="32"/>
      <c r="O16" s="33"/>
      <c r="P16" s="489"/>
      <c r="R16" s="124"/>
      <c r="S16" s="125"/>
      <c r="T16" s="126"/>
      <c r="U16" s="127"/>
      <c r="V16" s="126"/>
      <c r="W16" s="127"/>
    </row>
    <row r="17" spans="1:23">
      <c r="A17" s="486"/>
      <c r="B17" s="1" t="s">
        <v>27</v>
      </c>
      <c r="C17" s="17">
        <f>'Bilan enerdata v2206_2020'!D22+0.36*'Bilan enerdata v2206_2020'!D23</f>
        <v>0</v>
      </c>
      <c r="D17" s="487"/>
      <c r="E17" s="30">
        <f t="shared" ref="E17:E18" si="1">C17-G17</f>
        <v>0</v>
      </c>
      <c r="F17" s="488"/>
      <c r="G17" s="17">
        <f>0.4*C17</f>
        <v>0</v>
      </c>
      <c r="H17" s="488"/>
      <c r="I17" s="22"/>
      <c r="J17" s="487"/>
      <c r="K17" s="31"/>
      <c r="L17" s="31"/>
      <c r="M17" s="31"/>
      <c r="N17" s="32"/>
      <c r="O17" s="33"/>
      <c r="P17" s="489"/>
      <c r="R17" s="124"/>
      <c r="S17" s="125"/>
      <c r="T17" s="126"/>
      <c r="U17" s="127"/>
      <c r="V17" s="126"/>
      <c r="W17" s="127"/>
    </row>
    <row r="18" spans="1:23">
      <c r="A18" s="486"/>
      <c r="B18" s="1" t="s">
        <v>28</v>
      </c>
      <c r="C18" s="17">
        <f>'Bilan enerdata v2206_2020'!B22+0.36*'Bilan enerdata v2206_2020'!B23</f>
        <v>2.56997984007758</v>
      </c>
      <c r="D18" s="487"/>
      <c r="E18" s="30">
        <f t="shared" si="1"/>
        <v>1.927484880058185</v>
      </c>
      <c r="F18" s="488"/>
      <c r="G18" s="17">
        <f>0.25*C18</f>
        <v>0.64249496001939499</v>
      </c>
      <c r="H18" s="488"/>
      <c r="I18" s="22"/>
      <c r="J18" s="487"/>
      <c r="K18" s="31"/>
      <c r="L18" s="31"/>
      <c r="M18" s="31"/>
      <c r="N18" s="32"/>
      <c r="O18" s="33"/>
      <c r="P18" s="489"/>
      <c r="R18" s="124"/>
      <c r="S18" s="125"/>
      <c r="T18" s="126"/>
      <c r="U18" s="127"/>
      <c r="V18" s="126"/>
      <c r="W18" s="127"/>
    </row>
    <row r="19" spans="1:23">
      <c r="A19" s="486"/>
      <c r="B19" s="317" t="s">
        <v>262</v>
      </c>
      <c r="C19" s="17">
        <f>'Bilan enerdata v2206_2020'!E22+0.36*'Bilan enerdata v2206_2020'!E23</f>
        <v>4.1842754045985986</v>
      </c>
      <c r="D19" s="487"/>
      <c r="E19" s="30">
        <f>C19-G19</f>
        <v>2.0502949482533133</v>
      </c>
      <c r="F19" s="488"/>
      <c r="G19" s="17">
        <f>0.51*C19</f>
        <v>2.1339804563452853</v>
      </c>
      <c r="H19" s="488"/>
      <c r="I19" s="22"/>
      <c r="J19" s="487"/>
      <c r="K19" s="31"/>
      <c r="L19" s="31"/>
      <c r="M19" s="31"/>
      <c r="N19" s="32"/>
      <c r="O19" s="33"/>
      <c r="P19" s="489"/>
      <c r="R19" s="129"/>
      <c r="S19" s="130"/>
      <c r="T19" s="131"/>
      <c r="U19" s="132"/>
      <c r="V19" s="131"/>
      <c r="W19" s="132"/>
    </row>
    <row r="20" spans="1:23">
      <c r="A20" s="1"/>
      <c r="B20" s="1"/>
      <c r="C20" s="35"/>
      <c r="D20" s="36"/>
      <c r="E20" s="17"/>
      <c r="F20" s="36"/>
      <c r="G20" s="36"/>
      <c r="H20" s="36">
        <f>-'Bilan enerdata v2206_2020'!I22</f>
        <v>48.340599999999995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481" t="s">
        <v>13</v>
      </c>
      <c r="B21" s="1" t="s">
        <v>21</v>
      </c>
      <c r="C21" s="17">
        <f>-'Bilan enerdata v2206_2020'!E25</f>
        <v>0.74956562451533659</v>
      </c>
      <c r="D21" s="509">
        <f>SUM(C21:C24)</f>
        <v>36.450108099788281</v>
      </c>
      <c r="E21" s="22"/>
      <c r="F21" s="482"/>
      <c r="G21" s="17">
        <f t="shared" si="0"/>
        <v>0.74956562451533659</v>
      </c>
      <c r="H21" s="484">
        <f>SUM(G21:G24)</f>
        <v>34.703863152288662</v>
      </c>
      <c r="I21" s="17"/>
      <c r="J21" s="484">
        <f>H21</f>
        <v>34.703863152288662</v>
      </c>
      <c r="K21" s="476">
        <f>'Bilan enerdata v2206_2020'!E30</f>
        <v>0.44732624375977414</v>
      </c>
      <c r="L21" s="476"/>
      <c r="M21" s="476">
        <v>0</v>
      </c>
      <c r="N21" s="38"/>
      <c r="O21" s="38"/>
      <c r="P21" s="38"/>
      <c r="R21" s="138"/>
      <c r="S21" s="139"/>
      <c r="T21" s="140"/>
      <c r="U21" s="140"/>
      <c r="V21" s="140"/>
      <c r="W21" s="139"/>
    </row>
    <row r="22" spans="1:23">
      <c r="A22" s="481"/>
      <c r="B22" s="1" t="s">
        <v>30</v>
      </c>
      <c r="C22" s="17"/>
      <c r="D22" s="513"/>
      <c r="E22" s="22"/>
      <c r="F22" s="483"/>
      <c r="G22" s="17">
        <f t="shared" si="0"/>
        <v>0</v>
      </c>
      <c r="H22" s="485"/>
      <c r="J22" s="484"/>
      <c r="K22" s="476"/>
      <c r="L22" s="476"/>
      <c r="M22" s="476"/>
      <c r="N22" s="39"/>
      <c r="O22" s="40"/>
      <c r="P22" s="40"/>
      <c r="R22" s="141"/>
      <c r="S22" s="40"/>
      <c r="T22" s="39"/>
      <c r="U22" s="39"/>
      <c r="V22" s="39"/>
      <c r="W22" s="40"/>
    </row>
    <row r="23" spans="1:23" ht="30">
      <c r="A23" s="481"/>
      <c r="B23" s="1" t="s">
        <v>31</v>
      </c>
      <c r="C23" s="17"/>
      <c r="D23" s="513"/>
      <c r="E23" s="41"/>
      <c r="F23" s="483"/>
      <c r="G23" s="17">
        <f t="shared" si="0"/>
        <v>0</v>
      </c>
      <c r="H23" s="485"/>
      <c r="I23" s="17"/>
      <c r="J23" s="484"/>
      <c r="K23" s="476"/>
      <c r="L23" s="476"/>
      <c r="M23" s="476"/>
      <c r="N23" s="39">
        <f>C32</f>
        <v>1.5659570450451636</v>
      </c>
      <c r="O23" s="40">
        <f>C19</f>
        <v>4.1842754045985986</v>
      </c>
      <c r="P23" s="40">
        <f>J21-N23-O23-K21</f>
        <v>28.506304458885122</v>
      </c>
      <c r="Q23" s="336" t="s">
        <v>261</v>
      </c>
      <c r="R23" s="141">
        <f>SUM(S23:W23)</f>
        <v>28.506304458885133</v>
      </c>
      <c r="S23" s="142">
        <f>'Bilan enerdata v2206_2020'!E37</f>
        <v>0.345557554491078</v>
      </c>
      <c r="T23" s="142">
        <f>'Bilan enerdata v2206_2020'!E33</f>
        <v>10.885100099493346</v>
      </c>
      <c r="U23" s="142">
        <f>'Bilan enerdata v2206_2020'!E35</f>
        <v>11.041115748636887</v>
      </c>
      <c r="V23" s="142">
        <f>'Bilan enerdata v2206_2020'!E36</f>
        <v>6.057342656522982</v>
      </c>
      <c r="W23" s="142">
        <f>'Bilan enerdata v2206_2020'!E34</f>
        <v>0.17718839974083389</v>
      </c>
    </row>
    <row r="24" spans="1:23">
      <c r="A24" s="481"/>
      <c r="B24" s="1" t="s">
        <v>32</v>
      </c>
      <c r="C24" s="17">
        <f>'Bilan enerdata v2206_2020'!E18+'Bilan enerdata v2206_2020'!E17-C45</f>
        <v>35.700542475272947</v>
      </c>
      <c r="D24" s="513"/>
      <c r="E24" s="329">
        <f>'Bilan enerdata v2206_2020'!E29+'Bilan enerdata v2206_2020'!E26</f>
        <v>1.7462449474996167</v>
      </c>
      <c r="F24" s="483"/>
      <c r="G24" s="17">
        <f>C24-E24</f>
        <v>33.954297527773328</v>
      </c>
      <c r="H24" s="485"/>
      <c r="I24" s="42"/>
      <c r="J24" s="484"/>
      <c r="K24" s="476"/>
      <c r="L24" s="476"/>
      <c r="M24" s="476"/>
      <c r="N24" s="39"/>
      <c r="O24" s="40"/>
      <c r="P24" s="40"/>
      <c r="R24" s="143"/>
      <c r="S24" s="144"/>
      <c r="T24" s="145"/>
      <c r="U24" s="145"/>
      <c r="V24" s="145"/>
      <c r="W24" s="144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3"/>
      <c r="U25" s="133"/>
      <c r="V25" s="133"/>
      <c r="W25" s="64"/>
    </row>
    <row r="26" spans="1:23">
      <c r="A26" s="477" t="s">
        <v>14</v>
      </c>
      <c r="B26" s="1" t="s">
        <v>21</v>
      </c>
      <c r="C26" s="43">
        <f>-('Mix énergie_2020'!F5*'Mix énergie_2020'!L5/11.63)</f>
        <v>0</v>
      </c>
      <c r="D26" s="478">
        <f>SUM(C26:C34)</f>
        <v>4.5683356191496518</v>
      </c>
      <c r="E26" s="43">
        <f>C26*0.11</f>
        <v>0</v>
      </c>
      <c r="F26" s="479"/>
      <c r="G26" s="41">
        <f t="shared" ref="G26:G31" si="2">C26-E26</f>
        <v>0</v>
      </c>
      <c r="H26" s="479">
        <f>SUM(G26:G34)</f>
        <v>4.0658187010431899</v>
      </c>
      <c r="I26" s="1"/>
      <c r="J26" s="512">
        <f>H26</f>
        <v>4.0658187010431899</v>
      </c>
      <c r="K26" s="480">
        <f>'Bilan enerdata v2206_2020'!J30</f>
        <v>0.84596568973356112</v>
      </c>
      <c r="L26" s="480">
        <v>0</v>
      </c>
      <c r="M26" s="480"/>
      <c r="N26" s="470"/>
      <c r="O26" s="471"/>
      <c r="P26" s="514">
        <f>J26-K26-M26</f>
        <v>3.2198530113096289</v>
      </c>
      <c r="R26" s="146"/>
      <c r="S26" s="146"/>
      <c r="T26" s="146"/>
      <c r="U26" s="146"/>
      <c r="V26" s="147"/>
      <c r="W26" s="146"/>
    </row>
    <row r="27" spans="1:23">
      <c r="A27" s="477"/>
      <c r="B27" s="1" t="s">
        <v>22</v>
      </c>
      <c r="C27" s="319">
        <v>0.6</v>
      </c>
      <c r="D27" s="478"/>
      <c r="E27" s="43">
        <f t="shared" ref="E27:E34" si="3">C27*0.11</f>
        <v>6.6000000000000003E-2</v>
      </c>
      <c r="F27" s="479"/>
      <c r="G27" s="41">
        <f t="shared" si="2"/>
        <v>0.53400000000000003</v>
      </c>
      <c r="H27" s="479"/>
      <c r="I27" s="329"/>
      <c r="J27" s="512"/>
      <c r="K27" s="480"/>
      <c r="L27" s="480"/>
      <c r="M27" s="480"/>
      <c r="N27" s="470"/>
      <c r="O27" s="471"/>
      <c r="P27" s="514"/>
      <c r="R27" s="148"/>
      <c r="S27" s="149"/>
      <c r="T27" s="149"/>
      <c r="U27" s="149"/>
      <c r="V27" s="150"/>
      <c r="W27" s="149"/>
    </row>
    <row r="28" spans="1:23">
      <c r="A28" s="477"/>
      <c r="B28" s="1" t="s">
        <v>26</v>
      </c>
      <c r="C28" s="43">
        <f>('Mix énergie_2020'!J5*'Mix énergie_2020'!L5/11.63)</f>
        <v>0.10810626735823541</v>
      </c>
      <c r="D28" s="478"/>
      <c r="E28" s="43">
        <f t="shared" si="3"/>
        <v>1.1891689409405895E-2</v>
      </c>
      <c r="F28" s="479"/>
      <c r="G28" s="41">
        <f>C28-E28</f>
        <v>9.6214577948829511E-2</v>
      </c>
      <c r="H28" s="479"/>
      <c r="I28" s="1"/>
      <c r="J28" s="512"/>
      <c r="K28" s="480"/>
      <c r="L28" s="480" t="e">
        <v>#REF!</v>
      </c>
      <c r="M28" s="480"/>
      <c r="N28" s="470" t="e">
        <v>#REF!</v>
      </c>
      <c r="O28" s="471" t="e">
        <v>#REF!</v>
      </c>
      <c r="P28" s="514"/>
      <c r="R28" s="148"/>
      <c r="S28" s="149"/>
      <c r="T28" s="149"/>
      <c r="U28" s="149"/>
      <c r="V28" s="150"/>
      <c r="W28" s="149"/>
    </row>
    <row r="29" spans="1:23">
      <c r="A29" s="477"/>
      <c r="B29" s="1" t="s">
        <v>23</v>
      </c>
      <c r="C29" s="319">
        <f>('Bilan enerdata v2206_2020'!H24+'Bilan enerdata v2206_2020'!H23*0.64-C30)-C27</f>
        <v>1.7970115976340852</v>
      </c>
      <c r="D29" s="478"/>
      <c r="E29" s="43">
        <f t="shared" si="3"/>
        <v>0.19767127573974938</v>
      </c>
      <c r="F29" s="479"/>
      <c r="G29" s="41">
        <f t="shared" si="2"/>
        <v>1.5993403218943358</v>
      </c>
      <c r="H29" s="479"/>
      <c r="I29" s="1"/>
      <c r="J29" s="512"/>
      <c r="K29" s="480"/>
      <c r="L29" s="480" t="e">
        <v>#REF!</v>
      </c>
      <c r="M29" s="480"/>
      <c r="N29" s="470" t="e">
        <v>#REF!</v>
      </c>
      <c r="O29" s="471" t="e">
        <v>#REF!</v>
      </c>
      <c r="P29" s="514"/>
      <c r="R29" s="151">
        <f>SUM(S29:W29)</f>
        <v>3.2115778655070351</v>
      </c>
      <c r="S29" s="152">
        <f>'Bilan enerdata v2206_2020'!J37</f>
        <v>6.4536710533781346E-3</v>
      </c>
      <c r="T29" s="152">
        <f>'Bilan enerdata v2206_2020'!J33</f>
        <v>1.1461133930541632</v>
      </c>
      <c r="U29" s="152">
        <f>'Bilan enerdata v2206_2020'!J35</f>
        <v>1.289495245663796</v>
      </c>
      <c r="V29" s="152">
        <f>'Bilan enerdata v2206_2020'!J36</f>
        <v>0.76951555573569785</v>
      </c>
      <c r="W29" s="152">
        <f>'Bilan enerdata v2206_2020'!J34</f>
        <v>0</v>
      </c>
    </row>
    <row r="30" spans="1:23">
      <c r="A30" s="477"/>
      <c r="B30" s="1" t="s">
        <v>24</v>
      </c>
      <c r="C30" s="320">
        <f>('Mix énergie_2020'!K5*'Mix énergie_2020'!L5/11.63)</f>
        <v>0.21621253471647081</v>
      </c>
      <c r="D30" s="478"/>
      <c r="E30" s="43">
        <f t="shared" si="3"/>
        <v>2.378337881881179E-2</v>
      </c>
      <c r="F30" s="479"/>
      <c r="G30" s="41">
        <f t="shared" si="2"/>
        <v>0.19242915589765902</v>
      </c>
      <c r="H30" s="479"/>
      <c r="I30" s="1"/>
      <c r="J30" s="512"/>
      <c r="K30" s="480"/>
      <c r="L30" s="480"/>
      <c r="M30" s="480"/>
      <c r="N30" s="470"/>
      <c r="O30" s="471"/>
      <c r="P30" s="514"/>
      <c r="R30" s="148"/>
      <c r="S30" s="149"/>
      <c r="T30" s="149"/>
      <c r="U30" s="149"/>
      <c r="V30" s="150"/>
      <c r="W30" s="149"/>
    </row>
    <row r="31" spans="1:23">
      <c r="A31" s="477"/>
      <c r="B31" s="1" t="s">
        <v>33</v>
      </c>
      <c r="C31" s="320">
        <v>0</v>
      </c>
      <c r="D31" s="478"/>
      <c r="E31" s="43">
        <f t="shared" si="3"/>
        <v>0</v>
      </c>
      <c r="F31" s="479"/>
      <c r="G31" s="41">
        <f t="shared" si="2"/>
        <v>0</v>
      </c>
      <c r="H31" s="479"/>
      <c r="I31" s="1"/>
      <c r="J31" s="512"/>
      <c r="K31" s="480"/>
      <c r="L31" s="480"/>
      <c r="M31" s="480"/>
      <c r="N31" s="470"/>
      <c r="O31" s="471"/>
      <c r="P31" s="514"/>
      <c r="R31" s="148"/>
      <c r="S31" s="149"/>
      <c r="T31" s="149"/>
      <c r="U31" s="149"/>
      <c r="V31" s="150"/>
      <c r="W31" s="149"/>
    </row>
    <row r="32" spans="1:23">
      <c r="A32" s="477"/>
      <c r="B32" s="1" t="s">
        <v>29</v>
      </c>
      <c r="C32" s="43">
        <f>('Bilan enerdata v2206_2020'!E23*0.64+'Bilan enerdata v2206_2020'!E24)</f>
        <v>1.5659570450451636</v>
      </c>
      <c r="D32" s="478"/>
      <c r="E32" s="43">
        <f t="shared" si="3"/>
        <v>0.17225527495496801</v>
      </c>
      <c r="F32" s="479"/>
      <c r="G32" s="41">
        <f>C32-E32</f>
        <v>1.3937017700901957</v>
      </c>
      <c r="H32" s="479"/>
      <c r="I32" s="1"/>
      <c r="J32" s="512"/>
      <c r="K32" s="480"/>
      <c r="L32" s="480"/>
      <c r="M32" s="480"/>
      <c r="N32" s="470"/>
      <c r="O32" s="471"/>
      <c r="P32" s="514"/>
      <c r="R32" s="153"/>
      <c r="S32" s="154"/>
      <c r="T32" s="154"/>
      <c r="U32" s="154"/>
      <c r="V32" s="155"/>
      <c r="W32" s="154"/>
    </row>
    <row r="33" spans="1:23">
      <c r="A33" s="321"/>
      <c r="B33" s="317" t="s">
        <v>27</v>
      </c>
      <c r="C33" s="34">
        <f>('Bilan enerdata v2206_2020'!D24+'Bilan enerdata v2206_2020'!D23*0.64)</f>
        <v>4.4938385611804459E-2</v>
      </c>
      <c r="D33" s="478"/>
      <c r="E33" s="43">
        <f t="shared" si="3"/>
        <v>4.9432224172984906E-3</v>
      </c>
      <c r="F33" s="323"/>
      <c r="G33" s="41">
        <f t="shared" ref="G33:G34" si="4">C33-E33</f>
        <v>3.9995163194505967E-2</v>
      </c>
      <c r="H33" s="323"/>
      <c r="I33" s="1"/>
      <c r="J33" s="322"/>
      <c r="K33" s="323"/>
      <c r="L33" s="323"/>
      <c r="M33" s="323"/>
      <c r="N33" s="323"/>
      <c r="O33" s="323"/>
      <c r="P33" s="323"/>
      <c r="R33" s="322"/>
      <c r="S33" s="323"/>
      <c r="T33" s="323"/>
      <c r="U33" s="323"/>
      <c r="V33" s="323"/>
      <c r="W33" s="323"/>
    </row>
    <row r="34" spans="1:23">
      <c r="A34" s="321"/>
      <c r="B34" s="317" t="s">
        <v>28</v>
      </c>
      <c r="C34" s="34">
        <f>('Bilan enerdata v2206_2020'!B24+0.64*'Bilan enerdata v2206_2020'!B23)</f>
        <v>0.23610978878389122</v>
      </c>
      <c r="D34" s="478"/>
      <c r="E34" s="43">
        <f t="shared" si="3"/>
        <v>2.5972076766228033E-2</v>
      </c>
      <c r="F34" s="323"/>
      <c r="G34" s="41">
        <f t="shared" si="4"/>
        <v>0.21013771201766318</v>
      </c>
      <c r="H34" s="323"/>
      <c r="I34" s="1"/>
      <c r="J34" s="322"/>
      <c r="K34" s="323"/>
      <c r="L34" s="323"/>
      <c r="M34" s="323"/>
      <c r="N34" s="323"/>
      <c r="O34" s="323"/>
      <c r="P34" s="323"/>
      <c r="R34" s="322"/>
      <c r="S34" s="323"/>
      <c r="T34" s="323"/>
      <c r="U34" s="323"/>
      <c r="V34" s="323"/>
      <c r="W34" s="323"/>
    </row>
    <row r="35" spans="1:23">
      <c r="A35" s="4"/>
      <c r="B35" s="1"/>
      <c r="C35" s="22"/>
      <c r="D35" s="37"/>
      <c r="E35" s="1"/>
      <c r="F35" s="1"/>
      <c r="G35" s="44"/>
      <c r="H35" s="45">
        <f>-'Bilan enerdata v2206_2020'!J24</f>
        <v>4.0575435552405965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472" t="s">
        <v>34</v>
      </c>
      <c r="B36" s="1" t="s">
        <v>21</v>
      </c>
      <c r="C36" s="22">
        <v>0</v>
      </c>
      <c r="D36" s="472">
        <f>SUM(C36:C46)</f>
        <v>76.521819761170462</v>
      </c>
      <c r="E36" s="47"/>
      <c r="F36" s="474"/>
      <c r="G36" s="17">
        <f t="shared" ref="G36:G40" si="5">C36</f>
        <v>0</v>
      </c>
      <c r="H36" s="472">
        <f>SUM(G36:G46)</f>
        <v>74.770788208604912</v>
      </c>
      <c r="I36" s="48"/>
      <c r="J36" s="52"/>
      <c r="K36" s="48"/>
      <c r="L36" s="48"/>
      <c r="M36" s="48"/>
      <c r="N36" s="48"/>
      <c r="O36" s="48"/>
      <c r="P36" s="49"/>
      <c r="R36" s="156"/>
      <c r="S36" s="137">
        <v>0</v>
      </c>
      <c r="T36" s="135">
        <v>0</v>
      </c>
      <c r="U36" s="137">
        <v>0</v>
      </c>
      <c r="V36" s="157">
        <v>0</v>
      </c>
      <c r="W36" s="156">
        <v>0</v>
      </c>
    </row>
    <row r="37" spans="1:23">
      <c r="A37" s="472"/>
      <c r="B37" s="1" t="s">
        <v>23</v>
      </c>
      <c r="C37" s="324">
        <f>'Bilan enerdata v2206_2020'!H18-C38-C39-C12-C14-C27-C30-C41+E37-'Bilan enerdata v2206_2020'!H25-'Bilan enerdata v2206_2020'!H29-C13-C29-C31-C40-C44-8</f>
        <v>2.8719795156037566</v>
      </c>
      <c r="D37" s="472"/>
      <c r="E37" s="330">
        <f>'Bilan enerdata v2206_2020'!H29</f>
        <v>5.1017483519633131E-2</v>
      </c>
      <c r="F37" s="474"/>
      <c r="G37" s="17">
        <f>C37-E37</f>
        <v>2.8209620320841235</v>
      </c>
      <c r="H37" s="472"/>
      <c r="J37" s="52"/>
      <c r="K37" s="48"/>
      <c r="L37" s="48"/>
      <c r="M37" s="50"/>
      <c r="N37" s="48"/>
      <c r="O37" s="48"/>
      <c r="P37" s="51">
        <f>SUM(G36:G41)</f>
        <v>7.719649862413128</v>
      </c>
      <c r="R37" s="158"/>
      <c r="S37" s="295">
        <f>'Bilan enerdata v2206_2020'!H37</f>
        <v>0.172778777245539</v>
      </c>
      <c r="T37" s="295">
        <f>'Bilan enerdata v2206_2020'!H33</f>
        <v>1.844034937757657</v>
      </c>
      <c r="U37" s="295">
        <f>'Bilan enerdata v2206_2020'!H35-'Bilan 2020'!U38-'Bilan 2020'!U39-8</f>
        <v>0.46563667984645996</v>
      </c>
      <c r="V37" s="298">
        <f>'Bilan enerdata v2206_2020'!H36-'Bilan 2020'!V39-V38</f>
        <v>0.33851163723447097</v>
      </c>
      <c r="W37" s="136">
        <f>E37</f>
        <v>5.1017483519633131E-2</v>
      </c>
    </row>
    <row r="38" spans="1:23">
      <c r="A38" s="472"/>
      <c r="B38" s="1" t="s">
        <v>33</v>
      </c>
      <c r="C38" s="41">
        <f>SUM(S38:W38)</f>
        <v>0.40675386605259323</v>
      </c>
      <c r="D38" s="472"/>
      <c r="E38" s="47"/>
      <c r="F38" s="474"/>
      <c r="G38" s="17">
        <f t="shared" si="5"/>
        <v>0.40675386605259323</v>
      </c>
      <c r="H38" s="472"/>
      <c r="I38" s="48"/>
      <c r="J38" s="52"/>
      <c r="K38" s="48"/>
      <c r="L38" s="48"/>
      <c r="M38" s="52"/>
      <c r="N38" s="48"/>
      <c r="O38" s="48"/>
      <c r="P38" s="53"/>
      <c r="R38" s="158"/>
      <c r="S38" s="137">
        <v>0</v>
      </c>
      <c r="T38" s="135">
        <v>0</v>
      </c>
      <c r="U38" s="136">
        <f>'Modèle résidentiel hch_2020'!B8/11.63</f>
        <v>0.13276593410383578</v>
      </c>
      <c r="V38" s="159">
        <f>'Format demande MedPro_2020'!C226</f>
        <v>0.27398793194875748</v>
      </c>
      <c r="W38" s="156">
        <v>0</v>
      </c>
    </row>
    <row r="39" spans="1:23">
      <c r="A39" s="472"/>
      <c r="B39" s="1" t="s">
        <v>35</v>
      </c>
      <c r="C39" s="41">
        <f>SUM(S39:W39)-C40</f>
        <v>0.18463707266686602</v>
      </c>
      <c r="D39" s="472"/>
      <c r="E39" s="47"/>
      <c r="F39" s="474"/>
      <c r="G39" s="17">
        <f t="shared" si="5"/>
        <v>0.18463707266686602</v>
      </c>
      <c r="H39" s="472"/>
      <c r="I39" s="48"/>
      <c r="J39" s="52"/>
      <c r="K39" s="48"/>
      <c r="L39" s="48"/>
      <c r="M39" s="52"/>
      <c r="N39" s="48"/>
      <c r="O39" s="48"/>
      <c r="P39" s="53"/>
      <c r="R39" s="158"/>
      <c r="S39" s="299">
        <f>'Format demande MedPro_2020'!C360</f>
        <v>0</v>
      </c>
      <c r="T39" s="135">
        <v>0</v>
      </c>
      <c r="U39" s="296">
        <f>'Modèle résidentiel ch_2020'!J9/11.63+'Modèle résidentiel hch_2020'!B9/11.63*2/3</f>
        <v>0.620105679998047</v>
      </c>
      <c r="V39" s="315">
        <f>('Modèle tertiaire_2020'!J3+'Modèle tertiaire_2020'!J4)/11.63+'Corrections Bilan enerdata'!H21*('Modèle tertiaire_2020'!J3+'Modèle tertiaire_2020'!J4)/('Modèle tertiaire_2020'!J3+'Modèle tertiaire_2020'!J4+'Modèle tertiaire_2020'!F3+'Modèle tertiaire_2020'!F4+'Modèle tertiaire_2020'!I3+'Modèle tertiaire_2020'!I4)</f>
        <v>0.86453139266881918</v>
      </c>
      <c r="W39" s="156">
        <v>0</v>
      </c>
    </row>
    <row r="40" spans="1:23">
      <c r="A40" s="472"/>
      <c r="B40" s="1" t="s">
        <v>36</v>
      </c>
      <c r="C40" s="41">
        <v>1.3</v>
      </c>
      <c r="D40" s="472"/>
      <c r="E40" s="47"/>
      <c r="F40" s="474"/>
      <c r="G40" s="17">
        <f t="shared" si="5"/>
        <v>1.3</v>
      </c>
      <c r="H40" s="472"/>
      <c r="I40" s="48"/>
      <c r="J40" s="52"/>
      <c r="K40" s="48"/>
      <c r="L40" s="48"/>
      <c r="M40" s="48"/>
      <c r="N40" s="48"/>
      <c r="O40" s="48"/>
      <c r="P40" s="53"/>
      <c r="R40" s="158"/>
      <c r="S40" s="299"/>
      <c r="T40" s="135"/>
      <c r="U40" s="299"/>
      <c r="V40" s="315"/>
      <c r="W40" s="134">
        <v>0</v>
      </c>
    </row>
    <row r="41" spans="1:23">
      <c r="A41" s="472"/>
      <c r="B41" s="1" t="s">
        <v>37</v>
      </c>
      <c r="C41" s="41">
        <f>SUM(S41:W41)</f>
        <v>3.0072968916095459</v>
      </c>
      <c r="D41" s="472"/>
      <c r="E41" s="54"/>
      <c r="F41" s="474"/>
      <c r="G41" s="17">
        <f>C41</f>
        <v>3.0072968916095459</v>
      </c>
      <c r="H41" s="472"/>
      <c r="I41" s="48"/>
      <c r="J41" s="52"/>
      <c r="K41" s="48"/>
      <c r="L41" s="48"/>
      <c r="M41" s="48"/>
      <c r="N41" s="48"/>
      <c r="O41" s="48"/>
      <c r="P41" s="51">
        <f>G42</f>
        <v>38.438862637881712</v>
      </c>
      <c r="R41" s="156"/>
      <c r="S41" s="135">
        <v>0</v>
      </c>
      <c r="T41" s="135">
        <v>0</v>
      </c>
      <c r="U41" s="135">
        <v>0</v>
      </c>
      <c r="V41" s="135">
        <v>0</v>
      </c>
      <c r="W41" s="136">
        <f>'Bilan enerdata v2206_2020'!H34</f>
        <v>3.0072968916095459</v>
      </c>
    </row>
    <row r="42" spans="1:23">
      <c r="A42" s="472"/>
      <c r="B42" s="1" t="s">
        <v>38</v>
      </c>
      <c r="C42" s="41">
        <f>W42</f>
        <v>38.438862637881712</v>
      </c>
      <c r="D42" s="472"/>
      <c r="E42" s="54"/>
      <c r="F42" s="474"/>
      <c r="G42" s="17">
        <f>C42</f>
        <v>38.438862637881712</v>
      </c>
      <c r="H42" s="472"/>
      <c r="J42" s="52"/>
      <c r="K42" s="48"/>
      <c r="L42" s="48"/>
      <c r="M42" s="48"/>
      <c r="N42" s="48"/>
      <c r="O42" s="48"/>
      <c r="P42" s="53"/>
      <c r="R42" s="158">
        <f>SUM(S36:W46)</f>
        <v>59.125830894292555</v>
      </c>
      <c r="S42" s="134">
        <v>0</v>
      </c>
      <c r="T42" s="134">
        <v>0</v>
      </c>
      <c r="U42" s="134">
        <v>0</v>
      </c>
      <c r="V42" s="134">
        <v>0</v>
      </c>
      <c r="W42" s="135">
        <f>'Bilan enerdata v2206_2020'!D34</f>
        <v>38.438862637881712</v>
      </c>
    </row>
    <row r="43" spans="1:23">
      <c r="A43" s="472"/>
      <c r="B43" s="1" t="s">
        <v>39</v>
      </c>
      <c r="C43" s="41">
        <f>-'Bilan enerdata v2206_2020'!D26-'Bilan 2020'!C42+'Bilan enerdata v2206_2020'!D13+'Bilan enerdata v2206_2020'!D14+'Bilan enerdata v2206_2020'!D15+'Bilan enerdata v2206_2020'!D16+'Bilan enerdata v2206_2020'!D17</f>
        <v>25.997748327937217</v>
      </c>
      <c r="D43" s="472"/>
      <c r="E43" s="331">
        <f>'Bilan enerdata v2206_2020'!D29</f>
        <v>1.70001406904591</v>
      </c>
      <c r="F43" s="474"/>
      <c r="G43" s="17">
        <f>C43-E43</f>
        <v>24.297734258891307</v>
      </c>
      <c r="H43" s="472"/>
      <c r="I43" s="48"/>
      <c r="J43" s="52"/>
      <c r="K43" s="48"/>
      <c r="L43" s="48"/>
      <c r="M43" s="48"/>
      <c r="N43" s="48"/>
      <c r="O43" s="48"/>
      <c r="P43" s="51">
        <f>G43-E53</f>
        <v>12.636918828503635</v>
      </c>
      <c r="R43" s="158"/>
      <c r="S43" s="135">
        <f>'Bilan enerdata v2206_2020'!D37</f>
        <v>3.02362860179693</v>
      </c>
      <c r="T43" s="135">
        <f>'Bilan enerdata v2206_2020'!D33</f>
        <v>1.9299776400292732</v>
      </c>
      <c r="U43" s="135">
        <f>'Bilan enerdata v2206_2020'!D35</f>
        <v>5.666777520480518</v>
      </c>
      <c r="V43" s="135">
        <f>'Bilan enerdata v2206_2020'!D36</f>
        <v>1.9715966805851073</v>
      </c>
      <c r="W43" s="135">
        <v>0</v>
      </c>
    </row>
    <row r="44" spans="1:23">
      <c r="A44" s="472"/>
      <c r="B44" s="1" t="s">
        <v>40</v>
      </c>
      <c r="C44" s="324">
        <v>0</v>
      </c>
      <c r="D44" s="472"/>
      <c r="E44" s="54"/>
      <c r="F44" s="474"/>
      <c r="G44" s="17">
        <f t="shared" si="0"/>
        <v>0</v>
      </c>
      <c r="H44" s="472"/>
      <c r="I44" s="48"/>
      <c r="J44" s="52"/>
      <c r="K44" s="48"/>
      <c r="L44" s="48"/>
      <c r="M44" s="48"/>
      <c r="N44" s="48"/>
      <c r="O44" s="48"/>
      <c r="P44" s="53"/>
      <c r="R44" s="158"/>
      <c r="S44" s="294"/>
      <c r="T44" s="294"/>
      <c r="U44" s="294"/>
      <c r="V44" s="294"/>
      <c r="W44" s="135">
        <v>0</v>
      </c>
    </row>
    <row r="45" spans="1:23">
      <c r="A45" s="472"/>
      <c r="B45" s="1" t="s">
        <v>41</v>
      </c>
      <c r="C45" s="335">
        <f>E52</f>
        <v>1.0281731259785394</v>
      </c>
      <c r="D45" s="472"/>
      <c r="E45" s="54"/>
      <c r="F45" s="474"/>
      <c r="G45" s="17">
        <f t="shared" si="0"/>
        <v>1.0281731259785394</v>
      </c>
      <c r="H45" s="472"/>
      <c r="I45" s="48"/>
      <c r="J45" s="52"/>
      <c r="K45" s="48"/>
      <c r="L45" s="48"/>
      <c r="M45" s="48"/>
      <c r="N45" s="48"/>
      <c r="O45" s="48"/>
      <c r="P45" s="53"/>
      <c r="R45" s="158"/>
      <c r="S45" s="136">
        <v>0</v>
      </c>
      <c r="T45" s="135">
        <v>0</v>
      </c>
      <c r="U45" s="136">
        <v>0</v>
      </c>
      <c r="V45" s="160">
        <v>0</v>
      </c>
      <c r="W45" s="135">
        <v>0</v>
      </c>
    </row>
    <row r="46" spans="1:23">
      <c r="A46" s="473"/>
      <c r="B46" s="1" t="s">
        <v>42</v>
      </c>
      <c r="C46" s="41">
        <f>'Bilan enerdata v2206_2020'!B18-C34-C18+I46</f>
        <v>3.2863683234402234</v>
      </c>
      <c r="D46" s="473"/>
      <c r="E46" s="55"/>
      <c r="F46" s="475"/>
      <c r="G46" s="17">
        <f>C46-E46</f>
        <v>3.2863683234402234</v>
      </c>
      <c r="H46" s="473"/>
      <c r="I46" s="331"/>
      <c r="J46" s="52"/>
      <c r="K46" s="48"/>
      <c r="L46" s="48"/>
      <c r="M46" s="48"/>
      <c r="N46" s="48"/>
      <c r="O46" s="48"/>
      <c r="P46" s="56">
        <f>G46-I466-E51</f>
        <v>0.32432046758625255</v>
      </c>
      <c r="R46" s="161"/>
      <c r="S46" s="162">
        <f>'Bilan enerdata v2206_2020'!B37</f>
        <v>2.2137192704974398E-3</v>
      </c>
      <c r="T46" s="163">
        <f>'Bilan enerdata v2206_2020'!B33</f>
        <v>0.32210674831575531</v>
      </c>
      <c r="U46" s="164">
        <f>'Bilan enerdata v2206_2020'!B35</f>
        <v>0</v>
      </c>
      <c r="V46" s="165">
        <f>'Bilan enerdata v2206_2020'!B36</f>
        <v>0</v>
      </c>
      <c r="W46" s="166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7">
        <f>SUM(E51:E53)</f>
        <v>15.651036412220183</v>
      </c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 v2206_2020'!B28+'Bilan enerdata v2206_2020'!B39</f>
        <v>2.9620478558539709</v>
      </c>
      <c r="F51" s="328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15.651036412220183</v>
      </c>
    </row>
    <row r="52" spans="1:18">
      <c r="A52" s="22"/>
      <c r="B52" s="1" t="s">
        <v>41</v>
      </c>
      <c r="C52" s="69"/>
      <c r="D52" s="17"/>
      <c r="E52" s="70">
        <f>'Bilan enerdata v2206_2020'!E39</f>
        <v>1.0281731259785394</v>
      </c>
      <c r="F52" s="328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 v2206_2020'!D28+'Bilan enerdata v2206_2020'!D39</f>
        <v>11.660815430387672</v>
      </c>
      <c r="F53" s="328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6">
    <mergeCell ref="H36:H46"/>
    <mergeCell ref="A36:A46"/>
    <mergeCell ref="N26:N32"/>
    <mergeCell ref="O26:O32"/>
    <mergeCell ref="P26:P32"/>
    <mergeCell ref="D26:D34"/>
    <mergeCell ref="D36:D46"/>
    <mergeCell ref="F36:F46"/>
    <mergeCell ref="L21:L24"/>
    <mergeCell ref="M21:M24"/>
    <mergeCell ref="A26:A32"/>
    <mergeCell ref="F26:F32"/>
    <mergeCell ref="H26:H32"/>
    <mergeCell ref="J26:J32"/>
    <mergeCell ref="K26:K32"/>
    <mergeCell ref="L26:L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W53"/>
  <sheetViews>
    <sheetView topLeftCell="A22" workbookViewId="0">
      <selection activeCell="E52" sqref="E52"/>
    </sheetView>
  </sheetViews>
  <sheetFormatPr baseColWidth="10" defaultRowHeight="15"/>
  <cols>
    <col min="1" max="1" width="11.42578125" style="300"/>
    <col min="2" max="2" width="25.85546875" style="300" customWidth="1"/>
    <col min="3" max="17" width="11.42578125" style="300"/>
    <col min="18" max="23" width="11.42578125" style="22"/>
    <col min="24" max="16384" width="11.42578125" style="300"/>
  </cols>
  <sheetData>
    <row r="1" spans="1:23">
      <c r="A1" s="1"/>
      <c r="B1" s="1"/>
      <c r="C1" s="490" t="s">
        <v>0</v>
      </c>
      <c r="D1" s="490"/>
      <c r="E1" s="490"/>
      <c r="F1" s="490"/>
      <c r="G1" s="490"/>
      <c r="H1" s="490"/>
      <c r="I1" s="2"/>
      <c r="J1" s="491" t="s">
        <v>1</v>
      </c>
      <c r="K1" s="491"/>
      <c r="L1" s="491"/>
      <c r="M1" s="491"/>
      <c r="N1" s="491"/>
      <c r="O1" s="491"/>
      <c r="P1" s="491"/>
    </row>
    <row r="2" spans="1:23">
      <c r="A2" s="1"/>
      <c r="B2" s="1"/>
      <c r="C2" s="493" t="s">
        <v>2</v>
      </c>
      <c r="D2" s="503"/>
      <c r="E2" s="495" t="s">
        <v>3</v>
      </c>
      <c r="F2" s="494"/>
      <c r="G2" s="494"/>
      <c r="H2" s="494"/>
      <c r="I2" s="3"/>
      <c r="J2" s="504" t="s">
        <v>4</v>
      </c>
      <c r="K2" s="498" t="s">
        <v>5</v>
      </c>
      <c r="L2" s="496"/>
      <c r="M2" s="496"/>
      <c r="N2" s="496"/>
      <c r="O2" s="496"/>
      <c r="P2" s="504"/>
      <c r="R2" s="109"/>
      <c r="S2" s="110"/>
      <c r="T2" s="109"/>
      <c r="U2" s="111" t="s">
        <v>90</v>
      </c>
      <c r="V2" s="110"/>
      <c r="W2" s="112"/>
    </row>
    <row r="3" spans="1:23" ht="51">
      <c r="A3" s="4"/>
      <c r="B3" s="4"/>
      <c r="C3" s="5"/>
      <c r="D3" s="5"/>
      <c r="E3" s="6" t="s">
        <v>6</v>
      </c>
      <c r="F3" s="7"/>
      <c r="G3" s="501" t="s">
        <v>7</v>
      </c>
      <c r="H3" s="505"/>
      <c r="I3" s="8" t="s">
        <v>75</v>
      </c>
      <c r="J3" s="504"/>
      <c r="K3" s="498"/>
      <c r="L3" s="496"/>
      <c r="M3" s="496"/>
      <c r="N3" s="496"/>
      <c r="O3" s="496"/>
      <c r="P3" s="504"/>
      <c r="R3" s="113"/>
      <c r="S3" s="114"/>
      <c r="T3" s="114"/>
      <c r="U3" s="114"/>
      <c r="V3" s="114"/>
      <c r="W3" s="112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504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5" t="s">
        <v>10</v>
      </c>
      <c r="S4" s="115" t="s">
        <v>91</v>
      </c>
      <c r="T4" s="115" t="s">
        <v>92</v>
      </c>
      <c r="U4" s="116" t="s">
        <v>93</v>
      </c>
      <c r="V4" s="117" t="s">
        <v>94</v>
      </c>
      <c r="W4" s="117" t="s">
        <v>95</v>
      </c>
    </row>
    <row r="5" spans="1:23">
      <c r="A5" s="17"/>
      <c r="B5" s="18"/>
      <c r="C5" s="19">
        <f>SUM(C7:C46)-N23-O23</f>
        <v>225.87062615290012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119.13739637592057</v>
      </c>
      <c r="R5" s="118">
        <f>SUM(R13,R23,R26:R32,R42)</f>
        <v>119.15444925828045</v>
      </c>
      <c r="S5" s="118">
        <f>SUM(S7:S46)</f>
        <v>4.0403735582386053</v>
      </c>
      <c r="T5" s="118">
        <f>SUM(T7:T46)</f>
        <v>25.234410273428388</v>
      </c>
      <c r="U5" s="118">
        <f>SUM(U7:U46)</f>
        <v>29.481257320002321</v>
      </c>
      <c r="V5" s="297">
        <f>SUM(V7:V46)</f>
        <v>21.237693287713839</v>
      </c>
      <c r="W5" s="118">
        <f>SUM(W7:W46)</f>
        <v>39.160714818897304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9"/>
      <c r="S6" s="1"/>
      <c r="T6" s="1"/>
      <c r="U6" s="1"/>
      <c r="V6" s="1"/>
      <c r="W6" s="1"/>
    </row>
    <row r="7" spans="1:23">
      <c r="A7" s="486" t="s">
        <v>15</v>
      </c>
      <c r="B7" s="1" t="s">
        <v>17</v>
      </c>
      <c r="C7" s="17">
        <f>'Mix énergie_2025'!I14*'Mix énergie_2025'!L14/11.63</f>
        <v>6.706792777300099</v>
      </c>
      <c r="D7" s="506">
        <f>SUM(C7:C19)</f>
        <v>125.49846015899625</v>
      </c>
      <c r="E7" s="30"/>
      <c r="F7" s="488">
        <f>SUM(E7:E19)</f>
        <v>74.7424969277819</v>
      </c>
      <c r="G7" s="17">
        <f>C7-E7</f>
        <v>6.706792777300099</v>
      </c>
      <c r="H7" s="488">
        <f>SUM(G7:G19)</f>
        <v>50.755963231214359</v>
      </c>
      <c r="I7" s="22"/>
      <c r="J7" s="506">
        <f>H7-I13</f>
        <v>48.399471399744023</v>
      </c>
      <c r="K7" s="31"/>
      <c r="L7" s="31"/>
      <c r="M7" s="31"/>
      <c r="N7" s="32"/>
      <c r="O7" s="33"/>
      <c r="P7" s="502">
        <f>J7-K12-L12-M12</f>
        <v>37.7230700164084</v>
      </c>
      <c r="R7" s="120"/>
      <c r="S7" s="121"/>
      <c r="T7" s="122"/>
      <c r="U7" s="123"/>
      <c r="V7" s="122"/>
      <c r="W7" s="123"/>
    </row>
    <row r="8" spans="1:23">
      <c r="A8" s="486"/>
      <c r="B8" s="1" t="s">
        <v>18</v>
      </c>
      <c r="C8" s="17">
        <f>'Mix énergie_2025'!H14*'Mix énergie_2025'!L14/11.63</f>
        <v>5.3310404127257307</v>
      </c>
      <c r="D8" s="506"/>
      <c r="E8" s="30">
        <f>C8-G8</f>
        <v>0.53310404127257272</v>
      </c>
      <c r="F8" s="488"/>
      <c r="G8" s="17">
        <f>0.9*C8</f>
        <v>4.797936371453158</v>
      </c>
      <c r="H8" s="488"/>
      <c r="I8" s="22"/>
      <c r="J8" s="506"/>
      <c r="K8" s="31"/>
      <c r="L8" s="31"/>
      <c r="M8" s="31"/>
      <c r="N8" s="32"/>
      <c r="O8" s="33"/>
      <c r="P8" s="502"/>
      <c r="R8" s="124"/>
      <c r="S8" s="125"/>
      <c r="T8" s="126"/>
      <c r="U8" s="127"/>
      <c r="V8" s="126"/>
      <c r="W8" s="127"/>
    </row>
    <row r="9" spans="1:23">
      <c r="A9" s="486"/>
      <c r="B9" s="1" t="s">
        <v>19</v>
      </c>
      <c r="C9" s="17">
        <f>'Mix énergie_2025'!J14*'Mix énergie_2025'!L14/11.63</f>
        <v>2.923473774720549</v>
      </c>
      <c r="D9" s="506"/>
      <c r="E9" s="30"/>
      <c r="F9" s="488"/>
      <c r="G9" s="17">
        <f t="shared" ref="G9:G45" si="0">C9-E9</f>
        <v>2.923473774720549</v>
      </c>
      <c r="H9" s="488"/>
      <c r="I9" s="22"/>
      <c r="J9" s="506"/>
      <c r="K9" s="31"/>
      <c r="L9" s="31"/>
      <c r="M9" s="31"/>
      <c r="N9" s="32"/>
      <c r="O9" s="33"/>
      <c r="P9" s="502"/>
      <c r="R9" s="124"/>
      <c r="S9" s="125"/>
      <c r="T9" s="126"/>
      <c r="U9" s="127"/>
      <c r="V9" s="126"/>
      <c r="W9" s="127"/>
    </row>
    <row r="10" spans="1:23">
      <c r="A10" s="486"/>
      <c r="B10" s="1" t="s">
        <v>20</v>
      </c>
      <c r="C10" s="17">
        <f>'Bilan enerdata v2206_2025'!F12</f>
        <v>103.91274338838639</v>
      </c>
      <c r="D10" s="506"/>
      <c r="E10" s="325">
        <f>C10*(1-0.32)</f>
        <v>70.660665504102738</v>
      </c>
      <c r="F10" s="488"/>
      <c r="G10" s="30">
        <f>C10-E10</f>
        <v>33.252077884283651</v>
      </c>
      <c r="H10" s="488"/>
      <c r="I10" s="22"/>
      <c r="J10" s="506"/>
      <c r="K10" s="31"/>
      <c r="L10" s="31"/>
      <c r="M10" s="31"/>
      <c r="N10" s="32"/>
      <c r="O10" s="33"/>
      <c r="P10" s="502"/>
      <c r="R10" s="124"/>
      <c r="S10" s="125"/>
      <c r="T10" s="126"/>
      <c r="U10" s="127"/>
      <c r="V10" s="126"/>
      <c r="W10" s="127"/>
    </row>
    <row r="11" spans="1:23">
      <c r="A11" s="486"/>
      <c r="B11" s="1" t="s">
        <v>21</v>
      </c>
      <c r="C11" s="17">
        <f>'Mix énergie_2025'!F14*'Mix énergie_2025'!L14/11.63</f>
        <v>0</v>
      </c>
      <c r="D11" s="506"/>
      <c r="E11" s="30"/>
      <c r="F11" s="488"/>
      <c r="G11" s="17">
        <f>C11-E11</f>
        <v>0</v>
      </c>
      <c r="H11" s="488"/>
      <c r="I11" s="22"/>
      <c r="J11" s="506"/>
      <c r="K11" s="31"/>
      <c r="L11" s="31"/>
      <c r="M11" s="31"/>
      <c r="N11" s="32"/>
      <c r="O11" s="33"/>
      <c r="P11" s="502"/>
      <c r="R11" s="124"/>
      <c r="S11" s="125"/>
      <c r="T11" s="126"/>
      <c r="U11" s="127"/>
      <c r="V11" s="126"/>
      <c r="W11" s="127"/>
    </row>
    <row r="12" spans="1:23">
      <c r="A12" s="486"/>
      <c r="B12" s="1" t="s">
        <v>22</v>
      </c>
      <c r="C12" s="318">
        <f>'Bilan enerdata v2206_2025'!H22+'Bilan enerdata v2206_2025'!H23*0.36-C13</f>
        <v>1.7180820758374684</v>
      </c>
      <c r="D12" s="506"/>
      <c r="E12" s="30">
        <f>C12-G12</f>
        <v>1.1167533492943544</v>
      </c>
      <c r="F12" s="488"/>
      <c r="G12" s="17">
        <f>0.35*C12</f>
        <v>0.60132872654311387</v>
      </c>
      <c r="H12" s="488"/>
      <c r="I12" s="22"/>
      <c r="J12" s="506"/>
      <c r="K12" s="31">
        <f>'Bilan enerdata v2206_2025'!I30</f>
        <v>3.2860783026088267</v>
      </c>
      <c r="L12" s="31">
        <f>-('Bilan enerdata v2206_2025'!I14+'Bilan enerdata v2206_2025'!I13)</f>
        <v>6.8529198133149265</v>
      </c>
      <c r="M12" s="31">
        <f>'Bilan enerdata v2206_2025'!I27</f>
        <v>0.53740326741186584</v>
      </c>
      <c r="N12" s="32">
        <v>0</v>
      </c>
      <c r="O12" s="33">
        <v>0</v>
      </c>
      <c r="P12" s="502"/>
      <c r="R12" s="124"/>
      <c r="S12" s="125"/>
      <c r="T12" s="126"/>
      <c r="U12" s="127"/>
      <c r="V12" s="126"/>
      <c r="W12" s="127"/>
    </row>
    <row r="13" spans="1:23">
      <c r="A13" s="486"/>
      <c r="B13" s="1" t="s">
        <v>23</v>
      </c>
      <c r="C13" s="316">
        <v>0.7</v>
      </c>
      <c r="D13" s="506"/>
      <c r="E13" s="30">
        <f>C13-G13</f>
        <v>0.45499999999999996</v>
      </c>
      <c r="F13" s="488"/>
      <c r="G13" s="17">
        <f>0.35*C13</f>
        <v>0.24499999999999997</v>
      </c>
      <c r="H13" s="488"/>
      <c r="I13" s="326">
        <f>'Bilan enerdata v2206_2025'!I29</f>
        <v>2.3564918314703358</v>
      </c>
      <c r="J13" s="506"/>
      <c r="K13" s="31"/>
      <c r="L13" s="31"/>
      <c r="M13" s="31"/>
      <c r="N13" s="32"/>
      <c r="O13" s="33"/>
      <c r="P13" s="502"/>
      <c r="R13" s="124">
        <f>SUM(S7:W19)</f>
        <v>37.698500594308399</v>
      </c>
      <c r="S13" s="128">
        <f>'Bilan enerdata v2206_2025'!I37</f>
        <v>0.73170616791472998</v>
      </c>
      <c r="T13" s="126">
        <f>'Bilan enerdata v2206_2025'!I33</f>
        <v>9.9189000147829578</v>
      </c>
      <c r="U13" s="126">
        <f>'Bilan enerdata v2206_2025'!I35</f>
        <v>12.545996400325794</v>
      </c>
      <c r="V13" s="126">
        <f>'Bilan enerdata v2206_2025'!I36</f>
        <v>12.383405198063125</v>
      </c>
      <c r="W13" s="126">
        <f>'Bilan enerdata v2206_2025'!I34</f>
        <v>2.1184928132217893</v>
      </c>
    </row>
    <row r="14" spans="1:23">
      <c r="A14" s="486"/>
      <c r="B14" s="1" t="s">
        <v>24</v>
      </c>
      <c r="C14" s="17">
        <v>0</v>
      </c>
      <c r="D14" s="506"/>
      <c r="E14" s="30"/>
      <c r="F14" s="488"/>
      <c r="G14" s="17"/>
      <c r="H14" s="488"/>
      <c r="I14" s="22"/>
      <c r="J14" s="506"/>
      <c r="K14" s="31"/>
      <c r="L14" s="31"/>
      <c r="M14" s="31"/>
      <c r="N14" s="32"/>
      <c r="O14" s="33"/>
      <c r="P14" s="502"/>
      <c r="R14" s="124"/>
      <c r="S14" s="125"/>
      <c r="T14" s="126"/>
      <c r="U14" s="127"/>
      <c r="V14" s="126"/>
      <c r="W14" s="127"/>
    </row>
    <row r="15" spans="1:23">
      <c r="A15" s="486"/>
      <c r="B15" s="1" t="s">
        <v>25</v>
      </c>
      <c r="C15" s="17">
        <v>0</v>
      </c>
      <c r="D15" s="506"/>
      <c r="E15" s="30"/>
      <c r="F15" s="488"/>
      <c r="G15" s="17"/>
      <c r="H15" s="488"/>
      <c r="I15" s="22"/>
      <c r="J15" s="506"/>
      <c r="K15" s="31"/>
      <c r="L15" s="31"/>
      <c r="M15" s="31"/>
      <c r="N15" s="32"/>
      <c r="O15" s="33"/>
      <c r="P15" s="502"/>
      <c r="R15" s="124"/>
      <c r="S15" s="125"/>
      <c r="T15" s="126"/>
      <c r="U15" s="127"/>
      <c r="V15" s="126"/>
      <c r="W15" s="127"/>
    </row>
    <row r="16" spans="1:23">
      <c r="A16" s="486"/>
      <c r="B16" s="1" t="s">
        <v>26</v>
      </c>
      <c r="C16" s="17">
        <v>0</v>
      </c>
      <c r="D16" s="506"/>
      <c r="E16" s="30"/>
      <c r="F16" s="488"/>
      <c r="G16" s="17"/>
      <c r="H16" s="488"/>
      <c r="I16" s="22"/>
      <c r="J16" s="506"/>
      <c r="K16" s="31"/>
      <c r="L16" s="31"/>
      <c r="M16" s="31"/>
      <c r="N16" s="32"/>
      <c r="O16" s="33"/>
      <c r="P16" s="502"/>
      <c r="R16" s="124"/>
      <c r="S16" s="125"/>
      <c r="T16" s="126"/>
      <c r="U16" s="127"/>
      <c r="V16" s="126"/>
      <c r="W16" s="127"/>
    </row>
    <row r="17" spans="1:23">
      <c r="A17" s="486"/>
      <c r="B17" s="1" t="s">
        <v>27</v>
      </c>
      <c r="C17" s="17">
        <f>'Bilan enerdata v2206_2025'!D22+0.36*'Bilan enerdata v2206_2025'!D23</f>
        <v>0</v>
      </c>
      <c r="D17" s="506"/>
      <c r="E17" s="30">
        <f t="shared" ref="E17:E18" si="1">C17-G17</f>
        <v>0</v>
      </c>
      <c r="F17" s="488"/>
      <c r="G17" s="17">
        <f>0.4*C17</f>
        <v>0</v>
      </c>
      <c r="H17" s="488"/>
      <c r="I17" s="22"/>
      <c r="J17" s="506"/>
      <c r="K17" s="31"/>
      <c r="L17" s="31"/>
      <c r="M17" s="31"/>
      <c r="N17" s="32"/>
      <c r="O17" s="33"/>
      <c r="P17" s="502"/>
      <c r="R17" s="124"/>
      <c r="S17" s="125"/>
      <c r="T17" s="126"/>
      <c r="U17" s="127"/>
      <c r="V17" s="126"/>
      <c r="W17" s="127"/>
    </row>
    <row r="18" spans="1:23">
      <c r="A18" s="486"/>
      <c r="B18" s="1" t="s">
        <v>28</v>
      </c>
      <c r="C18" s="17">
        <f>'Bilan enerdata v2206_2025'!B22+0.36*'Bilan enerdata v2206_2025'!B23</f>
        <v>0</v>
      </c>
      <c r="D18" s="506"/>
      <c r="E18" s="30">
        <f t="shared" si="1"/>
        <v>0</v>
      </c>
      <c r="F18" s="488"/>
      <c r="G18" s="17">
        <f>0.25*C18</f>
        <v>0</v>
      </c>
      <c r="H18" s="488"/>
      <c r="I18" s="22"/>
      <c r="J18" s="506"/>
      <c r="K18" s="31"/>
      <c r="L18" s="31"/>
      <c r="M18" s="31"/>
      <c r="N18" s="32"/>
      <c r="O18" s="33"/>
      <c r="P18" s="502"/>
      <c r="R18" s="124"/>
      <c r="S18" s="125"/>
      <c r="T18" s="126"/>
      <c r="U18" s="127"/>
      <c r="V18" s="126"/>
      <c r="W18" s="127"/>
    </row>
    <row r="19" spans="1:23">
      <c r="A19" s="486"/>
      <c r="B19" s="317" t="s">
        <v>262</v>
      </c>
      <c r="C19" s="17">
        <f>'Bilan enerdata v2206_2025'!E22+0.36*'Bilan enerdata v2206_2025'!E23</f>
        <v>4.20632773002602</v>
      </c>
      <c r="D19" s="506"/>
      <c r="E19" s="30">
        <f>C19-G19</f>
        <v>1.9769740331122292</v>
      </c>
      <c r="F19" s="488"/>
      <c r="G19" s="17">
        <f>0.53*C19</f>
        <v>2.2293536969137908</v>
      </c>
      <c r="H19" s="488"/>
      <c r="I19" s="22"/>
      <c r="J19" s="506"/>
      <c r="K19" s="31"/>
      <c r="L19" s="31"/>
      <c r="M19" s="31"/>
      <c r="N19" s="32"/>
      <c r="O19" s="33"/>
      <c r="P19" s="502"/>
      <c r="R19" s="129"/>
      <c r="S19" s="130"/>
      <c r="T19" s="131"/>
      <c r="U19" s="132"/>
      <c r="V19" s="131"/>
      <c r="W19" s="132"/>
    </row>
    <row r="20" spans="1:23">
      <c r="A20" s="1"/>
      <c r="B20" s="1"/>
      <c r="C20" s="35"/>
      <c r="D20" s="36"/>
      <c r="E20" s="17"/>
      <c r="F20" s="36"/>
      <c r="G20" s="36"/>
      <c r="H20" s="36">
        <f>-'Bilan enerdata v2206_2025'!I22</f>
        <v>50.696999999999996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481" t="s">
        <v>13</v>
      </c>
      <c r="B21" s="1" t="s">
        <v>21</v>
      </c>
      <c r="C21" s="17">
        <f>-'Bilan enerdata v2206_2025'!E25</f>
        <v>1.7065743144940571</v>
      </c>
      <c r="D21" s="509">
        <f>SUM(C21:C24)</f>
        <v>33.424443973050707</v>
      </c>
      <c r="E21" s="22"/>
      <c r="F21" s="482"/>
      <c r="G21" s="17">
        <f t="shared" si="0"/>
        <v>1.7065743144940571</v>
      </c>
      <c r="H21" s="484">
        <f>SUM(G21:G24)</f>
        <v>31.608682192452171</v>
      </c>
      <c r="I21" s="17"/>
      <c r="J21" s="482">
        <f>H21-I22</f>
        <v>31.608682192452171</v>
      </c>
      <c r="K21" s="507">
        <f>'Bilan enerdata v2206_2025'!E30</f>
        <v>0.40459209271542057</v>
      </c>
      <c r="L21" s="507"/>
      <c r="M21" s="507">
        <v>0</v>
      </c>
      <c r="N21" s="38"/>
      <c r="O21" s="38"/>
      <c r="P21" s="38"/>
      <c r="R21" s="138"/>
      <c r="S21" s="139"/>
      <c r="T21" s="140"/>
      <c r="U21" s="140"/>
      <c r="V21" s="140"/>
      <c r="W21" s="139"/>
    </row>
    <row r="22" spans="1:23">
      <c r="A22" s="481"/>
      <c r="B22" s="1" t="s">
        <v>30</v>
      </c>
      <c r="C22" s="17"/>
      <c r="D22" s="509"/>
      <c r="E22" s="22"/>
      <c r="F22" s="482"/>
      <c r="G22" s="17">
        <f t="shared" si="0"/>
        <v>0</v>
      </c>
      <c r="H22" s="484"/>
      <c r="I22" s="329"/>
      <c r="J22" s="482"/>
      <c r="K22" s="507"/>
      <c r="L22" s="507"/>
      <c r="M22" s="507"/>
      <c r="N22" s="39"/>
      <c r="O22" s="40"/>
      <c r="P22" s="40"/>
      <c r="R22" s="141"/>
      <c r="S22" s="40"/>
      <c r="T22" s="39"/>
      <c r="U22" s="39"/>
      <c r="V22" s="39"/>
      <c r="W22" s="40"/>
    </row>
    <row r="23" spans="1:23">
      <c r="A23" s="481"/>
      <c r="B23" s="1" t="s">
        <v>31</v>
      </c>
      <c r="C23" s="17">
        <f>'Bilan enerdata v2206_2025'!I27-'Bilan enerdata v2206_2025'!K39</f>
        <v>0.15047291487532244</v>
      </c>
      <c r="D23" s="509"/>
      <c r="E23" s="41">
        <f>'Bilan enerdata v2206_2025'!K28+'Bilan enerdata v2206_2025'!L27</f>
        <v>0.15047291487532244</v>
      </c>
      <c r="F23" s="482"/>
      <c r="G23" s="17">
        <f t="shared" si="0"/>
        <v>0</v>
      </c>
      <c r="H23" s="484"/>
      <c r="I23" s="17"/>
      <c r="J23" s="482"/>
      <c r="K23" s="507"/>
      <c r="L23" s="507"/>
      <c r="M23" s="507"/>
      <c r="N23" s="39">
        <f>C32</f>
        <v>1.2147336798111752</v>
      </c>
      <c r="O23" s="40">
        <f>C19</f>
        <v>4.20632773002602</v>
      </c>
      <c r="P23" s="40">
        <f>J21-N23-O23-K21</f>
        <v>25.783028689899556</v>
      </c>
      <c r="R23" s="141">
        <f>SUM(S23:W23)</f>
        <v>25.783028689899556</v>
      </c>
      <c r="S23" s="142">
        <f>'Bilan enerdata v2206_2025'!E37</f>
        <v>0.41</v>
      </c>
      <c r="T23" s="142">
        <f>'Bilan enerdata v2206_2025'!E33</f>
        <v>10.500396800049039</v>
      </c>
      <c r="U23" s="142">
        <f>'Bilan enerdata v2206_2025'!E35</f>
        <v>9.6715864226456425</v>
      </c>
      <c r="V23" s="142">
        <f>'Bilan enerdata v2206_2025'!E36</f>
        <v>4.7420165632308739</v>
      </c>
      <c r="W23" s="142">
        <f>'Bilan enerdata v2206_2025'!E34</f>
        <v>0.45902890397400081</v>
      </c>
    </row>
    <row r="24" spans="1:23">
      <c r="A24" s="481"/>
      <c r="B24" s="1" t="s">
        <v>32</v>
      </c>
      <c r="C24" s="17">
        <f>'Bilan enerdata v2206_2025'!E18+'Bilan enerdata v2206_2025'!E17-'Bilan enerdata v2206_2025'!E39</f>
        <v>31.567396743681325</v>
      </c>
      <c r="D24" s="509"/>
      <c r="E24" s="41">
        <f>'Bilan enerdata v2206_2025'!E29+'Bilan enerdata v2206_2025'!E26</f>
        <v>1.6652888657232099</v>
      </c>
      <c r="F24" s="482"/>
      <c r="G24" s="17">
        <f t="shared" si="0"/>
        <v>29.902107877958116</v>
      </c>
      <c r="H24" s="484"/>
      <c r="I24" s="42"/>
      <c r="J24" s="482"/>
      <c r="K24" s="507"/>
      <c r="L24" s="507"/>
      <c r="M24" s="507"/>
      <c r="N24" s="39"/>
      <c r="O24" s="40"/>
      <c r="P24" s="40"/>
      <c r="R24" s="143"/>
      <c r="S24" s="144"/>
      <c r="T24" s="145"/>
      <c r="U24" s="145"/>
      <c r="V24" s="145"/>
      <c r="W24" s="144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3"/>
      <c r="U25" s="133"/>
      <c r="V25" s="133"/>
      <c r="W25" s="64"/>
    </row>
    <row r="26" spans="1:23">
      <c r="A26" s="477" t="s">
        <v>14</v>
      </c>
      <c r="B26" s="1" t="s">
        <v>21</v>
      </c>
      <c r="C26" s="43">
        <f>-'Mix énergie_2025'!F5*'Mix énergie_2025'!L5/11.63</f>
        <v>0</v>
      </c>
      <c r="D26" s="510">
        <f>SUM(C26:C34)</f>
        <v>5.0543795496742412</v>
      </c>
      <c r="E26" s="43">
        <f>C26*0.09</f>
        <v>0</v>
      </c>
      <c r="F26" s="479"/>
      <c r="G26" s="41">
        <f t="shared" ref="G26:G31" si="2">C26-E26</f>
        <v>0</v>
      </c>
      <c r="H26" s="479">
        <f>SUM(G26:G34)</f>
        <v>4.5994853902035588</v>
      </c>
      <c r="I26" s="1"/>
      <c r="J26" s="508">
        <f>H26</f>
        <v>4.5994853902035588</v>
      </c>
      <c r="K26" s="470">
        <f>'Bilan enerdata v2206_2025'!J30</f>
        <v>0.95699744896004757</v>
      </c>
      <c r="L26" s="327"/>
      <c r="M26" s="470"/>
      <c r="N26" s="149"/>
      <c r="O26" s="150"/>
      <c r="P26" s="511">
        <f>J26-K26-M26</f>
        <v>3.6424879412435112</v>
      </c>
      <c r="R26" s="146"/>
      <c r="S26" s="146"/>
      <c r="T26" s="146"/>
      <c r="U26" s="146"/>
      <c r="V26" s="147"/>
      <c r="W26" s="146"/>
    </row>
    <row r="27" spans="1:23">
      <c r="A27" s="477"/>
      <c r="B27" s="1" t="s">
        <v>22</v>
      </c>
      <c r="C27" s="319">
        <v>0.6</v>
      </c>
      <c r="D27" s="510"/>
      <c r="E27" s="43">
        <f t="shared" ref="E27:E34" si="3">C27*0.09</f>
        <v>5.3999999999999999E-2</v>
      </c>
      <c r="F27" s="479"/>
      <c r="G27" s="41">
        <f t="shared" si="2"/>
        <v>0.54599999999999993</v>
      </c>
      <c r="H27" s="479"/>
      <c r="I27" s="329"/>
      <c r="J27" s="508"/>
      <c r="K27" s="470"/>
      <c r="L27" s="327"/>
      <c r="M27" s="470"/>
      <c r="N27" s="149"/>
      <c r="O27" s="150"/>
      <c r="P27" s="511"/>
      <c r="R27" s="148"/>
      <c r="S27" s="149"/>
      <c r="T27" s="149"/>
      <c r="U27" s="149"/>
      <c r="V27" s="150"/>
      <c r="W27" s="149"/>
    </row>
    <row r="28" spans="1:23">
      <c r="A28" s="477"/>
      <c r="B28" s="1" t="s">
        <v>26</v>
      </c>
      <c r="C28" s="43">
        <f>('Mix énergie_2025'!J5*'Mix énergie_2025'!L5/11.63)</f>
        <v>0.47013826171410583</v>
      </c>
      <c r="D28" s="510"/>
      <c r="E28" s="43">
        <f t="shared" si="3"/>
        <v>4.2312443554269524E-2</v>
      </c>
      <c r="F28" s="479"/>
      <c r="G28" s="41">
        <f>C28-E28</f>
        <v>0.42782581815983634</v>
      </c>
      <c r="H28" s="479"/>
      <c r="I28" s="1"/>
      <c r="J28" s="508"/>
      <c r="K28" s="470"/>
      <c r="L28" s="327"/>
      <c r="M28" s="470"/>
      <c r="N28" s="149"/>
      <c r="O28" s="150"/>
      <c r="P28" s="511"/>
      <c r="R28" s="148"/>
      <c r="S28" s="149"/>
      <c r="T28" s="149"/>
      <c r="U28" s="149"/>
      <c r="V28" s="150"/>
      <c r="W28" s="149"/>
    </row>
    <row r="29" spans="1:23">
      <c r="A29" s="477"/>
      <c r="B29" s="1" t="s">
        <v>23</v>
      </c>
      <c r="C29" s="319">
        <f>('Bilan enerdata v2206_2025'!H24+'Bilan enerdata v2206_2025'!H23*0.64-C30)-C27</f>
        <v>2.4026623297075238</v>
      </c>
      <c r="D29" s="510"/>
      <c r="E29" s="43">
        <f t="shared" si="3"/>
        <v>0.21623960967367714</v>
      </c>
      <c r="F29" s="479"/>
      <c r="G29" s="41">
        <f t="shared" si="2"/>
        <v>2.1864227200338466</v>
      </c>
      <c r="H29" s="479"/>
      <c r="I29" s="1"/>
      <c r="J29" s="508"/>
      <c r="K29" s="470"/>
      <c r="L29" s="327"/>
      <c r="M29" s="470"/>
      <c r="N29" s="149"/>
      <c r="O29" s="150"/>
      <c r="P29" s="511"/>
      <c r="R29" s="151">
        <f>SUM(S29:W29)</f>
        <v>3.6330927621837534</v>
      </c>
      <c r="S29" s="152">
        <f>'Bilan enerdata v2206_2025'!J37</f>
        <v>6.4536710533781346E-3</v>
      </c>
      <c r="T29" s="152">
        <f>'Bilan enerdata v2206_2025'!J33</f>
        <v>1.0888044989932395</v>
      </c>
      <c r="U29" s="152">
        <f>'Bilan enerdata v2206_2025'!J35</f>
        <v>1.7548492723748692</v>
      </c>
      <c r="V29" s="152">
        <f>'Bilan enerdata v2206_2025'!J36</f>
        <v>0.78298531976226649</v>
      </c>
      <c r="W29" s="152">
        <f>'Bilan enerdata v2206_2025'!J34</f>
        <v>0</v>
      </c>
    </row>
    <row r="30" spans="1:23">
      <c r="A30" s="477"/>
      <c r="B30" s="1" t="s">
        <v>24</v>
      </c>
      <c r="C30" s="320">
        <f>('Mix énergie_2025'!K5*'Mix énergie_2025'!L5/11.63)</f>
        <v>0.31342550780940392</v>
      </c>
      <c r="D30" s="510"/>
      <c r="E30" s="43">
        <f t="shared" si="3"/>
        <v>2.8208295702846352E-2</v>
      </c>
      <c r="F30" s="479"/>
      <c r="G30" s="41">
        <f t="shared" si="2"/>
        <v>0.28521721210655759</v>
      </c>
      <c r="H30" s="479"/>
      <c r="I30" s="1"/>
      <c r="J30" s="508"/>
      <c r="K30" s="470"/>
      <c r="L30" s="327"/>
      <c r="M30" s="470"/>
      <c r="N30" s="149"/>
      <c r="O30" s="150"/>
      <c r="P30" s="511"/>
      <c r="R30" s="148"/>
      <c r="S30" s="149"/>
      <c r="T30" s="149"/>
      <c r="U30" s="149"/>
      <c r="V30" s="150"/>
      <c r="W30" s="149"/>
    </row>
    <row r="31" spans="1:23">
      <c r="A31" s="477"/>
      <c r="B31" s="1" t="s">
        <v>33</v>
      </c>
      <c r="C31" s="320">
        <v>0</v>
      </c>
      <c r="D31" s="510"/>
      <c r="E31" s="43">
        <f t="shared" si="3"/>
        <v>0</v>
      </c>
      <c r="F31" s="479"/>
      <c r="G31" s="41">
        <f t="shared" si="2"/>
        <v>0</v>
      </c>
      <c r="H31" s="479"/>
      <c r="I31" s="1"/>
      <c r="J31" s="508"/>
      <c r="K31" s="470"/>
      <c r="L31" s="327"/>
      <c r="M31" s="470"/>
      <c r="N31" s="149"/>
      <c r="O31" s="150"/>
      <c r="P31" s="511"/>
      <c r="R31" s="148"/>
      <c r="S31" s="149"/>
      <c r="T31" s="149"/>
      <c r="U31" s="149"/>
      <c r="V31" s="150"/>
      <c r="W31" s="149"/>
    </row>
    <row r="32" spans="1:23">
      <c r="A32" s="477"/>
      <c r="B32" s="1" t="s">
        <v>29</v>
      </c>
      <c r="C32" s="43">
        <f>('Bilan enerdata v2206_2025'!E23*0.64+'Bilan enerdata v2206_2025'!E24)</f>
        <v>1.2147336798111752</v>
      </c>
      <c r="D32" s="510"/>
      <c r="E32" s="43">
        <f t="shared" si="3"/>
        <v>0.10932603118300577</v>
      </c>
      <c r="F32" s="479"/>
      <c r="G32" s="41">
        <f>C32-E32</f>
        <v>1.1054076486281694</v>
      </c>
      <c r="H32" s="479"/>
      <c r="I32" s="1"/>
      <c r="J32" s="508"/>
      <c r="K32" s="470"/>
      <c r="L32" s="327"/>
      <c r="M32" s="470"/>
      <c r="N32" s="149"/>
      <c r="O32" s="150"/>
      <c r="P32" s="511"/>
      <c r="R32" s="153"/>
      <c r="S32" s="154"/>
      <c r="T32" s="154"/>
      <c r="U32" s="154"/>
      <c r="V32" s="155"/>
      <c r="W32" s="154"/>
    </row>
    <row r="33" spans="1:23">
      <c r="A33" s="321"/>
      <c r="B33" s="317" t="s">
        <v>27</v>
      </c>
      <c r="C33" s="34">
        <f>('Bilan enerdata v2206_2025'!D24+'Bilan enerdata v2206_2025'!D23*0.64)</f>
        <v>0</v>
      </c>
      <c r="D33" s="510"/>
      <c r="E33" s="43">
        <f t="shared" si="3"/>
        <v>0</v>
      </c>
      <c r="F33" s="323"/>
      <c r="G33" s="41">
        <f t="shared" ref="G33:G34" si="4">C33-E33</f>
        <v>0</v>
      </c>
      <c r="H33" s="323"/>
      <c r="I33" s="1"/>
      <c r="J33" s="322"/>
      <c r="K33" s="323"/>
      <c r="L33" s="323"/>
      <c r="M33" s="323"/>
      <c r="N33" s="323"/>
      <c r="O33" s="323"/>
      <c r="P33" s="323"/>
      <c r="R33" s="322"/>
      <c r="S33" s="323"/>
      <c r="T33" s="323"/>
      <c r="U33" s="323"/>
      <c r="V33" s="323"/>
      <c r="W33" s="323"/>
    </row>
    <row r="34" spans="1:23">
      <c r="A34" s="321"/>
      <c r="B34" s="317" t="s">
        <v>28</v>
      </c>
      <c r="C34" s="34">
        <f>('Bilan enerdata v2206_2025'!B24+0.64*'Bilan enerdata v2206_2025'!B23)</f>
        <v>5.3419770632032383E-2</v>
      </c>
      <c r="D34" s="510"/>
      <c r="E34" s="43">
        <f t="shared" si="3"/>
        <v>4.8077793568829146E-3</v>
      </c>
      <c r="F34" s="323"/>
      <c r="G34" s="41">
        <f t="shared" si="4"/>
        <v>4.8611991275149466E-2</v>
      </c>
      <c r="H34" s="323"/>
      <c r="I34" s="1"/>
      <c r="J34" s="322"/>
      <c r="K34" s="323"/>
      <c r="L34" s="323"/>
      <c r="M34" s="323"/>
      <c r="N34" s="323"/>
      <c r="O34" s="323"/>
      <c r="P34" s="323"/>
      <c r="R34" s="322"/>
      <c r="S34" s="323"/>
      <c r="T34" s="323"/>
      <c r="U34" s="323"/>
      <c r="V34" s="323"/>
      <c r="W34" s="323"/>
    </row>
    <row r="35" spans="1:23">
      <c r="A35" s="4"/>
      <c r="B35" s="1"/>
      <c r="C35" s="22"/>
      <c r="D35" s="37"/>
      <c r="E35" s="1"/>
      <c r="F35" s="1"/>
      <c r="G35" s="44"/>
      <c r="H35" s="45">
        <f>-'Bilan enerdata v2206_2025'!J24</f>
        <v>4.5900902111438011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472" t="s">
        <v>34</v>
      </c>
      <c r="B36" s="1" t="s">
        <v>21</v>
      </c>
      <c r="C36" s="22">
        <v>0</v>
      </c>
      <c r="D36" s="472">
        <f>SUM(C36:C46)</f>
        <v>67.314403881016176</v>
      </c>
      <c r="E36" s="47"/>
      <c r="F36" s="474"/>
      <c r="G36" s="17">
        <f t="shared" ref="G36:G40" si="5">C36</f>
        <v>0</v>
      </c>
      <c r="H36" s="472">
        <f>SUM(G36:G46)</f>
        <v>66.185186397496551</v>
      </c>
      <c r="I36" s="48"/>
      <c r="J36" s="52"/>
      <c r="K36" s="48"/>
      <c r="L36" s="48"/>
      <c r="M36" s="48"/>
      <c r="N36" s="48"/>
      <c r="O36" s="48"/>
      <c r="P36" s="49"/>
      <c r="R36" s="156"/>
      <c r="S36" s="137">
        <v>0</v>
      </c>
      <c r="T36" s="135">
        <v>0</v>
      </c>
      <c r="U36" s="137">
        <v>0</v>
      </c>
      <c r="V36" s="157">
        <v>0</v>
      </c>
      <c r="W36" s="156">
        <v>0</v>
      </c>
    </row>
    <row r="37" spans="1:23">
      <c r="A37" s="472"/>
      <c r="B37" s="1" t="s">
        <v>23</v>
      </c>
      <c r="C37" s="324">
        <f>'Bilan enerdata v2206_2025'!H18-C38-C39-C12-C14-C27-C30-C41+E37-'Bilan enerdata v2206_2025'!H25-'Bilan enerdata v2206_2025'!H29-C40-C44-C29-C31-C13-8</f>
        <v>3.2736326578987018</v>
      </c>
      <c r="D37" s="472"/>
      <c r="E37" s="330">
        <f>'Bilan enerdata v2206_2025'!H29</f>
        <v>5.1017483519633131E-2</v>
      </c>
      <c r="F37" s="474"/>
      <c r="G37" s="17">
        <f>C37-E37</f>
        <v>3.2226151743790687</v>
      </c>
      <c r="H37" s="472"/>
      <c r="J37" s="52"/>
      <c r="K37" s="48"/>
      <c r="L37" s="48"/>
      <c r="M37" s="50"/>
      <c r="N37" s="48"/>
      <c r="O37" s="48"/>
      <c r="P37" s="51">
        <f>SUM(G36:G41)</f>
        <v>9.2533209076557252</v>
      </c>
      <c r="R37" s="158"/>
      <c r="S37" s="295">
        <f>'Bilan enerdata v2206_2025'!H37-S39</f>
        <v>0.19</v>
      </c>
      <c r="T37" s="295">
        <f>'Bilan enerdata v2206_2025'!H33</f>
        <v>2.2533883417615286</v>
      </c>
      <c r="U37" s="295">
        <f>'Bilan enerdata v2206_2025'!H35-'Bilan 2025'!U38-'Bilan 2025'!U39-8</f>
        <v>0.29666543637734932</v>
      </c>
      <c r="V37" s="298">
        <f>'Bilan enerdata v2206_2025'!H36-'Bilan 2025'!V39-V38</f>
        <v>0.48256139624019667</v>
      </c>
      <c r="W37" s="136">
        <f>E37</f>
        <v>5.1017483519633131E-2</v>
      </c>
    </row>
    <row r="38" spans="1:23">
      <c r="A38" s="472"/>
      <c r="B38" s="1" t="s">
        <v>33</v>
      </c>
      <c r="C38" s="41">
        <f>SUM(S38:W38)</f>
        <v>0.58623002868763052</v>
      </c>
      <c r="D38" s="472"/>
      <c r="E38" s="47"/>
      <c r="F38" s="474"/>
      <c r="G38" s="17">
        <f t="shared" si="5"/>
        <v>0.58623002868763052</v>
      </c>
      <c r="H38" s="472"/>
      <c r="I38" s="48"/>
      <c r="J38" s="52"/>
      <c r="K38" s="48"/>
      <c r="L38" s="48"/>
      <c r="M38" s="52"/>
      <c r="N38" s="48"/>
      <c r="O38" s="48"/>
      <c r="P38" s="53"/>
      <c r="R38" s="158"/>
      <c r="S38" s="137">
        <v>0</v>
      </c>
      <c r="T38" s="135">
        <v>0</v>
      </c>
      <c r="U38" s="136">
        <f>'Modèle résidentiel hch_2025'!B8/11.63</f>
        <v>0.17315025533766379</v>
      </c>
      <c r="V38" s="159">
        <f>'Format demande MedPro_2025'!C226</f>
        <v>0.41307977334996671</v>
      </c>
      <c r="W38" s="156">
        <v>0</v>
      </c>
    </row>
    <row r="39" spans="1:23">
      <c r="A39" s="472"/>
      <c r="B39" s="1" t="s">
        <v>35</v>
      </c>
      <c r="C39" s="41">
        <f>SUM(S39:W39)-C40</f>
        <v>0.37954390390879178</v>
      </c>
      <c r="D39" s="472"/>
      <c r="E39" s="47"/>
      <c r="F39" s="474"/>
      <c r="G39" s="17">
        <f t="shared" si="5"/>
        <v>0.37954390390879178</v>
      </c>
      <c r="H39" s="472"/>
      <c r="I39" s="48"/>
      <c r="J39" s="52"/>
      <c r="K39" s="48"/>
      <c r="L39" s="48"/>
      <c r="M39" s="52"/>
      <c r="N39" s="48"/>
      <c r="O39" s="48"/>
      <c r="P39" s="53"/>
      <c r="R39" s="158"/>
      <c r="S39" s="299">
        <f>'Format demande MedPro_2025'!C360</f>
        <v>0.05</v>
      </c>
      <c r="T39" s="135">
        <v>0</v>
      </c>
      <c r="U39" s="296">
        <f>'Modèle résidentiel ch_2025'!J9/11.63+'Modèle résidentiel hch_2025'!B9/11.63*2/3</f>
        <v>1.0996417244782286</v>
      </c>
      <c r="V39" s="315">
        <f>('Modèle tertiaire_2025'!J3+'Modèle tertiaire_2025'!J4)/11.63+'Corrections Bilan enerdata'!H21*('Modèle tertiaire_2025'!J3+'Modèle tertiaire_2025'!J4)/('Modèle tertiaire_2025'!J3+'Modèle tertiaire_2025'!J4+'Modèle tertiaire_2025'!F3+'Modèle tertiaire_2025'!F4+'Modèle tertiaire_2025'!I3+'Modèle tertiaire_2025'!I4)</f>
        <v>1.2299021794305631</v>
      </c>
      <c r="W39" s="156">
        <v>0</v>
      </c>
    </row>
    <row r="40" spans="1:23">
      <c r="A40" s="472"/>
      <c r="B40" s="1" t="s">
        <v>36</v>
      </c>
      <c r="C40" s="41">
        <v>2</v>
      </c>
      <c r="D40" s="472"/>
      <c r="E40" s="47"/>
      <c r="F40" s="474"/>
      <c r="G40" s="17">
        <f t="shared" si="5"/>
        <v>2</v>
      </c>
      <c r="H40" s="472"/>
      <c r="I40" s="48"/>
      <c r="J40" s="52"/>
      <c r="K40" s="48"/>
      <c r="L40" s="48"/>
      <c r="M40" s="48"/>
      <c r="N40" s="48"/>
      <c r="O40" s="48"/>
      <c r="P40" s="53"/>
      <c r="R40" s="158"/>
      <c r="S40" s="299"/>
      <c r="T40" s="135"/>
      <c r="U40" s="299"/>
      <c r="V40" s="315"/>
      <c r="W40" s="134">
        <v>0</v>
      </c>
    </row>
    <row r="41" spans="1:23">
      <c r="A41" s="472"/>
      <c r="B41" s="1" t="s">
        <v>37</v>
      </c>
      <c r="C41" s="41">
        <f>SUM(S41:W41)</f>
        <v>3.0649318006802346</v>
      </c>
      <c r="D41" s="472"/>
      <c r="E41" s="54"/>
      <c r="F41" s="474"/>
      <c r="G41" s="17">
        <f>C41</f>
        <v>3.0649318006802346</v>
      </c>
      <c r="H41" s="472"/>
      <c r="I41" s="48"/>
      <c r="J41" s="52"/>
      <c r="K41" s="48"/>
      <c r="L41" s="48"/>
      <c r="M41" s="48"/>
      <c r="N41" s="48"/>
      <c r="O41" s="48"/>
      <c r="P41" s="51">
        <f>G42</f>
        <v>33.467243817501647</v>
      </c>
      <c r="R41" s="156"/>
      <c r="S41" s="135">
        <v>0</v>
      </c>
      <c r="T41" s="135">
        <v>0</v>
      </c>
      <c r="U41" s="135">
        <v>0</v>
      </c>
      <c r="V41" s="135">
        <v>0</v>
      </c>
      <c r="W41" s="136">
        <f>'Bilan enerdata v2206_2025'!H34</f>
        <v>3.0649318006802346</v>
      </c>
    </row>
    <row r="42" spans="1:23">
      <c r="A42" s="472"/>
      <c r="B42" s="1" t="s">
        <v>38</v>
      </c>
      <c r="C42" s="41">
        <f>W42</f>
        <v>33.467243817501647</v>
      </c>
      <c r="D42" s="472"/>
      <c r="E42" s="54"/>
      <c r="F42" s="474"/>
      <c r="G42" s="17">
        <f>C42</f>
        <v>33.467243817501647</v>
      </c>
      <c r="H42" s="472"/>
      <c r="J42" s="52"/>
      <c r="K42" s="48"/>
      <c r="L42" s="48"/>
      <c r="M42" s="48"/>
      <c r="N42" s="48"/>
      <c r="O42" s="48"/>
      <c r="P42" s="53"/>
      <c r="R42" s="158">
        <f>SUM(S36:W46)</f>
        <v>52.039827211888749</v>
      </c>
      <c r="S42" s="134">
        <v>0</v>
      </c>
      <c r="T42" s="134">
        <v>0</v>
      </c>
      <c r="U42" s="134">
        <v>0</v>
      </c>
      <c r="V42" s="134">
        <v>0</v>
      </c>
      <c r="W42" s="135">
        <f>'Bilan enerdata v2206_2025'!D34</f>
        <v>33.467243817501647</v>
      </c>
    </row>
    <row r="43" spans="1:23">
      <c r="A43" s="472"/>
      <c r="B43" s="1" t="s">
        <v>39</v>
      </c>
      <c r="C43" s="41">
        <f>-'Bilan enerdata v2206_2025'!D26-'Bilan 2025'!C42+'Bilan enerdata v2206_2025'!D13+'Bilan enerdata v2206_2025'!D14+'Bilan enerdata v2206_2025'!D15+'Bilan enerdata v2206_2025'!D16+'Bilan enerdata v2206_2025'!D17</f>
        <v>20.702974613325409</v>
      </c>
      <c r="D43" s="472"/>
      <c r="E43" s="331">
        <f>'Bilan enerdata v2206_2025'!D29</f>
        <v>1.0782</v>
      </c>
      <c r="F43" s="474"/>
      <c r="G43" s="17">
        <f>C43-E43</f>
        <v>19.62477461332541</v>
      </c>
      <c r="H43" s="472"/>
      <c r="I43" s="48"/>
      <c r="J43" s="52"/>
      <c r="K43" s="48"/>
      <c r="L43" s="48"/>
      <c r="M43" s="48"/>
      <c r="N43" s="48"/>
      <c r="O43" s="48"/>
      <c r="P43" s="51">
        <f>G43-E53</f>
        <v>9.266031283941242</v>
      </c>
      <c r="R43" s="158"/>
      <c r="S43" s="135">
        <f>'Bilan enerdata v2206_2025'!D37</f>
        <v>2.65</v>
      </c>
      <c r="T43" s="135">
        <f>'Bilan enerdata v2206_2025'!D33</f>
        <v>1.4729206178416236</v>
      </c>
      <c r="U43" s="135">
        <f>'Bilan enerdata v2206_2025'!D35</f>
        <v>3.9393678084627735</v>
      </c>
      <c r="V43" s="135">
        <f>'Bilan enerdata v2206_2025'!D36</f>
        <v>1.2037428576368416</v>
      </c>
      <c r="W43" s="135">
        <v>0</v>
      </c>
    </row>
    <row r="44" spans="1:23">
      <c r="A44" s="472"/>
      <c r="B44" s="1" t="s">
        <v>40</v>
      </c>
      <c r="C44" s="324">
        <v>0</v>
      </c>
      <c r="D44" s="472"/>
      <c r="E44" s="54"/>
      <c r="F44" s="474"/>
      <c r="G44" s="17">
        <f t="shared" si="0"/>
        <v>0</v>
      </c>
      <c r="H44" s="472"/>
      <c r="I44" s="48"/>
      <c r="J44" s="52"/>
      <c r="K44" s="48"/>
      <c r="L44" s="48"/>
      <c r="M44" s="48"/>
      <c r="N44" s="48"/>
      <c r="O44" s="48"/>
      <c r="P44" s="53"/>
      <c r="R44" s="158"/>
      <c r="S44" s="294"/>
      <c r="T44" s="294"/>
      <c r="U44" s="294"/>
      <c r="V44" s="294"/>
      <c r="W44" s="135">
        <v>0</v>
      </c>
    </row>
    <row r="45" spans="1:23">
      <c r="A45" s="472"/>
      <c r="B45" s="1" t="s">
        <v>41</v>
      </c>
      <c r="C45" s="335">
        <f>'Bilan enerdata v2206_2025'!E39+'Bilan enerdata v2206_2025'!K39</f>
        <v>1.2444455842422999</v>
      </c>
      <c r="D45" s="472"/>
      <c r="E45" s="54"/>
      <c r="F45" s="474"/>
      <c r="G45" s="17">
        <f t="shared" si="0"/>
        <v>1.2444455842422999</v>
      </c>
      <c r="H45" s="472"/>
      <c r="I45" s="48"/>
      <c r="J45" s="52"/>
      <c r="K45" s="48"/>
      <c r="L45" s="48"/>
      <c r="M45" s="48"/>
      <c r="N45" s="48"/>
      <c r="O45" s="48"/>
      <c r="P45" s="53"/>
      <c r="R45" s="158"/>
      <c r="S45" s="136">
        <v>0</v>
      </c>
      <c r="T45" s="135">
        <v>0</v>
      </c>
      <c r="U45" s="136">
        <v>0</v>
      </c>
      <c r="V45" s="160">
        <v>0</v>
      </c>
      <c r="W45" s="135">
        <v>0</v>
      </c>
    </row>
    <row r="46" spans="1:23">
      <c r="A46" s="472"/>
      <c r="B46" s="1" t="s">
        <v>42</v>
      </c>
      <c r="C46" s="41">
        <f>'Bilan enerdata v2206_2025'!B18-C34-C18+I46</f>
        <v>2.5954014747714647</v>
      </c>
      <c r="D46" s="472"/>
      <c r="E46" s="55"/>
      <c r="F46" s="474"/>
      <c r="G46" s="17">
        <f>C46</f>
        <v>2.5954014747714647</v>
      </c>
      <c r="H46" s="472"/>
      <c r="I46" s="331"/>
      <c r="J46" s="52"/>
      <c r="K46" s="48"/>
      <c r="L46" s="48"/>
      <c r="M46" s="48"/>
      <c r="N46" s="48"/>
      <c r="O46" s="48"/>
      <c r="P46" s="56">
        <f>G46-I466-E51</f>
        <v>2.2137192704971831E-3</v>
      </c>
      <c r="R46" s="161"/>
      <c r="S46" s="162">
        <f>'Bilan enerdata v2206_2025'!B37</f>
        <v>2.2137192704974398E-3</v>
      </c>
      <c r="T46" s="163">
        <f>'Bilan enerdata v2206_2025'!B33</f>
        <v>0</v>
      </c>
      <c r="U46" s="164">
        <f>'Bilan enerdata v2206_2025'!B35</f>
        <v>0</v>
      </c>
      <c r="V46" s="165">
        <f>'Bilan enerdata v2206_2025'!B36</f>
        <v>0</v>
      </c>
      <c r="W46" s="166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 v2206_2025'!B28+'Bilan enerdata v2206_2025'!B39</f>
        <v>2.5931877555009675</v>
      </c>
      <c r="F51" s="328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14.196376669127435</v>
      </c>
    </row>
    <row r="52" spans="1:18">
      <c r="A52" s="22"/>
      <c r="B52" s="1" t="s">
        <v>41</v>
      </c>
      <c r="C52" s="69"/>
      <c r="D52" s="17"/>
      <c r="E52" s="70">
        <f>'Bilan enerdata v2206_2025'!E39+'Bilan enerdata v2206_2025'!K39</f>
        <v>1.2444455842422999</v>
      </c>
      <c r="F52" s="328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 v2206_2025'!D28+'Bilan enerdata v2206_2025'!D39</f>
        <v>10.358743329384168</v>
      </c>
      <c r="F53" s="328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F36:F46"/>
    <mergeCell ref="H36:H46"/>
    <mergeCell ref="P26:P32"/>
    <mergeCell ref="D26:D34"/>
    <mergeCell ref="A36:A46"/>
    <mergeCell ref="D36:D46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W53"/>
  <sheetViews>
    <sheetView topLeftCell="A25" workbookViewId="0">
      <selection activeCell="I18" sqref="I18"/>
    </sheetView>
  </sheetViews>
  <sheetFormatPr baseColWidth="10" defaultRowHeight="15"/>
  <cols>
    <col min="1" max="1" width="11.42578125" style="300"/>
    <col min="2" max="2" width="25.85546875" style="300" customWidth="1"/>
    <col min="3" max="17" width="11.42578125" style="300"/>
    <col min="18" max="23" width="11.42578125" style="22"/>
    <col min="24" max="16384" width="11.42578125" style="300"/>
  </cols>
  <sheetData>
    <row r="1" spans="1:23">
      <c r="A1" s="1"/>
      <c r="B1" s="1"/>
      <c r="C1" s="490" t="s">
        <v>0</v>
      </c>
      <c r="D1" s="490"/>
      <c r="E1" s="490"/>
      <c r="F1" s="490"/>
      <c r="G1" s="490"/>
      <c r="H1" s="490"/>
      <c r="I1" s="2"/>
      <c r="J1" s="491" t="s">
        <v>1</v>
      </c>
      <c r="K1" s="491"/>
      <c r="L1" s="491"/>
      <c r="M1" s="491"/>
      <c r="N1" s="491"/>
      <c r="O1" s="491"/>
      <c r="P1" s="491"/>
    </row>
    <row r="2" spans="1:23">
      <c r="A2" s="1"/>
      <c r="B2" s="1"/>
      <c r="C2" s="493" t="s">
        <v>2</v>
      </c>
      <c r="D2" s="503"/>
      <c r="E2" s="495" t="s">
        <v>3</v>
      </c>
      <c r="F2" s="494"/>
      <c r="G2" s="494"/>
      <c r="H2" s="494"/>
      <c r="I2" s="3"/>
      <c r="J2" s="504" t="s">
        <v>4</v>
      </c>
      <c r="K2" s="498" t="s">
        <v>5</v>
      </c>
      <c r="L2" s="496"/>
      <c r="M2" s="496"/>
      <c r="N2" s="496"/>
      <c r="O2" s="496"/>
      <c r="P2" s="504"/>
      <c r="R2" s="109"/>
      <c r="S2" s="110"/>
      <c r="T2" s="109"/>
      <c r="U2" s="111" t="s">
        <v>90</v>
      </c>
      <c r="V2" s="110"/>
      <c r="W2" s="112"/>
    </row>
    <row r="3" spans="1:23" ht="51">
      <c r="A3" s="4"/>
      <c r="B3" s="4"/>
      <c r="C3" s="5"/>
      <c r="D3" s="5"/>
      <c r="E3" s="6" t="s">
        <v>6</v>
      </c>
      <c r="F3" s="7"/>
      <c r="G3" s="501" t="s">
        <v>7</v>
      </c>
      <c r="H3" s="505"/>
      <c r="I3" s="8" t="s">
        <v>75</v>
      </c>
      <c r="J3" s="504"/>
      <c r="K3" s="498"/>
      <c r="L3" s="496"/>
      <c r="M3" s="496"/>
      <c r="N3" s="496"/>
      <c r="O3" s="496"/>
      <c r="P3" s="504"/>
      <c r="R3" s="113"/>
      <c r="S3" s="114"/>
      <c r="T3" s="114"/>
      <c r="U3" s="114"/>
      <c r="V3" s="114"/>
      <c r="W3" s="112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504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5" t="s">
        <v>10</v>
      </c>
      <c r="S4" s="115" t="s">
        <v>91</v>
      </c>
      <c r="T4" s="115" t="s">
        <v>92</v>
      </c>
      <c r="U4" s="116" t="s">
        <v>93</v>
      </c>
      <c r="V4" s="117" t="s">
        <v>94</v>
      </c>
      <c r="W4" s="117" t="s">
        <v>95</v>
      </c>
    </row>
    <row r="5" spans="1:23">
      <c r="A5" s="17"/>
      <c r="B5" s="18"/>
      <c r="C5" s="19">
        <f>SUM(C7:C46)-N23-O23</f>
        <v>202.30572767522247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108.0231264166701</v>
      </c>
      <c r="R5" s="118">
        <f>SUM(R13,R23,R26:R32,R42)</f>
        <v>108.38031760360434</v>
      </c>
      <c r="S5" s="118">
        <f>SUM(S7:S46)</f>
        <v>3.888935310846243</v>
      </c>
      <c r="T5" s="118">
        <f>SUM(T7:T46)</f>
        <v>23.841994947905967</v>
      </c>
      <c r="U5" s="118">
        <f>SUM(U7:U46)</f>
        <v>26.552514157459655</v>
      </c>
      <c r="V5" s="297">
        <f>SUM(V7:V46)</f>
        <v>19.038079050122015</v>
      </c>
      <c r="W5" s="118">
        <f>SUM(W7:W46)</f>
        <v>35.058794137270453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9"/>
      <c r="S6" s="1"/>
      <c r="T6" s="1"/>
      <c r="U6" s="1"/>
      <c r="V6" s="1"/>
      <c r="W6" s="1"/>
    </row>
    <row r="7" spans="1:23">
      <c r="A7" s="486" t="s">
        <v>15</v>
      </c>
      <c r="B7" s="1" t="s">
        <v>17</v>
      </c>
      <c r="C7" s="17">
        <f>'Mix énergie_2030'!I14*'Mix énergie_2030'!L14/11.63</f>
        <v>9.7162510748065358</v>
      </c>
      <c r="D7" s="506">
        <f>SUM(C7:C19)</f>
        <v>113.55749519083459</v>
      </c>
      <c r="E7" s="30"/>
      <c r="F7" s="488">
        <f>SUM(E7:E19)</f>
        <v>63.228445937117172</v>
      </c>
      <c r="G7" s="17">
        <f>C7-E7</f>
        <v>9.7162510748065358</v>
      </c>
      <c r="H7" s="488">
        <f>SUM(G7:G19)</f>
        <v>50.329049253717415</v>
      </c>
      <c r="I7" s="22"/>
      <c r="J7" s="506">
        <f>H7-I13</f>
        <v>47.977028617431948</v>
      </c>
      <c r="K7" s="31"/>
      <c r="L7" s="31"/>
      <c r="M7" s="31"/>
      <c r="N7" s="32"/>
      <c r="O7" s="33"/>
      <c r="P7" s="502">
        <f>J7-K12-L12-M12</f>
        <v>37.230820975013209</v>
      </c>
      <c r="R7" s="120"/>
      <c r="S7" s="121"/>
      <c r="T7" s="122"/>
      <c r="U7" s="123"/>
      <c r="V7" s="122"/>
      <c r="W7" s="123"/>
    </row>
    <row r="8" spans="1:23">
      <c r="A8" s="486"/>
      <c r="B8" s="1" t="s">
        <v>18</v>
      </c>
      <c r="C8" s="17">
        <f>'Mix énergie_2030'!H14*'Mix énergie_2030'!L14/11.63</f>
        <v>5.503009458297524</v>
      </c>
      <c r="D8" s="506"/>
      <c r="E8" s="30">
        <f>C8-G8</f>
        <v>0.55030094582975231</v>
      </c>
      <c r="F8" s="488"/>
      <c r="G8" s="17">
        <f>0.9*C8</f>
        <v>4.9527085124677717</v>
      </c>
      <c r="H8" s="488"/>
      <c r="I8" s="22"/>
      <c r="J8" s="506"/>
      <c r="K8" s="31"/>
      <c r="L8" s="31"/>
      <c r="M8" s="31"/>
      <c r="N8" s="32"/>
      <c r="O8" s="33"/>
      <c r="P8" s="502"/>
      <c r="R8" s="124"/>
      <c r="S8" s="125"/>
      <c r="T8" s="126"/>
      <c r="U8" s="127"/>
      <c r="V8" s="126"/>
      <c r="W8" s="127"/>
    </row>
    <row r="9" spans="1:23">
      <c r="A9" s="486"/>
      <c r="B9" s="1" t="s">
        <v>19</v>
      </c>
      <c r="C9" s="17">
        <f>'Mix énergie_2030'!J14*'Mix énergie_2030'!L14/11.63</f>
        <v>4.3852106620808255</v>
      </c>
      <c r="D9" s="506"/>
      <c r="E9" s="30"/>
      <c r="F9" s="488"/>
      <c r="G9" s="17">
        <f t="shared" ref="G9:G45" si="0">C9-E9</f>
        <v>4.3852106620808255</v>
      </c>
      <c r="H9" s="488"/>
      <c r="I9" s="22"/>
      <c r="J9" s="506"/>
      <c r="K9" s="31"/>
      <c r="L9" s="31"/>
      <c r="M9" s="31"/>
      <c r="N9" s="32"/>
      <c r="O9" s="33"/>
      <c r="P9" s="502"/>
      <c r="R9" s="124"/>
      <c r="S9" s="125"/>
      <c r="T9" s="126"/>
      <c r="U9" s="127"/>
      <c r="V9" s="126"/>
      <c r="W9" s="127"/>
    </row>
    <row r="10" spans="1:23">
      <c r="A10" s="486"/>
      <c r="B10" s="1" t="s">
        <v>20</v>
      </c>
      <c r="C10" s="17">
        <f>'Bilan enerdata v2206_2030'!F12</f>
        <v>87.505468116535909</v>
      </c>
      <c r="D10" s="506"/>
      <c r="E10" s="325">
        <f>C10*(1-0.32)</f>
        <v>59.503718319244413</v>
      </c>
      <c r="F10" s="488"/>
      <c r="G10" s="30">
        <f>C10-E10</f>
        <v>28.001749797291495</v>
      </c>
      <c r="H10" s="488"/>
      <c r="I10" s="22"/>
      <c r="J10" s="506"/>
      <c r="K10" s="31"/>
      <c r="L10" s="31"/>
      <c r="M10" s="31"/>
      <c r="N10" s="32"/>
      <c r="O10" s="33"/>
      <c r="P10" s="502"/>
      <c r="R10" s="124"/>
      <c r="S10" s="125"/>
      <c r="T10" s="126"/>
      <c r="U10" s="127"/>
      <c r="V10" s="126"/>
      <c r="W10" s="127"/>
    </row>
    <row r="11" spans="1:23">
      <c r="A11" s="486"/>
      <c r="B11" s="1" t="s">
        <v>21</v>
      </c>
      <c r="C11" s="17">
        <f>'Mix énergie_2030'!F14*'Mix énergie_2030'!L14/11.63</f>
        <v>0</v>
      </c>
      <c r="D11" s="506"/>
      <c r="E11" s="30"/>
      <c r="F11" s="488"/>
      <c r="G11" s="17">
        <f>C11-E11</f>
        <v>0</v>
      </c>
      <c r="H11" s="488"/>
      <c r="I11" s="22"/>
      <c r="J11" s="506"/>
      <c r="K11" s="31"/>
      <c r="L11" s="31"/>
      <c r="M11" s="31"/>
      <c r="N11" s="32"/>
      <c r="O11" s="33"/>
      <c r="P11" s="502"/>
      <c r="R11" s="124"/>
      <c r="S11" s="125"/>
      <c r="T11" s="126"/>
      <c r="U11" s="127"/>
      <c r="V11" s="126"/>
      <c r="W11" s="127"/>
    </row>
    <row r="12" spans="1:23">
      <c r="A12" s="486"/>
      <c r="B12" s="1" t="s">
        <v>22</v>
      </c>
      <c r="C12" s="318">
        <f>'Bilan enerdata v2206_2030'!H22+'Bilan enerdata v2206_2030'!H23*0.36-C13</f>
        <v>1.6645743766122096</v>
      </c>
      <c r="D12" s="506"/>
      <c r="E12" s="30">
        <f>C12-G12</f>
        <v>0.99874462596732572</v>
      </c>
      <c r="F12" s="488"/>
      <c r="G12" s="17">
        <f>0.4*C12</f>
        <v>0.66582975064488392</v>
      </c>
      <c r="H12" s="488"/>
      <c r="I12" s="22"/>
      <c r="J12" s="506"/>
      <c r="K12" s="31">
        <f>'Bilan enerdata v2206_2030'!I30</f>
        <v>3.2582065612805073</v>
      </c>
      <c r="L12" s="31">
        <f>-('Bilan enerdata v2206_2030'!I14+'Bilan enerdata v2206_2030'!I13)</f>
        <v>5.338388011490764</v>
      </c>
      <c r="M12" s="31">
        <f>'Bilan enerdata v2206_2030'!I27</f>
        <v>2.1496130696474633</v>
      </c>
      <c r="N12" s="32">
        <v>0</v>
      </c>
      <c r="O12" s="33">
        <v>0</v>
      </c>
      <c r="P12" s="502"/>
      <c r="R12" s="124"/>
      <c r="S12" s="125"/>
      <c r="T12" s="126"/>
      <c r="U12" s="127"/>
      <c r="V12" s="126"/>
      <c r="W12" s="127"/>
    </row>
    <row r="13" spans="1:23">
      <c r="A13" s="486"/>
      <c r="B13" s="1" t="s">
        <v>23</v>
      </c>
      <c r="C13" s="316">
        <v>0.7</v>
      </c>
      <c r="D13" s="506"/>
      <c r="E13" s="30">
        <f>C13-G13</f>
        <v>0.42</v>
      </c>
      <c r="F13" s="488"/>
      <c r="G13" s="17">
        <f>0.4*C13</f>
        <v>0.27999999999999997</v>
      </c>
      <c r="H13" s="488"/>
      <c r="I13" s="326">
        <f>'Bilan enerdata v2206_2030'!I29</f>
        <v>2.3520206362854692</v>
      </c>
      <c r="J13" s="506"/>
      <c r="K13" s="31"/>
      <c r="L13" s="31"/>
      <c r="M13" s="31"/>
      <c r="N13" s="32"/>
      <c r="O13" s="33"/>
      <c r="P13" s="502"/>
      <c r="R13" s="124">
        <f>SUM(S7:W19)</f>
        <v>37.375134575981939</v>
      </c>
      <c r="S13" s="128">
        <f>'Bilan enerdata v2206_2030'!I37</f>
        <v>0.77565894251492096</v>
      </c>
      <c r="T13" s="126">
        <f>'Bilan enerdata v2206_2030'!I33</f>
        <v>9.8446264808181319</v>
      </c>
      <c r="U13" s="126">
        <f>'Bilan enerdata v2206_2030'!I35</f>
        <v>11.885627565252159</v>
      </c>
      <c r="V13" s="126">
        <f>'Bilan enerdata v2206_2030'!I36</f>
        <v>11.711297347178387</v>
      </c>
      <c r="W13" s="126">
        <f>'Bilan enerdata v2206_2030'!I34</f>
        <v>3.1579242402183425</v>
      </c>
    </row>
    <row r="14" spans="1:23">
      <c r="A14" s="486"/>
      <c r="B14" s="1" t="s">
        <v>24</v>
      </c>
      <c r="C14" s="17">
        <v>0</v>
      </c>
      <c r="D14" s="506"/>
      <c r="E14" s="30"/>
      <c r="F14" s="488"/>
      <c r="G14" s="17"/>
      <c r="H14" s="488"/>
      <c r="I14" s="22"/>
      <c r="J14" s="506"/>
      <c r="K14" s="31"/>
      <c r="L14" s="31"/>
      <c r="M14" s="31"/>
      <c r="N14" s="32"/>
      <c r="O14" s="33"/>
      <c r="P14" s="502"/>
      <c r="R14" s="124"/>
      <c r="S14" s="125"/>
      <c r="T14" s="126"/>
      <c r="U14" s="127"/>
      <c r="V14" s="126"/>
      <c r="W14" s="127"/>
    </row>
    <row r="15" spans="1:23">
      <c r="A15" s="486"/>
      <c r="B15" s="1" t="s">
        <v>25</v>
      </c>
      <c r="C15" s="17">
        <v>0</v>
      </c>
      <c r="D15" s="506"/>
      <c r="E15" s="30"/>
      <c r="F15" s="488"/>
      <c r="G15" s="17"/>
      <c r="H15" s="488"/>
      <c r="I15" s="22"/>
      <c r="J15" s="506"/>
      <c r="K15" s="31"/>
      <c r="L15" s="31"/>
      <c r="M15" s="31"/>
      <c r="N15" s="32"/>
      <c r="O15" s="33"/>
      <c r="P15" s="502"/>
      <c r="R15" s="124"/>
      <c r="S15" s="125"/>
      <c r="T15" s="126"/>
      <c r="U15" s="127"/>
      <c r="V15" s="126"/>
      <c r="W15" s="127"/>
    </row>
    <row r="16" spans="1:23">
      <c r="A16" s="486"/>
      <c r="B16" s="1" t="s">
        <v>26</v>
      </c>
      <c r="C16" s="17">
        <v>0</v>
      </c>
      <c r="D16" s="506"/>
      <c r="E16" s="30"/>
      <c r="F16" s="488"/>
      <c r="G16" s="17"/>
      <c r="H16" s="488"/>
      <c r="I16" s="22"/>
      <c r="J16" s="506"/>
      <c r="K16" s="31"/>
      <c r="L16" s="31"/>
      <c r="M16" s="31"/>
      <c r="N16" s="32"/>
      <c r="O16" s="33"/>
      <c r="P16" s="502"/>
      <c r="R16" s="124"/>
      <c r="S16" s="125"/>
      <c r="T16" s="126"/>
      <c r="U16" s="127"/>
      <c r="V16" s="126"/>
      <c r="W16" s="127"/>
    </row>
    <row r="17" spans="1:23">
      <c r="A17" s="486"/>
      <c r="B17" s="1" t="s">
        <v>27</v>
      </c>
      <c r="C17" s="17">
        <f>'Bilan enerdata v2206_2030'!D22+0.36*'Bilan enerdata v2206_2030'!D23</f>
        <v>0</v>
      </c>
      <c r="D17" s="506"/>
      <c r="E17" s="30">
        <f t="shared" ref="E17:E18" si="1">C17-G17</f>
        <v>0</v>
      </c>
      <c r="F17" s="488"/>
      <c r="G17" s="17">
        <f>0.4*C17</f>
        <v>0</v>
      </c>
      <c r="H17" s="488"/>
      <c r="I17" s="22"/>
      <c r="J17" s="506"/>
      <c r="K17" s="31"/>
      <c r="L17" s="31"/>
      <c r="M17" s="31"/>
      <c r="N17" s="32"/>
      <c r="O17" s="33"/>
      <c r="P17" s="502"/>
      <c r="R17" s="124"/>
      <c r="S17" s="125"/>
      <c r="T17" s="126"/>
      <c r="U17" s="127"/>
      <c r="V17" s="126"/>
      <c r="W17" s="127"/>
    </row>
    <row r="18" spans="1:23">
      <c r="A18" s="486"/>
      <c r="B18" s="1" t="s">
        <v>28</v>
      </c>
      <c r="C18" s="17">
        <f>'Bilan enerdata v2206_2030'!B22+0.36*'Bilan enerdata v2206_2030'!B23</f>
        <v>0</v>
      </c>
      <c r="D18" s="506"/>
      <c r="E18" s="30">
        <f t="shared" si="1"/>
        <v>0</v>
      </c>
      <c r="F18" s="488"/>
      <c r="G18" s="17">
        <f>0.25*C18</f>
        <v>0</v>
      </c>
      <c r="H18" s="488"/>
      <c r="I18" s="22"/>
      <c r="J18" s="506"/>
      <c r="K18" s="31"/>
      <c r="L18" s="31"/>
      <c r="M18" s="31"/>
      <c r="N18" s="32"/>
      <c r="O18" s="33"/>
      <c r="P18" s="502"/>
      <c r="R18" s="124"/>
      <c r="S18" s="125"/>
      <c r="T18" s="126"/>
      <c r="U18" s="127"/>
      <c r="V18" s="126"/>
      <c r="W18" s="127"/>
    </row>
    <row r="19" spans="1:23">
      <c r="A19" s="486"/>
      <c r="B19" s="317" t="s">
        <v>262</v>
      </c>
      <c r="C19" s="17">
        <f>'Bilan enerdata v2206_2030'!E22+0.36*'Bilan enerdata v2206_2030'!E23</f>
        <v>4.0829815025015792</v>
      </c>
      <c r="D19" s="506"/>
      <c r="E19" s="30">
        <f>C19-G19</f>
        <v>1.7556820460756795</v>
      </c>
      <c r="F19" s="488"/>
      <c r="G19" s="17">
        <f>0.57*C19</f>
        <v>2.3272994564258997</v>
      </c>
      <c r="H19" s="488"/>
      <c r="I19" s="22"/>
      <c r="J19" s="506"/>
      <c r="K19" s="31"/>
      <c r="L19" s="31"/>
      <c r="M19" s="31"/>
      <c r="N19" s="32"/>
      <c r="O19" s="33"/>
      <c r="P19" s="502"/>
      <c r="R19" s="129"/>
      <c r="S19" s="130"/>
      <c r="T19" s="131"/>
      <c r="U19" s="132"/>
      <c r="V19" s="131"/>
      <c r="W19" s="132"/>
    </row>
    <row r="20" spans="1:23">
      <c r="A20" s="1"/>
      <c r="B20" s="1"/>
      <c r="C20" s="35"/>
      <c r="D20" s="36"/>
      <c r="E20" s="17"/>
      <c r="F20" s="36"/>
      <c r="G20" s="36"/>
      <c r="H20" s="36">
        <f>-'Bilan enerdata v2206_2030'!I22</f>
        <v>50.266999999999996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481" t="s">
        <v>13</v>
      </c>
      <c r="B21" s="1" t="s">
        <v>21</v>
      </c>
      <c r="C21" s="17">
        <f>-'Bilan enerdata v2206_2030'!E25</f>
        <v>3.0305707441718415</v>
      </c>
      <c r="D21" s="509">
        <f>SUM(C21:C24)</f>
        <v>30.352791220510831</v>
      </c>
      <c r="E21" s="22"/>
      <c r="F21" s="482"/>
      <c r="G21" s="17">
        <f t="shared" si="0"/>
        <v>3.0305707441718415</v>
      </c>
      <c r="H21" s="484">
        <f>SUM(G21:G24)</f>
        <v>27.913888773004381</v>
      </c>
      <c r="I21" s="17"/>
      <c r="J21" s="482">
        <f>H21-I22</f>
        <v>27.913888773004381</v>
      </c>
      <c r="K21" s="507">
        <f>'Bilan enerdata v2206_2030'!E30</f>
        <v>0.3535258483957765</v>
      </c>
      <c r="L21" s="507"/>
      <c r="M21" s="507">
        <v>0</v>
      </c>
      <c r="N21" s="38"/>
      <c r="O21" s="38"/>
      <c r="P21" s="38"/>
      <c r="R21" s="138"/>
      <c r="S21" s="139"/>
      <c r="T21" s="140"/>
      <c r="U21" s="140"/>
      <c r="V21" s="140"/>
      <c r="W21" s="139"/>
    </row>
    <row r="22" spans="1:23">
      <c r="A22" s="481"/>
      <c r="B22" s="1" t="s">
        <v>30</v>
      </c>
      <c r="C22" s="17"/>
      <c r="D22" s="509"/>
      <c r="E22" s="22"/>
      <c r="F22" s="482"/>
      <c r="G22" s="17">
        <f t="shared" si="0"/>
        <v>0</v>
      </c>
      <c r="H22" s="484"/>
      <c r="I22" s="329"/>
      <c r="J22" s="482"/>
      <c r="K22" s="507"/>
      <c r="L22" s="507"/>
      <c r="M22" s="507"/>
      <c r="N22" s="39"/>
      <c r="O22" s="40"/>
      <c r="P22" s="40"/>
      <c r="R22" s="141"/>
      <c r="S22" s="40"/>
      <c r="T22" s="39"/>
      <c r="U22" s="39"/>
      <c r="V22" s="39"/>
      <c r="W22" s="40"/>
    </row>
    <row r="23" spans="1:23">
      <c r="A23" s="481"/>
      <c r="B23" s="1" t="s">
        <v>31</v>
      </c>
      <c r="C23" s="17">
        <f>'Bilan enerdata v2206_2030'!I27-'Bilan enerdata v2206_2030'!K39</f>
        <v>0.85984522785898543</v>
      </c>
      <c r="D23" s="509"/>
      <c r="E23" s="41">
        <f>'Bilan enerdata v2206_2030'!L27+'Bilan enerdata v2206_2030'!K28</f>
        <v>0.85984522785898543</v>
      </c>
      <c r="F23" s="482"/>
      <c r="G23" s="17">
        <f t="shared" si="0"/>
        <v>0</v>
      </c>
      <c r="H23" s="484"/>
      <c r="I23" s="17"/>
      <c r="J23" s="482"/>
      <c r="K23" s="507"/>
      <c r="L23" s="507"/>
      <c r="M23" s="507"/>
      <c r="N23" s="39">
        <f>C32</f>
        <v>1.1033714738962501</v>
      </c>
      <c r="O23" s="40">
        <f>C19</f>
        <v>4.0829815025015792</v>
      </c>
      <c r="P23" s="40">
        <f>J21-N23-O23-K21</f>
        <v>22.374009948210777</v>
      </c>
      <c r="R23" s="141">
        <f>SUM(S23:W23)</f>
        <v>22.528782089225391</v>
      </c>
      <c r="S23" s="142">
        <f>'Bilan enerdata v2206_2030'!E37</f>
        <v>0.47763215046268398</v>
      </c>
      <c r="T23" s="142">
        <f>'Bilan enerdata v2206_2030'!E33</f>
        <v>9.2828412206946656</v>
      </c>
      <c r="U23" s="142">
        <f>'Bilan enerdata v2206_2030'!E35</f>
        <v>8.4644882734430098</v>
      </c>
      <c r="V23" s="142">
        <f>'Bilan enerdata v2206_2030'!E36</f>
        <v>3.373347366526199</v>
      </c>
      <c r="W23" s="142">
        <f>'Bilan enerdata v2206_2030'!E34</f>
        <v>0.93047307809883106</v>
      </c>
    </row>
    <row r="24" spans="1:23">
      <c r="A24" s="481"/>
      <c r="B24" s="1" t="s">
        <v>32</v>
      </c>
      <c r="C24" s="17">
        <f>'Bilan enerdata v2206_2030'!E18+'Bilan enerdata v2206_2030'!E17-'Bilan enerdata v2206_2030'!E39</f>
        <v>26.462375248480004</v>
      </c>
      <c r="D24" s="509"/>
      <c r="E24" s="41">
        <f>'Bilan enerdata v2206_2030'!E29+'Bilan enerdata v2206_2030'!E26</f>
        <v>1.5790572196474628</v>
      </c>
      <c r="F24" s="482"/>
      <c r="G24" s="17">
        <f t="shared" si="0"/>
        <v>24.883318028832541</v>
      </c>
      <c r="H24" s="484"/>
      <c r="I24" s="42"/>
      <c r="J24" s="482"/>
      <c r="K24" s="507"/>
      <c r="L24" s="507"/>
      <c r="M24" s="507"/>
      <c r="N24" s="39"/>
      <c r="O24" s="40"/>
      <c r="P24" s="40"/>
      <c r="R24" s="143"/>
      <c r="S24" s="144"/>
      <c r="T24" s="145"/>
      <c r="U24" s="145"/>
      <c r="V24" s="145"/>
      <c r="W24" s="144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3"/>
      <c r="U25" s="133"/>
      <c r="V25" s="133"/>
      <c r="W25" s="64"/>
    </row>
    <row r="26" spans="1:23">
      <c r="A26" s="477" t="s">
        <v>14</v>
      </c>
      <c r="B26" s="1" t="s">
        <v>21</v>
      </c>
      <c r="C26" s="43">
        <f>-'Mix énergie_2030'!F5*'Mix énergie_2030'!L5/11.63</f>
        <v>0</v>
      </c>
      <c r="D26" s="510">
        <f>SUM(C26:C34)</f>
        <v>5.3721050377964641</v>
      </c>
      <c r="E26" s="43">
        <f>C26*0.07</f>
        <v>0</v>
      </c>
      <c r="F26" s="479"/>
      <c r="G26" s="41">
        <f t="shared" ref="G26:G31" si="2">C26-E26</f>
        <v>0</v>
      </c>
      <c r="H26" s="479">
        <f>SUM(G26:G34)</f>
        <v>4.9960576851507117</v>
      </c>
      <c r="I26" s="1"/>
      <c r="J26" s="508">
        <f>H26</f>
        <v>4.9960576851507117</v>
      </c>
      <c r="K26" s="470">
        <f>'Bilan enerdata v2206_2030'!J30</f>
        <v>1.0431162352605265</v>
      </c>
      <c r="L26" s="327">
        <v>0</v>
      </c>
      <c r="M26" s="470"/>
      <c r="N26" s="149"/>
      <c r="O26" s="150"/>
      <c r="P26" s="511">
        <f>J26-K26-M26</f>
        <v>3.9529414498901851</v>
      </c>
      <c r="R26" s="146"/>
      <c r="S26" s="146"/>
      <c r="T26" s="146"/>
      <c r="U26" s="146"/>
      <c r="V26" s="147"/>
      <c r="W26" s="146"/>
    </row>
    <row r="27" spans="1:23">
      <c r="A27" s="477"/>
      <c r="B27" s="1" t="s">
        <v>22</v>
      </c>
      <c r="C27" s="319">
        <f>0.6</f>
        <v>0.6</v>
      </c>
      <c r="D27" s="510"/>
      <c r="E27" s="43">
        <f t="shared" ref="E27:E34" si="3">C27*0.07</f>
        <v>4.2000000000000003E-2</v>
      </c>
      <c r="F27" s="479"/>
      <c r="G27" s="41">
        <f t="shared" si="2"/>
        <v>0.55799999999999994</v>
      </c>
      <c r="H27" s="479"/>
      <c r="I27" s="329"/>
      <c r="J27" s="508"/>
      <c r="K27" s="470"/>
      <c r="L27" s="327"/>
      <c r="M27" s="470"/>
      <c r="N27" s="149"/>
      <c r="O27" s="150"/>
      <c r="P27" s="511"/>
      <c r="R27" s="148"/>
      <c r="S27" s="149"/>
      <c r="T27" s="149"/>
      <c r="U27" s="149"/>
      <c r="V27" s="150"/>
      <c r="W27" s="149"/>
    </row>
    <row r="28" spans="1:23">
      <c r="A28" s="477"/>
      <c r="B28" s="1" t="s">
        <v>26</v>
      </c>
      <c r="C28" s="43">
        <f>'Mix énergie_2030'!J5*'Mix énergie_2030'!L5/11.63</f>
        <v>0.8463771536169028</v>
      </c>
      <c r="D28" s="510"/>
      <c r="E28" s="43">
        <f t="shared" si="3"/>
        <v>5.9246400753183201E-2</v>
      </c>
      <c r="F28" s="479"/>
      <c r="G28" s="41">
        <f>C28-E28</f>
        <v>0.78713075286371958</v>
      </c>
      <c r="H28" s="479"/>
      <c r="I28" s="1"/>
      <c r="J28" s="508"/>
      <c r="K28" s="470"/>
      <c r="L28" s="327"/>
      <c r="M28" s="470"/>
      <c r="N28" s="149"/>
      <c r="O28" s="150"/>
      <c r="P28" s="511"/>
      <c r="R28" s="148"/>
      <c r="S28" s="149"/>
      <c r="T28" s="149"/>
      <c r="U28" s="149"/>
      <c r="V28" s="150"/>
      <c r="W28" s="149"/>
    </row>
    <row r="29" spans="1:23">
      <c r="A29" s="477"/>
      <c r="B29" s="1" t="s">
        <v>23</v>
      </c>
      <c r="C29" s="319">
        <f>('Bilan enerdata v2206_2030'!H24+'Bilan enerdata v2206_2030'!H23*0.64-C30)-C27</f>
        <v>2.3991678334748596</v>
      </c>
      <c r="D29" s="510"/>
      <c r="E29" s="43">
        <f t="shared" si="3"/>
        <v>0.16794174834324019</v>
      </c>
      <c r="F29" s="479"/>
      <c r="G29" s="41">
        <f t="shared" si="2"/>
        <v>2.2312260851316195</v>
      </c>
      <c r="H29" s="479"/>
      <c r="I29" s="1"/>
      <c r="J29" s="508"/>
      <c r="K29" s="470"/>
      <c r="L29" s="327"/>
      <c r="M29" s="470"/>
      <c r="N29" s="149"/>
      <c r="O29" s="150"/>
      <c r="P29" s="511"/>
      <c r="R29" s="151">
        <f>SUM(S29:W29)</f>
        <v>3.9600294113214476</v>
      </c>
      <c r="S29" s="152">
        <f>'Bilan enerdata v2206_2030'!J37</f>
        <v>6.4536710533781346E-3</v>
      </c>
      <c r="T29" s="152">
        <f>'Bilan enerdata v2206_2030'!J33</f>
        <v>1.0065715207299948</v>
      </c>
      <c r="U29" s="152">
        <f>'Bilan enerdata v2206_2030'!J35</f>
        <v>2.1555790280909841</v>
      </c>
      <c r="V29" s="152">
        <f>'Bilan enerdata v2206_2030'!J36</f>
        <v>0.79142519144709034</v>
      </c>
      <c r="W29" s="152">
        <f>'Bilan enerdata v2206_2030'!J34</f>
        <v>0</v>
      </c>
    </row>
    <row r="30" spans="1:23">
      <c r="A30" s="477"/>
      <c r="B30" s="1" t="s">
        <v>24</v>
      </c>
      <c r="C30" s="320">
        <f>'Mix énergie_2030'!K5*'Mix énergie_2030'!L5/11.63</f>
        <v>0.4231885768084514</v>
      </c>
      <c r="D30" s="510"/>
      <c r="E30" s="43">
        <f t="shared" si="3"/>
        <v>2.96232003765916E-2</v>
      </c>
      <c r="F30" s="479"/>
      <c r="G30" s="41">
        <f t="shared" si="2"/>
        <v>0.39356537643185979</v>
      </c>
      <c r="H30" s="479"/>
      <c r="I30" s="1"/>
      <c r="J30" s="508"/>
      <c r="K30" s="470"/>
      <c r="L30" s="327"/>
      <c r="M30" s="470"/>
      <c r="N30" s="149"/>
      <c r="O30" s="150"/>
      <c r="P30" s="511"/>
      <c r="R30" s="148"/>
      <c r="S30" s="149"/>
      <c r="T30" s="149"/>
      <c r="U30" s="149"/>
      <c r="V30" s="150"/>
      <c r="W30" s="149"/>
    </row>
    <row r="31" spans="1:23">
      <c r="A31" s="477"/>
      <c r="B31" s="1" t="s">
        <v>33</v>
      </c>
      <c r="C31" s="320">
        <v>0</v>
      </c>
      <c r="D31" s="510"/>
      <c r="E31" s="43">
        <f t="shared" si="3"/>
        <v>0</v>
      </c>
      <c r="F31" s="479"/>
      <c r="G31" s="41">
        <f t="shared" si="2"/>
        <v>0</v>
      </c>
      <c r="H31" s="479"/>
      <c r="I31" s="1"/>
      <c r="J31" s="508"/>
      <c r="K31" s="470"/>
      <c r="L31" s="327"/>
      <c r="M31" s="470"/>
      <c r="N31" s="149"/>
      <c r="O31" s="150"/>
      <c r="P31" s="511"/>
      <c r="R31" s="148"/>
      <c r="S31" s="149"/>
      <c r="T31" s="149"/>
      <c r="U31" s="149"/>
      <c r="V31" s="150"/>
      <c r="W31" s="149"/>
    </row>
    <row r="32" spans="1:23">
      <c r="A32" s="477"/>
      <c r="B32" s="1" t="s">
        <v>29</v>
      </c>
      <c r="C32" s="43">
        <f>('Bilan enerdata v2206_2030'!E23*0.64+'Bilan enerdata v2206_2030'!E24)</f>
        <v>1.1033714738962501</v>
      </c>
      <c r="D32" s="510"/>
      <c r="E32" s="43">
        <f t="shared" si="3"/>
        <v>7.7236003172737516E-2</v>
      </c>
      <c r="F32" s="479"/>
      <c r="G32" s="41">
        <f>C32-E32</f>
        <v>1.0261354707235126</v>
      </c>
      <c r="H32" s="479"/>
      <c r="I32" s="1"/>
      <c r="J32" s="508"/>
      <c r="K32" s="470"/>
      <c r="L32" s="327"/>
      <c r="M32" s="470"/>
      <c r="N32" s="149"/>
      <c r="O32" s="150"/>
      <c r="P32" s="511"/>
      <c r="R32" s="153"/>
      <c r="S32" s="154"/>
      <c r="T32" s="154"/>
      <c r="U32" s="154"/>
      <c r="V32" s="155"/>
      <c r="W32" s="154"/>
    </row>
    <row r="33" spans="1:23">
      <c r="A33" s="321"/>
      <c r="B33" s="1" t="s">
        <v>27</v>
      </c>
      <c r="C33" s="34">
        <f>'Bilan enerdata v2206_2030'!D24+'Bilan enerdata v2206_2030'!D23*0.64</f>
        <v>0</v>
      </c>
      <c r="D33" s="510"/>
      <c r="E33" s="43">
        <f t="shared" si="3"/>
        <v>0</v>
      </c>
      <c r="F33" s="323"/>
      <c r="G33" s="41">
        <f t="shared" ref="G33:G34" si="4">C33-E33</f>
        <v>0</v>
      </c>
      <c r="H33" s="323"/>
      <c r="I33" s="1"/>
      <c r="J33" s="322"/>
      <c r="K33" s="323"/>
      <c r="L33" s="323"/>
      <c r="M33" s="323"/>
      <c r="N33" s="323"/>
      <c r="O33" s="323"/>
      <c r="P33" s="323"/>
      <c r="R33" s="322"/>
      <c r="S33" s="323"/>
      <c r="T33" s="323"/>
      <c r="U33" s="323"/>
      <c r="V33" s="323"/>
      <c r="W33" s="323"/>
    </row>
    <row r="34" spans="1:23">
      <c r="A34" s="321"/>
      <c r="B34" s="1" t="s">
        <v>28</v>
      </c>
      <c r="C34" s="34">
        <f>'Bilan enerdata v2206_2030'!B24+0.64*'Bilan enerdata v2206_2030'!B23</f>
        <v>0</v>
      </c>
      <c r="D34" s="510"/>
      <c r="E34" s="43">
        <f t="shared" si="3"/>
        <v>0</v>
      </c>
      <c r="F34" s="323"/>
      <c r="G34" s="41">
        <f t="shared" si="4"/>
        <v>0</v>
      </c>
      <c r="H34" s="323"/>
      <c r="I34" s="1"/>
      <c r="J34" s="322"/>
      <c r="K34" s="323"/>
      <c r="L34" s="323"/>
      <c r="M34" s="323"/>
      <c r="N34" s="323"/>
      <c r="O34" s="323"/>
      <c r="P34" s="323"/>
      <c r="R34" s="322"/>
      <c r="S34" s="323"/>
      <c r="T34" s="323"/>
      <c r="U34" s="323"/>
      <c r="V34" s="323"/>
      <c r="W34" s="323"/>
    </row>
    <row r="35" spans="1:23">
      <c r="A35" s="4"/>
      <c r="B35" s="1"/>
      <c r="C35" s="22"/>
      <c r="D35" s="37"/>
      <c r="E35" s="1"/>
      <c r="F35" s="1"/>
      <c r="G35" s="44"/>
      <c r="H35" s="45">
        <f>-'Bilan enerdata v2206_2030'!J23-'Bilan enerdata v2206_2030'!J24</f>
        <v>5.0031456465819746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472" t="s">
        <v>34</v>
      </c>
      <c r="B36" s="1" t="s">
        <v>21</v>
      </c>
      <c r="C36" s="22">
        <v>0</v>
      </c>
      <c r="D36" s="472">
        <f>SUM(C36:C46)</f>
        <v>58.20968920247843</v>
      </c>
      <c r="E36" s="47"/>
      <c r="F36" s="474"/>
      <c r="G36" s="17">
        <f t="shared" ref="G36:G40" si="5">C36</f>
        <v>0</v>
      </c>
      <c r="H36" s="472">
        <f>SUM(G36:G46)</f>
        <v>57.080471718958798</v>
      </c>
      <c r="I36" s="48"/>
      <c r="J36" s="52"/>
      <c r="K36" s="48"/>
      <c r="L36" s="48"/>
      <c r="M36" s="48"/>
      <c r="N36" s="48"/>
      <c r="O36" s="48"/>
      <c r="P36" s="49"/>
      <c r="R36" s="156"/>
      <c r="S36" s="137">
        <v>0</v>
      </c>
      <c r="T36" s="135">
        <v>0</v>
      </c>
      <c r="U36" s="137">
        <v>0</v>
      </c>
      <c r="V36" s="157">
        <v>0</v>
      </c>
      <c r="W36" s="156">
        <v>0</v>
      </c>
    </row>
    <row r="37" spans="1:23">
      <c r="A37" s="472"/>
      <c r="B37" s="1" t="s">
        <v>23</v>
      </c>
      <c r="C37" s="324">
        <f>'Bilan enerdata v2206_2030'!H18-C38-C39-C12-C14-C27-C30-C41+I37-'Bilan enerdata v2206_2030'!H25-'Bilan enerdata v2206_2030'!H29-C44-C40-C31-C29-C13-8</f>
        <v>3.9124762153798578</v>
      </c>
      <c r="D37" s="472"/>
      <c r="E37" s="332">
        <f>'Bilan enerdata v2206_2030'!H29</f>
        <v>5.1017483519633131E-2</v>
      </c>
      <c r="F37" s="474"/>
      <c r="G37" s="17">
        <f>C37-E37</f>
        <v>3.8614587318602247</v>
      </c>
      <c r="H37" s="472"/>
      <c r="I37" s="330"/>
      <c r="J37" s="52"/>
      <c r="K37" s="48"/>
      <c r="L37" s="48"/>
      <c r="M37" s="50"/>
      <c r="N37" s="48"/>
      <c r="O37" s="48"/>
      <c r="P37" s="51">
        <f>SUM(G36:G41)-I37</f>
        <v>11.159694447083078</v>
      </c>
      <c r="R37" s="158"/>
      <c r="S37" s="295">
        <f>'Bilan enerdata v2206_2030'!H37-S39</f>
        <v>0.23881607523134199</v>
      </c>
      <c r="T37" s="295">
        <f>'Bilan enerdata v2206_2030'!H33</f>
        <v>2.797481014933286</v>
      </c>
      <c r="U37" s="295">
        <f>'Bilan enerdata v2206_2030'!H35-'Bilan 2030'!U38-'Bilan 2030'!U39-8</f>
        <v>0.3439461331680338</v>
      </c>
      <c r="V37" s="298">
        <f>'Bilan enerdata v2206_2030'!H36-'Bilan 2030'!V39-V38</f>
        <v>0.53223299204719865</v>
      </c>
      <c r="W37" s="136">
        <f t="shared" ref="W37" si="6">I37</f>
        <v>0</v>
      </c>
    </row>
    <row r="38" spans="1:23">
      <c r="A38" s="472"/>
      <c r="B38" s="1" t="s">
        <v>33</v>
      </c>
      <c r="C38" s="41">
        <f>SUM(S38:W38)</f>
        <v>0.68969201589554152</v>
      </c>
      <c r="D38" s="472"/>
      <c r="E38" s="47"/>
      <c r="F38" s="474"/>
      <c r="G38" s="17">
        <f t="shared" si="5"/>
        <v>0.68969201589554152</v>
      </c>
      <c r="H38" s="472"/>
      <c r="I38" s="48"/>
      <c r="J38" s="52"/>
      <c r="K38" s="48"/>
      <c r="L38" s="48"/>
      <c r="M38" s="52"/>
      <c r="N38" s="48"/>
      <c r="O38" s="48"/>
      <c r="P38" s="53"/>
      <c r="R38" s="158"/>
      <c r="S38" s="137">
        <v>0</v>
      </c>
      <c r="T38" s="135">
        <v>0</v>
      </c>
      <c r="U38" s="136">
        <f>'Modèle résidentiel hch_2030'!B8/11.63</f>
        <v>0.21006687873477212</v>
      </c>
      <c r="V38" s="159">
        <f>'Format demande MedPro_2030'!C226</f>
        <v>0.47962513716076938</v>
      </c>
      <c r="W38" s="156">
        <v>0</v>
      </c>
    </row>
    <row r="39" spans="1:23">
      <c r="A39" s="472"/>
      <c r="B39" s="1" t="s">
        <v>35</v>
      </c>
      <c r="C39" s="41">
        <f>SUM(S39:W39)-C40</f>
        <v>0.88986194883190928</v>
      </c>
      <c r="D39" s="472"/>
      <c r="E39" s="47"/>
      <c r="F39" s="474"/>
      <c r="G39" s="17">
        <f t="shared" si="5"/>
        <v>0.88986194883190928</v>
      </c>
      <c r="H39" s="472"/>
      <c r="I39" s="48"/>
      <c r="J39" s="52"/>
      <c r="K39" s="48"/>
      <c r="L39" s="48"/>
      <c r="M39" s="52"/>
      <c r="N39" s="48"/>
      <c r="O39" s="48"/>
      <c r="P39" s="53"/>
      <c r="R39" s="158"/>
      <c r="S39" s="299">
        <f>'Format demande MedPro_2030'!C360</f>
        <v>0.1</v>
      </c>
      <c r="T39" s="135">
        <v>0</v>
      </c>
      <c r="U39" s="296">
        <f>'Modèle résidentiel ch_2030'!J9/11.63+'Modèle résidentiel hch_2030'!B9/11.63*2/3</f>
        <v>1.7463089801297014</v>
      </c>
      <c r="V39" s="315">
        <f>('Modèle tertiaire_2030'!J3+'Modèle tertiaire_2030'!J4)/11.63+'Corrections Bilan enerdata'!H21*('Modèle tertiaire_2030'!J3+'Modèle tertiaire_2030'!J4)/('Modèle tertiaire_2030'!J3+'Modèle tertiaire_2030'!J4+'Modèle tertiaire_2030'!F3+'Modèle tertiaire_2030'!F4+'Modèle tertiaire_2030'!I3+'Modèle tertiaire_2030'!I4)</f>
        <v>1.5435529687022078</v>
      </c>
      <c r="W39" s="156">
        <v>0</v>
      </c>
    </row>
    <row r="40" spans="1:23">
      <c r="A40" s="472"/>
      <c r="B40" s="1" t="s">
        <v>36</v>
      </c>
      <c r="C40" s="41">
        <v>2.5</v>
      </c>
      <c r="D40" s="472"/>
      <c r="E40" s="47"/>
      <c r="F40" s="474"/>
      <c r="G40" s="17">
        <f t="shared" si="5"/>
        <v>2.5</v>
      </c>
      <c r="H40" s="472"/>
      <c r="I40" s="48"/>
      <c r="J40" s="52"/>
      <c r="K40" s="48"/>
      <c r="L40" s="48"/>
      <c r="M40" s="48"/>
      <c r="N40" s="48"/>
      <c r="O40" s="48"/>
      <c r="P40" s="53"/>
      <c r="R40" s="158"/>
      <c r="S40" s="299"/>
      <c r="T40" s="135"/>
      <c r="U40" s="299"/>
      <c r="V40" s="315"/>
      <c r="W40" s="134">
        <v>0</v>
      </c>
    </row>
    <row r="41" spans="1:23">
      <c r="A41" s="472"/>
      <c r="B41" s="1" t="s">
        <v>37</v>
      </c>
      <c r="C41" s="41">
        <f>SUM(S41:W41)</f>
        <v>3.2186817504954033</v>
      </c>
      <c r="D41" s="472"/>
      <c r="E41" s="54"/>
      <c r="F41" s="474"/>
      <c r="G41" s="17">
        <f>C41</f>
        <v>3.2186817504954033</v>
      </c>
      <c r="H41" s="472"/>
      <c r="I41" s="48"/>
      <c r="J41" s="52"/>
      <c r="K41" s="48"/>
      <c r="L41" s="48"/>
      <c r="M41" s="48"/>
      <c r="N41" s="48"/>
      <c r="O41" s="48"/>
      <c r="P41" s="51">
        <f>G42</f>
        <v>27.751715068457877</v>
      </c>
      <c r="R41" s="156"/>
      <c r="S41" s="135">
        <v>0</v>
      </c>
      <c r="T41" s="135">
        <v>0</v>
      </c>
      <c r="U41" s="135">
        <v>0</v>
      </c>
      <c r="V41" s="135">
        <v>0</v>
      </c>
      <c r="W41" s="136">
        <f>'Bilan enerdata v2206_2030'!H34</f>
        <v>3.2186817504954033</v>
      </c>
    </row>
    <row r="42" spans="1:23">
      <c r="A42" s="472"/>
      <c r="B42" s="1" t="s">
        <v>38</v>
      </c>
      <c r="C42" s="41">
        <f>W42</f>
        <v>27.751715068457877</v>
      </c>
      <c r="D42" s="472"/>
      <c r="F42" s="474"/>
      <c r="G42" s="17">
        <f>C42-E42</f>
        <v>27.751715068457877</v>
      </c>
      <c r="H42" s="472"/>
      <c r="J42" s="52"/>
      <c r="K42" s="48"/>
      <c r="L42" s="48"/>
      <c r="M42" s="48"/>
      <c r="N42" s="48"/>
      <c r="O42" s="48"/>
      <c r="P42" s="53"/>
      <c r="R42" s="158">
        <f>SUM(S36:W46)</f>
        <v>44.516371527075563</v>
      </c>
      <c r="S42" s="134">
        <v>0</v>
      </c>
      <c r="T42" s="134">
        <v>0</v>
      </c>
      <c r="U42" s="134">
        <v>0</v>
      </c>
      <c r="V42" s="134">
        <v>0</v>
      </c>
      <c r="W42" s="135">
        <f>'Bilan enerdata v2206_2030'!D34</f>
        <v>27.751715068457877</v>
      </c>
    </row>
    <row r="43" spans="1:23">
      <c r="A43" s="472"/>
      <c r="B43" s="1" t="s">
        <v>39</v>
      </c>
      <c r="C43" s="41">
        <f>-'Bilan enerdata v2206_2030'!D26-'Bilan 2030'!C42+'Bilan enerdata v2206_2030'!D13+'Bilan enerdata v2206_2030'!D14+'Bilan enerdata v2206_2030'!D15+'Bilan enerdata v2206_2030'!D16+'Bilan enerdata v2206_2030'!D17</f>
        <v>15.156860328237467</v>
      </c>
      <c r="D43" s="472"/>
      <c r="E43" s="337">
        <f>'Bilan enerdata v2206_2030'!D29</f>
        <v>1.0782</v>
      </c>
      <c r="F43" s="474"/>
      <c r="G43" s="17">
        <f>C43-E43</f>
        <v>14.078660328237467</v>
      </c>
      <c r="H43" s="472"/>
      <c r="I43" s="48"/>
      <c r="J43" s="52"/>
      <c r="K43" s="48"/>
      <c r="L43" s="48"/>
      <c r="M43" s="48"/>
      <c r="N43" s="48"/>
      <c r="O43" s="48"/>
      <c r="P43" s="51">
        <f>G43-E53</f>
        <v>5.5517308087444714</v>
      </c>
      <c r="R43" s="158"/>
      <c r="S43" s="135">
        <f>'Bilan enerdata v2206_2030'!D37</f>
        <v>2.28816075231342</v>
      </c>
      <c r="T43" s="135">
        <f>'Bilan enerdata v2206_2030'!D33</f>
        <v>0.91047471072988595</v>
      </c>
      <c r="U43" s="135">
        <f>'Bilan enerdata v2206_2030'!D35</f>
        <v>1.746497298641001</v>
      </c>
      <c r="V43" s="135">
        <f>'Bilan enerdata v2206_2030'!D36</f>
        <v>0.60659804706016329</v>
      </c>
      <c r="W43" s="135">
        <v>0</v>
      </c>
    </row>
    <row r="44" spans="1:23">
      <c r="A44" s="472"/>
      <c r="B44" s="1" t="s">
        <v>40</v>
      </c>
      <c r="C44" s="324">
        <v>0</v>
      </c>
      <c r="D44" s="472"/>
      <c r="E44" s="54"/>
      <c r="F44" s="474"/>
      <c r="G44" s="17">
        <f t="shared" si="0"/>
        <v>0</v>
      </c>
      <c r="H44" s="472"/>
      <c r="I44" s="48"/>
      <c r="J44" s="52"/>
      <c r="K44" s="48"/>
      <c r="L44" s="48"/>
      <c r="M44" s="48"/>
      <c r="N44" s="48"/>
      <c r="O44" s="48"/>
      <c r="P44" s="53"/>
      <c r="R44" s="158"/>
      <c r="S44" s="294"/>
      <c r="T44" s="294"/>
      <c r="U44" s="294"/>
      <c r="V44" s="294"/>
      <c r="W44" s="135">
        <v>0</v>
      </c>
    </row>
    <row r="45" spans="1:23">
      <c r="A45" s="472"/>
      <c r="B45" s="1" t="s">
        <v>41</v>
      </c>
      <c r="C45" s="335">
        <f>'Bilan enerdata v2206_2030'!E39+'Bilan enerdata v2206_2030'!K39</f>
        <v>1.9477571498404331</v>
      </c>
      <c r="D45" s="472"/>
      <c r="E45" s="54"/>
      <c r="F45" s="474"/>
      <c r="G45" s="17">
        <f t="shared" si="0"/>
        <v>1.9477571498404331</v>
      </c>
      <c r="H45" s="472"/>
      <c r="I45" s="48"/>
      <c r="J45" s="52"/>
      <c r="K45" s="48"/>
      <c r="L45" s="48"/>
      <c r="M45" s="48"/>
      <c r="N45" s="48"/>
      <c r="O45" s="48"/>
      <c r="P45" s="53"/>
      <c r="R45" s="158"/>
      <c r="S45" s="136">
        <v>0</v>
      </c>
      <c r="T45" s="135">
        <v>0</v>
      </c>
      <c r="U45" s="136">
        <v>0</v>
      </c>
      <c r="V45" s="160">
        <v>0</v>
      </c>
      <c r="W45" s="135">
        <v>0</v>
      </c>
    </row>
    <row r="46" spans="1:23">
      <c r="A46" s="472"/>
      <c r="B46" s="1" t="s">
        <v>42</v>
      </c>
      <c r="C46" s="41">
        <f>'Bilan enerdata v2206_2030'!B18-C34-C18+I46</f>
        <v>2.1426447253399448</v>
      </c>
      <c r="D46" s="472"/>
      <c r="E46" s="55"/>
      <c r="F46" s="474"/>
      <c r="G46" s="17">
        <f>C46</f>
        <v>2.1426447253399448</v>
      </c>
      <c r="H46" s="472"/>
      <c r="I46" s="331"/>
      <c r="J46" s="52"/>
      <c r="K46" s="48"/>
      <c r="L46" s="48"/>
      <c r="M46" s="48"/>
      <c r="N46" s="48"/>
      <c r="O46" s="48"/>
      <c r="P46" s="56">
        <f>G46-I466-E51</f>
        <v>2.2137192704976272E-3</v>
      </c>
      <c r="R46" s="161"/>
      <c r="S46" s="162">
        <f>'Bilan enerdata v2206_2030'!B37</f>
        <v>2.2137192704974398E-3</v>
      </c>
      <c r="T46" s="163">
        <f>'Bilan enerdata v2206_2030'!B33</f>
        <v>0</v>
      </c>
      <c r="U46" s="164">
        <f>'Bilan enerdata v2206_2030'!B35</f>
        <v>0</v>
      </c>
      <c r="V46" s="165">
        <f>'Bilan enerdata v2206_2030'!B36</f>
        <v>0</v>
      </c>
      <c r="W46" s="166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 v2206_2030'!B28+'Bilan enerdata v2206_2030'!B39</f>
        <v>2.1404310060694471</v>
      </c>
      <c r="F51" s="328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12.615117675402875</v>
      </c>
    </row>
    <row r="52" spans="1:18">
      <c r="A52" s="22"/>
      <c r="B52" s="1" t="s">
        <v>41</v>
      </c>
      <c r="C52" s="69"/>
      <c r="D52" s="17"/>
      <c r="E52" s="70">
        <f>'Bilan enerdata v2206_2030'!E39+'Bilan enerdata v2206_2030'!K39</f>
        <v>1.9477571498404331</v>
      </c>
      <c r="F52" s="328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 v2206_2030'!D28+'Bilan enerdata v2206_2030'!D39</f>
        <v>8.5269295194929953</v>
      </c>
      <c r="F53" s="328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F36:F46"/>
    <mergeCell ref="H36:H46"/>
    <mergeCell ref="P26:P32"/>
    <mergeCell ref="D26:D34"/>
    <mergeCell ref="A36:A46"/>
    <mergeCell ref="D36:D46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W53"/>
  <sheetViews>
    <sheetView tabSelected="1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I13" sqref="I13"/>
    </sheetView>
  </sheetViews>
  <sheetFormatPr baseColWidth="10" defaultRowHeight="15"/>
  <cols>
    <col min="1" max="1" width="11.42578125" style="300"/>
    <col min="2" max="2" width="25.85546875" style="300" customWidth="1"/>
    <col min="3" max="17" width="11.42578125" style="300"/>
    <col min="18" max="23" width="11.42578125" style="22"/>
    <col min="24" max="16384" width="11.42578125" style="300"/>
  </cols>
  <sheetData>
    <row r="1" spans="1:23">
      <c r="A1" s="1"/>
      <c r="B1" s="1"/>
      <c r="C1" s="490" t="s">
        <v>0</v>
      </c>
      <c r="D1" s="490"/>
      <c r="E1" s="490"/>
      <c r="F1" s="490"/>
      <c r="G1" s="490"/>
      <c r="H1" s="490"/>
      <c r="I1" s="2"/>
      <c r="J1" s="491" t="s">
        <v>1</v>
      </c>
      <c r="K1" s="491"/>
      <c r="L1" s="491"/>
      <c r="M1" s="491"/>
      <c r="N1" s="491"/>
      <c r="O1" s="491"/>
      <c r="P1" s="491"/>
    </row>
    <row r="2" spans="1:23">
      <c r="A2" s="1"/>
      <c r="B2" s="1"/>
      <c r="C2" s="493" t="s">
        <v>2</v>
      </c>
      <c r="D2" s="503"/>
      <c r="E2" s="495" t="s">
        <v>3</v>
      </c>
      <c r="F2" s="494"/>
      <c r="G2" s="494"/>
      <c r="H2" s="494"/>
      <c r="I2" s="3"/>
      <c r="J2" s="504" t="s">
        <v>4</v>
      </c>
      <c r="K2" s="498" t="s">
        <v>5</v>
      </c>
      <c r="L2" s="496"/>
      <c r="M2" s="496"/>
      <c r="N2" s="496"/>
      <c r="O2" s="496"/>
      <c r="P2" s="504"/>
      <c r="R2" s="109"/>
      <c r="S2" s="110"/>
      <c r="T2" s="109"/>
      <c r="U2" s="111" t="s">
        <v>90</v>
      </c>
      <c r="V2" s="110"/>
      <c r="W2" s="112"/>
    </row>
    <row r="3" spans="1:23" ht="51">
      <c r="A3" s="4"/>
      <c r="B3" s="4"/>
      <c r="C3" s="5"/>
      <c r="D3" s="5"/>
      <c r="E3" s="6" t="s">
        <v>6</v>
      </c>
      <c r="F3" s="7"/>
      <c r="G3" s="501" t="s">
        <v>7</v>
      </c>
      <c r="H3" s="505"/>
      <c r="I3" s="8" t="s">
        <v>75</v>
      </c>
      <c r="J3" s="504"/>
      <c r="K3" s="498"/>
      <c r="L3" s="496"/>
      <c r="M3" s="496"/>
      <c r="N3" s="496"/>
      <c r="O3" s="496"/>
      <c r="P3" s="504"/>
      <c r="R3" s="113"/>
      <c r="S3" s="114"/>
      <c r="T3" s="114"/>
      <c r="U3" s="114"/>
      <c r="V3" s="114"/>
      <c r="W3" s="112"/>
    </row>
    <row r="4" spans="1:23">
      <c r="A4" s="9" t="s">
        <v>8</v>
      </c>
      <c r="B4" s="9" t="s">
        <v>9</v>
      </c>
      <c r="C4" s="10"/>
      <c r="D4" s="11" t="s">
        <v>10</v>
      </c>
      <c r="E4" s="12"/>
      <c r="F4" s="13" t="s">
        <v>10</v>
      </c>
      <c r="G4" s="12"/>
      <c r="H4" s="13" t="s">
        <v>10</v>
      </c>
      <c r="I4" s="11"/>
      <c r="J4" s="504"/>
      <c r="K4" s="14" t="s">
        <v>11</v>
      </c>
      <c r="L4" s="14" t="s">
        <v>12</v>
      </c>
      <c r="M4" s="14" t="s">
        <v>13</v>
      </c>
      <c r="N4" s="15" t="s">
        <v>14</v>
      </c>
      <c r="O4" s="16" t="s">
        <v>15</v>
      </c>
      <c r="P4" s="16" t="s">
        <v>16</v>
      </c>
      <c r="R4" s="115" t="s">
        <v>10</v>
      </c>
      <c r="S4" s="115" t="s">
        <v>91</v>
      </c>
      <c r="T4" s="115" t="s">
        <v>92</v>
      </c>
      <c r="U4" s="116" t="s">
        <v>93</v>
      </c>
      <c r="V4" s="117" t="s">
        <v>94</v>
      </c>
      <c r="W4" s="117" t="s">
        <v>95</v>
      </c>
    </row>
    <row r="5" spans="1:23">
      <c r="A5" s="17"/>
      <c r="B5" s="18"/>
      <c r="C5" s="19">
        <f>SUM(C7:C46)-N23-O23</f>
        <v>114.11422965393929</v>
      </c>
      <c r="D5" s="18"/>
      <c r="E5" s="20"/>
      <c r="F5" s="21"/>
      <c r="G5" s="22"/>
      <c r="H5" s="23"/>
      <c r="I5" s="22"/>
      <c r="J5" s="24"/>
      <c r="K5" s="25"/>
      <c r="L5" s="14"/>
      <c r="M5" s="14"/>
      <c r="N5" s="15"/>
      <c r="O5" s="16"/>
      <c r="P5" s="26">
        <f>P7+P23+P26+P41+P46+P37+P43</f>
        <v>75.936699100169733</v>
      </c>
      <c r="R5" s="118">
        <f>SUM(R13,R23,R26:R32,R42)</f>
        <v>76.109981830417667</v>
      </c>
      <c r="S5" s="118">
        <f>SUM(S7:S46)</f>
        <v>2.2905967833992089</v>
      </c>
      <c r="T5" s="118">
        <f>SUM(T7:T46)</f>
        <v>21.220993145364908</v>
      </c>
      <c r="U5" s="118">
        <f>SUM(U7:U46)</f>
        <v>21.202687103532384</v>
      </c>
      <c r="V5" s="297">
        <f>SUM(V7:V46)</f>
        <v>14.466516871408611</v>
      </c>
      <c r="W5" s="118">
        <f>SUM(W7:W46)</f>
        <v>16.929187926712565</v>
      </c>
    </row>
    <row r="6" spans="1:23">
      <c r="A6" s="1"/>
      <c r="B6" s="1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R6" s="119"/>
      <c r="S6" s="1"/>
      <c r="T6" s="1"/>
      <c r="U6" s="1"/>
      <c r="V6" s="1"/>
      <c r="W6" s="1"/>
    </row>
    <row r="7" spans="1:23">
      <c r="A7" s="486" t="s">
        <v>15</v>
      </c>
      <c r="B7" s="1" t="s">
        <v>17</v>
      </c>
      <c r="C7" s="17">
        <f>'Mix énergie_2050'!I14*'Mix énergie_2050'!L14/11.63</f>
        <v>19.776440240756681</v>
      </c>
      <c r="D7" s="506">
        <f>SUM(C7:C19)</f>
        <v>73.848243548045488</v>
      </c>
      <c r="E7" s="30"/>
      <c r="F7" s="488">
        <f>SUM(E7:E19)</f>
        <v>18.121238177128149</v>
      </c>
      <c r="G7" s="17">
        <f>C7-E7</f>
        <v>19.776440240756681</v>
      </c>
      <c r="H7" s="488">
        <f>SUM(G7:G19)</f>
        <v>55.727005370917333</v>
      </c>
      <c r="I7" s="22"/>
      <c r="J7" s="506">
        <f>H7-I13</f>
        <v>53.382809326205383</v>
      </c>
      <c r="K7" s="31"/>
      <c r="L7" s="31"/>
      <c r="M7" s="31"/>
      <c r="N7" s="32"/>
      <c r="O7" s="33"/>
      <c r="P7" s="502">
        <f>J7-K12-L12-M12-N12</f>
        <v>45.410087679838</v>
      </c>
      <c r="R7" s="120"/>
      <c r="S7" s="121"/>
      <c r="T7" s="122"/>
      <c r="U7" s="123"/>
      <c r="V7" s="122"/>
      <c r="W7" s="123"/>
    </row>
    <row r="8" spans="1:23">
      <c r="A8" s="486"/>
      <c r="B8" s="1" t="s">
        <v>18</v>
      </c>
      <c r="C8" s="17">
        <f>'Mix énergie_2050'!H14*'Mix énergie_2050'!L14/11.63</f>
        <v>5.5030094582975071</v>
      </c>
      <c r="D8" s="506"/>
      <c r="E8" s="30">
        <f>C8-G8</f>
        <v>0</v>
      </c>
      <c r="F8" s="488"/>
      <c r="G8" s="17">
        <f>C8</f>
        <v>5.5030094582975071</v>
      </c>
      <c r="H8" s="488"/>
      <c r="I8" s="22"/>
      <c r="J8" s="506"/>
      <c r="K8" s="31"/>
      <c r="L8" s="31"/>
      <c r="M8" s="31"/>
      <c r="N8" s="32"/>
      <c r="O8" s="33"/>
      <c r="P8" s="502"/>
      <c r="R8" s="124"/>
      <c r="S8" s="125"/>
      <c r="T8" s="126"/>
      <c r="U8" s="127"/>
      <c r="V8" s="126"/>
      <c r="W8" s="127"/>
    </row>
    <row r="9" spans="1:23">
      <c r="A9" s="486"/>
      <c r="B9" s="1" t="s">
        <v>19</v>
      </c>
      <c r="C9" s="17">
        <f>'Mix énergie_2050'!J14*'Mix énergie_2050'!L14/11.63</f>
        <v>21.496130696474644</v>
      </c>
      <c r="D9" s="506"/>
      <c r="E9" s="30"/>
      <c r="F9" s="488"/>
      <c r="G9" s="17">
        <f t="shared" ref="G9:G45" si="0">C9-E9</f>
        <v>21.496130696474644</v>
      </c>
      <c r="H9" s="488"/>
      <c r="I9" s="22"/>
      <c r="J9" s="506"/>
      <c r="K9" s="31"/>
      <c r="L9" s="31"/>
      <c r="M9" s="31"/>
      <c r="N9" s="32"/>
      <c r="O9" s="33"/>
      <c r="P9" s="502"/>
      <c r="R9" s="124"/>
      <c r="S9" s="125"/>
      <c r="T9" s="126"/>
      <c r="U9" s="127"/>
      <c r="V9" s="126"/>
      <c r="W9" s="127"/>
    </row>
    <row r="10" spans="1:23">
      <c r="A10" s="486"/>
      <c r="B10" s="1" t="s">
        <v>20</v>
      </c>
      <c r="C10" s="17">
        <f>'Mix énergie_2050'!C14*'Mix énergie_2050'!L14/0.345/11.63</f>
        <v>24.923050082869189</v>
      </c>
      <c r="D10" s="506"/>
      <c r="E10" s="325">
        <f>C10*(1-0.31)</f>
        <v>17.196904557179739</v>
      </c>
      <c r="F10" s="488"/>
      <c r="G10" s="30">
        <f>C10-E10</f>
        <v>7.72614552568945</v>
      </c>
      <c r="H10" s="488"/>
      <c r="I10" s="22"/>
      <c r="J10" s="506"/>
      <c r="K10" s="31"/>
      <c r="L10" s="31"/>
      <c r="M10" s="31"/>
      <c r="N10" s="32"/>
      <c r="O10" s="33"/>
      <c r="P10" s="502"/>
      <c r="R10" s="124"/>
      <c r="S10" s="125"/>
      <c r="T10" s="126"/>
      <c r="U10" s="127"/>
      <c r="V10" s="126"/>
      <c r="W10" s="127"/>
    </row>
    <row r="11" spans="1:23">
      <c r="A11" s="486"/>
      <c r="B11" s="1" t="s">
        <v>21</v>
      </c>
      <c r="C11" s="17">
        <f>'Mix énergie_2050'!F14*'Mix énergie_2050'!L14/11.63</f>
        <v>0</v>
      </c>
      <c r="D11" s="506"/>
      <c r="E11" s="30"/>
      <c r="F11" s="488"/>
      <c r="G11" s="17">
        <f>C11-E11</f>
        <v>0</v>
      </c>
      <c r="H11" s="488"/>
      <c r="I11" s="22"/>
      <c r="J11" s="506"/>
      <c r="K11" s="31"/>
      <c r="L11" s="31"/>
      <c r="M11" s="31"/>
      <c r="N11" s="32"/>
      <c r="O11" s="33"/>
      <c r="P11" s="502"/>
      <c r="R11" s="124"/>
      <c r="S11" s="125"/>
      <c r="T11" s="126"/>
      <c r="U11" s="127"/>
      <c r="V11" s="126"/>
      <c r="W11" s="127"/>
    </row>
    <row r="12" spans="1:23">
      <c r="A12" s="486"/>
      <c r="B12" s="1" t="s">
        <v>22</v>
      </c>
      <c r="C12" s="318">
        <f>'Bilan enerdata v2206_2050'!H22+'Bilan enerdata v2206_2050'!H23*0.36</f>
        <v>0</v>
      </c>
      <c r="D12" s="506"/>
      <c r="E12" s="30">
        <f>C12-G12</f>
        <v>0</v>
      </c>
      <c r="F12" s="488"/>
      <c r="G12" s="17">
        <f>0.4*C12</f>
        <v>0</v>
      </c>
      <c r="H12" s="488"/>
      <c r="I12" s="22"/>
      <c r="J12" s="506"/>
      <c r="K12" s="31">
        <f>'Bilan enerdata v2206_2050'!I30</f>
        <v>3.6734955070724626</v>
      </c>
      <c r="L12" s="31">
        <v>0</v>
      </c>
      <c r="M12" s="31">
        <f>'Bilan enerdata v2206_2050'!I27</f>
        <v>4.2992261392949267</v>
      </c>
      <c r="N12" s="32"/>
      <c r="O12" s="33">
        <v>0</v>
      </c>
      <c r="P12" s="502"/>
      <c r="R12" s="124"/>
      <c r="S12" s="125"/>
      <c r="T12" s="126"/>
      <c r="U12" s="127"/>
      <c r="V12" s="126"/>
      <c r="W12" s="127"/>
    </row>
    <row r="13" spans="1:23">
      <c r="A13" s="486"/>
      <c r="B13" s="1" t="s">
        <v>23</v>
      </c>
      <c r="C13" s="316">
        <v>0</v>
      </c>
      <c r="D13" s="506"/>
      <c r="E13" s="30"/>
      <c r="F13" s="488"/>
      <c r="G13" s="17"/>
      <c r="H13" s="488"/>
      <c r="I13" s="326">
        <f>'Bilan enerdata v2206_2050'!I29</f>
        <v>2.3441960447119525</v>
      </c>
      <c r="J13" s="506"/>
      <c r="K13" s="31"/>
      <c r="L13" s="31"/>
      <c r="M13" s="31"/>
      <c r="N13" s="32"/>
      <c r="O13" s="33"/>
      <c r="P13" s="502"/>
      <c r="R13" s="124">
        <f>SUM(S7:W19)</f>
        <v>45.637352436952433</v>
      </c>
      <c r="S13" s="128">
        <f>'Bilan enerdata v2206_2050'!I37</f>
        <v>0.708817452060579</v>
      </c>
      <c r="T13" s="126">
        <f>'Bilan enerdata v2206_2050'!I33</f>
        <v>15.692222796920932</v>
      </c>
      <c r="U13" s="126">
        <f>'Bilan enerdata v2206_2050'!I35</f>
        <v>11.1263428965709</v>
      </c>
      <c r="V13" s="126">
        <f>'Bilan enerdata v2206_2050'!I36</f>
        <v>9.9325738092989031</v>
      </c>
      <c r="W13" s="126">
        <f>'Bilan enerdata v2206_2050'!I34</f>
        <v>8.1773954821011205</v>
      </c>
    </row>
    <row r="14" spans="1:23">
      <c r="A14" s="486"/>
      <c r="B14" s="1" t="s">
        <v>24</v>
      </c>
      <c r="C14" s="17">
        <v>0</v>
      </c>
      <c r="D14" s="506"/>
      <c r="E14" s="30"/>
      <c r="F14" s="488"/>
      <c r="G14" s="17"/>
      <c r="H14" s="488"/>
      <c r="I14" s="22"/>
      <c r="J14" s="506"/>
      <c r="K14" s="31"/>
      <c r="L14" s="31"/>
      <c r="M14" s="31"/>
      <c r="N14" s="32"/>
      <c r="O14" s="33"/>
      <c r="P14" s="502"/>
      <c r="R14" s="124"/>
      <c r="S14" s="125"/>
      <c r="T14" s="126"/>
      <c r="U14" s="127"/>
      <c r="V14" s="126"/>
      <c r="W14" s="127"/>
    </row>
    <row r="15" spans="1:23">
      <c r="A15" s="486"/>
      <c r="B15" s="1" t="s">
        <v>25</v>
      </c>
      <c r="C15" s="17">
        <v>0</v>
      </c>
      <c r="D15" s="506"/>
      <c r="E15" s="30"/>
      <c r="F15" s="488"/>
      <c r="G15" s="17"/>
      <c r="H15" s="488"/>
      <c r="I15" s="22"/>
      <c r="J15" s="506"/>
      <c r="K15" s="31"/>
      <c r="L15" s="31"/>
      <c r="M15" s="31"/>
      <c r="N15" s="32"/>
      <c r="O15" s="33"/>
      <c r="P15" s="502"/>
      <c r="R15" s="124"/>
      <c r="S15" s="125"/>
      <c r="T15" s="126"/>
      <c r="U15" s="127"/>
      <c r="V15" s="126"/>
      <c r="W15" s="127"/>
    </row>
    <row r="16" spans="1:23">
      <c r="A16" s="486"/>
      <c r="B16" s="1" t="s">
        <v>26</v>
      </c>
      <c r="C16" s="17">
        <v>0</v>
      </c>
      <c r="D16" s="506"/>
      <c r="E16" s="30"/>
      <c r="F16" s="488"/>
      <c r="G16" s="17"/>
      <c r="H16" s="488"/>
      <c r="I16" s="22"/>
      <c r="J16" s="506"/>
      <c r="K16" s="31"/>
      <c r="L16" s="31"/>
      <c r="M16" s="31"/>
      <c r="N16" s="32"/>
      <c r="O16" s="33"/>
      <c r="P16" s="502"/>
      <c r="R16" s="124"/>
      <c r="S16" s="125"/>
      <c r="T16" s="126"/>
      <c r="U16" s="127"/>
      <c r="V16" s="126"/>
      <c r="W16" s="127"/>
    </row>
    <row r="17" spans="1:23">
      <c r="A17" s="486"/>
      <c r="B17" s="1" t="s">
        <v>27</v>
      </c>
      <c r="C17" s="17">
        <f>'Bilan enerdata v2206_2050'!D22+0.36*'Bilan enerdata v2206_2050'!D23</f>
        <v>0</v>
      </c>
      <c r="D17" s="506"/>
      <c r="E17" s="30">
        <f t="shared" ref="E17:E18" si="1">C17-G17</f>
        <v>0</v>
      </c>
      <c r="F17" s="488"/>
      <c r="G17" s="17">
        <f>0.4*C17</f>
        <v>0</v>
      </c>
      <c r="H17" s="488"/>
      <c r="I17" s="22"/>
      <c r="J17" s="506"/>
      <c r="K17" s="31"/>
      <c r="L17" s="31"/>
      <c r="M17" s="31"/>
      <c r="N17" s="32"/>
      <c r="O17" s="33"/>
      <c r="P17" s="502"/>
      <c r="R17" s="124"/>
      <c r="S17" s="125"/>
      <c r="T17" s="126"/>
      <c r="U17" s="127"/>
      <c r="V17" s="126"/>
      <c r="W17" s="127"/>
    </row>
    <row r="18" spans="1:23">
      <c r="A18" s="486"/>
      <c r="B18" s="1" t="s">
        <v>28</v>
      </c>
      <c r="C18" s="17">
        <f>'Bilan enerdata v2206_2050'!B22+0.36*'Bilan enerdata v2206_2050'!B23</f>
        <v>0</v>
      </c>
      <c r="D18" s="506"/>
      <c r="E18" s="30">
        <f t="shared" si="1"/>
        <v>0</v>
      </c>
      <c r="F18" s="488"/>
      <c r="G18" s="17">
        <f>0.25*C18</f>
        <v>0</v>
      </c>
      <c r="H18" s="488"/>
      <c r="I18" s="22"/>
      <c r="J18" s="506"/>
      <c r="K18" s="31"/>
      <c r="L18" s="31"/>
      <c r="M18" s="31"/>
      <c r="N18" s="32"/>
      <c r="O18" s="33"/>
      <c r="P18" s="502"/>
      <c r="R18" s="124"/>
      <c r="S18" s="125"/>
      <c r="T18" s="126"/>
      <c r="U18" s="127"/>
      <c r="V18" s="126"/>
      <c r="W18" s="127"/>
    </row>
    <row r="19" spans="1:23">
      <c r="A19" s="486"/>
      <c r="B19" s="317" t="s">
        <v>262</v>
      </c>
      <c r="C19" s="17">
        <f>O23</f>
        <v>2.1496130696474633</v>
      </c>
      <c r="D19" s="506"/>
      <c r="E19" s="30">
        <f>C19-G19</f>
        <v>0.92433361994840935</v>
      </c>
      <c r="F19" s="488"/>
      <c r="G19" s="17">
        <f>0.57*C19</f>
        <v>1.225279449699054</v>
      </c>
      <c r="H19" s="488"/>
      <c r="I19" s="22"/>
      <c r="J19" s="506"/>
      <c r="K19" s="31"/>
      <c r="L19" s="31"/>
      <c r="M19" s="31"/>
      <c r="N19" s="32"/>
      <c r="O19" s="33"/>
      <c r="P19" s="502"/>
      <c r="R19" s="129"/>
      <c r="S19" s="130"/>
      <c r="T19" s="131"/>
      <c r="U19" s="132"/>
      <c r="V19" s="131"/>
      <c r="W19" s="132"/>
    </row>
    <row r="20" spans="1:23">
      <c r="A20" s="1"/>
      <c r="B20" s="1"/>
      <c r="C20" s="35"/>
      <c r="D20" s="36"/>
      <c r="E20" s="17"/>
      <c r="F20" s="36"/>
      <c r="G20" s="36"/>
      <c r="H20" s="36">
        <f>-'Bilan enerdata v2206_2050'!I22</f>
        <v>56.673999999999992</v>
      </c>
      <c r="I20" s="17"/>
      <c r="J20" s="1"/>
      <c r="K20" s="17"/>
      <c r="L20" s="1"/>
      <c r="M20" s="1"/>
      <c r="N20" s="1"/>
      <c r="O20" s="1"/>
      <c r="P20" s="37"/>
      <c r="R20" s="17"/>
      <c r="S20" s="1"/>
      <c r="T20" s="17"/>
      <c r="U20" s="1"/>
      <c r="V20" s="17"/>
      <c r="W20" s="1"/>
    </row>
    <row r="21" spans="1:23">
      <c r="A21" s="481" t="s">
        <v>13</v>
      </c>
      <c r="B21" s="1" t="s">
        <v>21</v>
      </c>
      <c r="C21" s="17">
        <f>-'Bilan enerdata v2206_2050'!E25-'Bilan enerdata v2206_2050'!E28-'Bilan enerdata v2206_2050'!E39</f>
        <v>13.291588397856144</v>
      </c>
      <c r="D21" s="509">
        <f>SUM(C21:C24)</f>
        <v>15.871124081433098</v>
      </c>
      <c r="E21" s="22"/>
      <c r="F21" s="482"/>
      <c r="G21" s="17">
        <f t="shared" si="0"/>
        <v>13.291588397856144</v>
      </c>
      <c r="H21" s="484">
        <f>SUM(G21:G24)</f>
        <v>13.377572920642042</v>
      </c>
      <c r="I21" s="17"/>
      <c r="J21" s="482">
        <f>H21-I22</f>
        <v>13.377572920642042</v>
      </c>
      <c r="K21" s="507">
        <f>'Bilan enerdata v2206_2050'!E30</f>
        <v>0.15893900909970565</v>
      </c>
      <c r="L21" s="507">
        <f>-('Bilan enerdata v2206_2050'!E13+'Bilan enerdata v2206_2050'!E14)</f>
        <v>0</v>
      </c>
      <c r="M21" s="507">
        <v>0</v>
      </c>
      <c r="N21" s="38"/>
      <c r="O21" s="38"/>
      <c r="P21" s="38"/>
      <c r="R21" s="138"/>
      <c r="S21" s="139"/>
      <c r="T21" s="140"/>
      <c r="U21" s="140"/>
      <c r="V21" s="140"/>
      <c r="W21" s="139"/>
    </row>
    <row r="22" spans="1:23">
      <c r="A22" s="481"/>
      <c r="B22" s="1" t="s">
        <v>30</v>
      </c>
      <c r="C22" s="17"/>
      <c r="D22" s="509"/>
      <c r="E22" s="22"/>
      <c r="F22" s="482"/>
      <c r="G22" s="17">
        <f t="shared" si="0"/>
        <v>0</v>
      </c>
      <c r="H22" s="484"/>
      <c r="I22" s="329"/>
      <c r="J22" s="482"/>
      <c r="K22" s="507"/>
      <c r="L22" s="507"/>
      <c r="M22" s="507"/>
      <c r="N22" s="39"/>
      <c r="O22" s="40"/>
      <c r="P22" s="40"/>
      <c r="R22" s="141"/>
      <c r="S22" s="40"/>
      <c r="T22" s="39"/>
      <c r="U22" s="39"/>
      <c r="V22" s="39"/>
      <c r="W22" s="40"/>
    </row>
    <row r="23" spans="1:23">
      <c r="A23" s="481"/>
      <c r="B23" s="1" t="s">
        <v>31</v>
      </c>
      <c r="C23" s="17">
        <f>M12-'Bilan enerdata v2206_2050'!K39</f>
        <v>2.5795356835769558</v>
      </c>
      <c r="D23" s="509"/>
      <c r="E23" s="41">
        <f>'Bilan enerdata v2206_2050'!L27+'Bilan enerdata v2206_2050'!K28</f>
        <v>2.4935511607910574</v>
      </c>
      <c r="F23" s="482"/>
      <c r="G23" s="17">
        <f t="shared" si="0"/>
        <v>8.598452278589841E-2</v>
      </c>
      <c r="H23" s="484"/>
      <c r="I23" s="17"/>
      <c r="J23" s="482"/>
      <c r="K23" s="507"/>
      <c r="L23" s="507"/>
      <c r="M23" s="507"/>
      <c r="N23" s="39">
        <f>C32</f>
        <v>0.85449177920296737</v>
      </c>
      <c r="O23" s="40">
        <f>'Bilan enerdata v2206_2050'!E22</f>
        <v>2.1496130696474633</v>
      </c>
      <c r="P23" s="40">
        <f>J21-N23-O23-K21</f>
        <v>10.214529062691906</v>
      </c>
      <c r="R23" s="141">
        <f>SUM(S23:W23)</f>
        <v>10.128544539906006</v>
      </c>
      <c r="S23" s="142">
        <f>'Bilan enerdata v2206_2050'!E37</f>
        <v>0.69442453716561003</v>
      </c>
      <c r="T23" s="142">
        <f>'Bilan enerdata v2206_2050'!E33</f>
        <v>2.6196131084152277</v>
      </c>
      <c r="U23" s="142">
        <f>'Bilan enerdata v2206_2050'!E35</f>
        <v>2.6677723755245331</v>
      </c>
      <c r="V23" s="142">
        <f>'Bilan enerdata v2206_2050'!E36</f>
        <v>0.54387058176361458</v>
      </c>
      <c r="W23" s="142">
        <f>'Bilan enerdata v2206_2050'!E34</f>
        <v>3.6028639370370201</v>
      </c>
    </row>
    <row r="24" spans="1:23">
      <c r="A24" s="481"/>
      <c r="B24" s="1" t="s">
        <v>32</v>
      </c>
      <c r="C24" s="17">
        <f>'Bilan enerdata v2206_2050'!E18+'Bilan enerdata v2206_2050'!E17</f>
        <v>0</v>
      </c>
      <c r="D24" s="509"/>
      <c r="E24" s="34">
        <f>'Bilan enerdata v2206_2050'!E29+'Bilan enerdata v2206_2050'!E26</f>
        <v>0</v>
      </c>
      <c r="F24" s="482"/>
      <c r="G24" s="17">
        <f t="shared" si="0"/>
        <v>0</v>
      </c>
      <c r="H24" s="484"/>
      <c r="I24" s="42"/>
      <c r="J24" s="482"/>
      <c r="K24" s="507"/>
      <c r="L24" s="507"/>
      <c r="M24" s="507"/>
      <c r="N24" s="39"/>
      <c r="O24" s="40"/>
      <c r="P24" s="40"/>
      <c r="R24" s="143"/>
      <c r="S24" s="144"/>
      <c r="T24" s="145"/>
      <c r="U24" s="145"/>
      <c r="V24" s="145"/>
      <c r="W24" s="144"/>
    </row>
    <row r="25" spans="1:23">
      <c r="A25" s="1"/>
      <c r="B25" s="1"/>
      <c r="C25" s="1"/>
      <c r="D25" s="1"/>
      <c r="E25" s="1"/>
      <c r="F25" s="1"/>
      <c r="G25" s="17"/>
      <c r="H25" s="1"/>
      <c r="I25" s="1"/>
      <c r="J25" s="1"/>
      <c r="K25" s="1"/>
      <c r="L25" s="1"/>
      <c r="M25" s="1"/>
      <c r="N25" s="1"/>
      <c r="O25" s="1"/>
      <c r="P25" s="36"/>
      <c r="S25" s="64"/>
      <c r="T25" s="133"/>
      <c r="U25" s="133"/>
      <c r="V25" s="133"/>
      <c r="W25" s="64"/>
    </row>
    <row r="26" spans="1:23">
      <c r="A26" s="477" t="s">
        <v>14</v>
      </c>
      <c r="B26" s="1" t="s">
        <v>21</v>
      </c>
      <c r="C26" s="43">
        <f>(-'Mix énergie_2050'!F5*'Mix énergie_2050'!L5/11.63)</f>
        <v>0</v>
      </c>
      <c r="D26" s="510">
        <f>SUM(C26:C34)</f>
        <v>5.2375525004166752</v>
      </c>
      <c r="E26" s="43">
        <f>C26*0.01</f>
        <v>0</v>
      </c>
      <c r="F26" s="479"/>
      <c r="G26" s="41">
        <f t="shared" ref="G26:G31" si="2">C26-E26</f>
        <v>0</v>
      </c>
      <c r="H26" s="479">
        <f>SUM(G26:G34)</f>
        <v>5.1851769754125083</v>
      </c>
      <c r="I26" s="1"/>
      <c r="J26" s="508">
        <f>H26</f>
        <v>5.1851769754125083</v>
      </c>
      <c r="K26" s="470">
        <f>'Bilan enerdata v2206_2050'!J30</f>
        <v>1.077103851085037</v>
      </c>
      <c r="L26" s="327">
        <v>0</v>
      </c>
      <c r="M26" s="470"/>
      <c r="N26" s="149"/>
      <c r="O26" s="150"/>
      <c r="P26" s="511">
        <f>J26-K26-M26</f>
        <v>4.1080731243274711</v>
      </c>
      <c r="R26" s="146"/>
      <c r="S26" s="146"/>
      <c r="T26" s="146"/>
      <c r="U26" s="146"/>
      <c r="V26" s="147"/>
      <c r="W26" s="146"/>
    </row>
    <row r="27" spans="1:23">
      <c r="A27" s="477"/>
      <c r="B27" s="1" t="s">
        <v>22</v>
      </c>
      <c r="C27" s="319">
        <v>0.6</v>
      </c>
      <c r="D27" s="510"/>
      <c r="E27" s="43">
        <f t="shared" ref="E27:E34" si="3">C27*0.01</f>
        <v>6.0000000000000001E-3</v>
      </c>
      <c r="F27" s="479"/>
      <c r="G27" s="41">
        <f t="shared" si="2"/>
        <v>0.59399999999999997</v>
      </c>
      <c r="H27" s="479"/>
      <c r="I27" s="329"/>
      <c r="J27" s="508"/>
      <c r="K27" s="470"/>
      <c r="L27" s="327"/>
      <c r="M27" s="470"/>
      <c r="N27" s="149"/>
      <c r="O27" s="150"/>
      <c r="P27" s="511"/>
      <c r="R27" s="148"/>
      <c r="S27" s="149"/>
      <c r="T27" s="149"/>
      <c r="U27" s="149"/>
      <c r="V27" s="150"/>
      <c r="W27" s="149"/>
    </row>
    <row r="28" spans="1:23">
      <c r="A28" s="477"/>
      <c r="B28" s="1" t="s">
        <v>26</v>
      </c>
      <c r="C28" s="43">
        <f>'Mix énergie_2050'!J5*'Mix énergie_2050'!L5/11.63</f>
        <v>0.97944518123549007</v>
      </c>
      <c r="D28" s="510"/>
      <c r="E28" s="43">
        <f t="shared" si="3"/>
        <v>9.7944518123549013E-3</v>
      </c>
      <c r="F28" s="479"/>
      <c r="G28" s="41">
        <f>C28-E28</f>
        <v>0.96965072942313513</v>
      </c>
      <c r="H28" s="479"/>
      <c r="I28" s="1"/>
      <c r="J28" s="508"/>
      <c r="K28" s="470"/>
      <c r="L28" s="327"/>
      <c r="M28" s="470"/>
      <c r="N28" s="149"/>
      <c r="O28" s="150"/>
      <c r="P28" s="511"/>
      <c r="R28" s="148"/>
      <c r="S28" s="149"/>
      <c r="T28" s="149"/>
      <c r="U28" s="149"/>
      <c r="V28" s="150"/>
      <c r="W28" s="149"/>
    </row>
    <row r="29" spans="1:23">
      <c r="A29" s="477"/>
      <c r="B29" s="1" t="s">
        <v>23</v>
      </c>
      <c r="C29" s="319">
        <f>('Bilan enerdata v2206_2050'!H24+'Bilan enerdata v2206_2050'!H23*0.64-C30)-C27</f>
        <v>1.824170358742728</v>
      </c>
      <c r="D29" s="510"/>
      <c r="E29" s="43">
        <f t="shared" si="3"/>
        <v>1.8241703587427282E-2</v>
      </c>
      <c r="F29" s="479"/>
      <c r="G29" s="41">
        <f t="shared" si="2"/>
        <v>1.8059286551553007</v>
      </c>
      <c r="H29" s="479"/>
      <c r="I29" s="1"/>
      <c r="J29" s="508"/>
      <c r="K29" s="470"/>
      <c r="L29" s="327"/>
      <c r="M29" s="470"/>
      <c r="N29" s="149"/>
      <c r="O29" s="150"/>
      <c r="P29" s="511"/>
      <c r="R29" s="151">
        <f>SUM(S29:W29)</f>
        <v>4.0890581367272416</v>
      </c>
      <c r="S29" s="152">
        <f>'Bilan enerdata v2206_2050'!J37</f>
        <v>6.4536710533781346E-3</v>
      </c>
      <c r="T29" s="152">
        <f>'Bilan enerdata v2206_2050'!J33</f>
        <v>0.41499583184774225</v>
      </c>
      <c r="U29" s="152">
        <f>'Bilan enerdata v2206_2050'!J35</f>
        <v>2.1285056205612118</v>
      </c>
      <c r="V29" s="152">
        <f>'Bilan enerdata v2206_2050'!J36</f>
        <v>1.5391030132649095</v>
      </c>
      <c r="W29" s="152">
        <f>'Bilan enerdata v2206_2050'!J34</f>
        <v>0</v>
      </c>
    </row>
    <row r="30" spans="1:23">
      <c r="A30" s="477"/>
      <c r="B30" s="1" t="s">
        <v>24</v>
      </c>
      <c r="C30" s="320">
        <f>'Mix énergie_2050'!K5*'Mix énergie_2050'!L5/11.63</f>
        <v>0.97944518123549007</v>
      </c>
      <c r="D30" s="510"/>
      <c r="E30" s="43">
        <f t="shared" si="3"/>
        <v>9.7944518123549013E-3</v>
      </c>
      <c r="F30" s="479"/>
      <c r="G30" s="41">
        <f t="shared" si="2"/>
        <v>0.96965072942313513</v>
      </c>
      <c r="H30" s="479"/>
      <c r="I30" s="1"/>
      <c r="J30" s="508"/>
      <c r="K30" s="470"/>
      <c r="L30" s="327"/>
      <c r="M30" s="470"/>
      <c r="N30" s="149"/>
      <c r="O30" s="150"/>
      <c r="P30" s="511"/>
      <c r="R30" s="148"/>
      <c r="S30" s="149"/>
      <c r="T30" s="149"/>
      <c r="U30" s="149"/>
      <c r="V30" s="150"/>
      <c r="W30" s="149"/>
    </row>
    <row r="31" spans="1:23">
      <c r="A31" s="477"/>
      <c r="B31" s="1" t="s">
        <v>33</v>
      </c>
      <c r="C31" s="320">
        <v>0</v>
      </c>
      <c r="D31" s="510"/>
      <c r="E31" s="43">
        <f t="shared" si="3"/>
        <v>0</v>
      </c>
      <c r="F31" s="479"/>
      <c r="G31" s="41">
        <f t="shared" si="2"/>
        <v>0</v>
      </c>
      <c r="H31" s="479"/>
      <c r="I31" s="1"/>
      <c r="J31" s="508"/>
      <c r="K31" s="470"/>
      <c r="L31" s="327"/>
      <c r="M31" s="470"/>
      <c r="N31" s="149"/>
      <c r="O31" s="150"/>
      <c r="P31" s="511"/>
      <c r="R31" s="148"/>
      <c r="S31" s="149"/>
      <c r="T31" s="149"/>
      <c r="U31" s="149"/>
      <c r="V31" s="150"/>
      <c r="W31" s="149"/>
    </row>
    <row r="32" spans="1:23">
      <c r="A32" s="477"/>
      <c r="B32" s="1" t="s">
        <v>29</v>
      </c>
      <c r="C32" s="43">
        <f>'Bilan enerdata v2206_2050'!E23*0.64+'Bilan enerdata v2206_2050'!E24</f>
        <v>0.85449177920296737</v>
      </c>
      <c r="D32" s="510"/>
      <c r="E32" s="43">
        <f t="shared" si="3"/>
        <v>8.5449177920296736E-3</v>
      </c>
      <c r="F32" s="479"/>
      <c r="G32" s="41">
        <f>C32-E32</f>
        <v>0.84594686141093767</v>
      </c>
      <c r="H32" s="479"/>
      <c r="I32" s="1"/>
      <c r="J32" s="508"/>
      <c r="K32" s="470"/>
      <c r="L32" s="327"/>
      <c r="M32" s="470"/>
      <c r="N32" s="149"/>
      <c r="O32" s="150"/>
      <c r="P32" s="511"/>
      <c r="R32" s="153"/>
      <c r="S32" s="154"/>
      <c r="T32" s="154"/>
      <c r="U32" s="154"/>
      <c r="V32" s="155"/>
      <c r="W32" s="154"/>
    </row>
    <row r="33" spans="1:23">
      <c r="A33" s="321"/>
      <c r="B33" s="317" t="s">
        <v>27</v>
      </c>
      <c r="C33" s="34">
        <f>'Bilan enerdata v2206_2050'!D24+'Bilan enerdata v2206_2050'!D23*0.64</f>
        <v>0</v>
      </c>
      <c r="D33" s="510"/>
      <c r="E33" s="43">
        <f t="shared" si="3"/>
        <v>0</v>
      </c>
      <c r="F33" s="323"/>
      <c r="G33" s="41">
        <f t="shared" ref="G33:G34" si="4">C33-E33</f>
        <v>0</v>
      </c>
      <c r="H33" s="323"/>
      <c r="I33" s="1"/>
      <c r="J33" s="322"/>
      <c r="K33" s="323"/>
      <c r="L33" s="323"/>
      <c r="M33" s="323"/>
      <c r="N33" s="323"/>
      <c r="O33" s="323"/>
      <c r="P33" s="323"/>
      <c r="R33" s="322"/>
      <c r="S33" s="323"/>
      <c r="T33" s="323"/>
      <c r="U33" s="323"/>
      <c r="V33" s="323"/>
      <c r="W33" s="323"/>
    </row>
    <row r="34" spans="1:23">
      <c r="A34" s="321"/>
      <c r="B34" s="317" t="s">
        <v>28</v>
      </c>
      <c r="C34" s="34">
        <f>'Bilan enerdata v2206_2050'!B24+0.64*'Bilan enerdata v2206_2050'!B23</f>
        <v>0</v>
      </c>
      <c r="D34" s="510"/>
      <c r="E34" s="43">
        <f t="shared" si="3"/>
        <v>0</v>
      </c>
      <c r="F34" s="323"/>
      <c r="G34" s="41">
        <f t="shared" si="4"/>
        <v>0</v>
      </c>
      <c r="H34" s="323"/>
      <c r="I34" s="1"/>
      <c r="J34" s="322"/>
      <c r="K34" s="323"/>
      <c r="L34" s="323"/>
      <c r="M34" s="323"/>
      <c r="N34" s="323"/>
      <c r="O34" s="323"/>
      <c r="P34" s="323"/>
      <c r="R34" s="322"/>
      <c r="S34" s="323"/>
      <c r="T34" s="323"/>
      <c r="U34" s="323"/>
      <c r="V34" s="323"/>
      <c r="W34" s="323"/>
    </row>
    <row r="35" spans="1:23">
      <c r="A35" s="4"/>
      <c r="B35" s="1"/>
      <c r="C35" s="22"/>
      <c r="D35" s="37"/>
      <c r="E35" s="1"/>
      <c r="F35" s="1"/>
      <c r="G35" s="44"/>
      <c r="H35" s="45">
        <f>-'Bilan enerdata v2206_2050'!J23-'Bilan enerdata v2206_2050'!J24</f>
        <v>5.1661619878122789</v>
      </c>
      <c r="I35" s="1"/>
      <c r="J35" s="1"/>
      <c r="K35" s="1"/>
      <c r="L35" s="1"/>
      <c r="M35" s="1"/>
      <c r="N35" s="1"/>
      <c r="O35" s="1"/>
      <c r="P35" s="46"/>
      <c r="T35" s="41"/>
      <c r="U35" s="41"/>
      <c r="V35" s="41"/>
    </row>
    <row r="36" spans="1:23">
      <c r="A36" s="472" t="s">
        <v>34</v>
      </c>
      <c r="B36" s="1" t="s">
        <v>21</v>
      </c>
      <c r="C36" s="22">
        <v>0</v>
      </c>
      <c r="D36" s="472">
        <f>SUM(C36:C46)</f>
        <v>22.16141437289447</v>
      </c>
      <c r="E36" s="47"/>
      <c r="F36" s="474"/>
      <c r="G36" s="17">
        <f t="shared" ref="G36:G40" si="5">C36</f>
        <v>0</v>
      </c>
      <c r="H36" s="472">
        <f>SUM(G36:G46)</f>
        <v>22.110396889374837</v>
      </c>
      <c r="I36" s="48"/>
      <c r="J36" s="52"/>
      <c r="K36" s="48"/>
      <c r="L36" s="48"/>
      <c r="M36" s="48"/>
      <c r="N36" s="48"/>
      <c r="O36" s="48"/>
      <c r="P36" s="49"/>
      <c r="R36" s="156"/>
      <c r="S36" s="137">
        <v>0</v>
      </c>
      <c r="T36" s="135">
        <v>0</v>
      </c>
      <c r="U36" s="137">
        <v>0</v>
      </c>
      <c r="V36" s="157">
        <v>0</v>
      </c>
      <c r="W36" s="156">
        <v>0</v>
      </c>
    </row>
    <row r="37" spans="1:23">
      <c r="A37" s="472"/>
      <c r="B37" s="1" t="s">
        <v>23</v>
      </c>
      <c r="C37" s="324">
        <f>'Bilan enerdata v2206_2050'!H18-C38-C39-C12-C14-C27-C30-C41+I37-'Bilan enerdata v2206_2050'!H25-'Bilan enerdata v2206_2050'!H29-C44-C40-C29-C31-C13-4</f>
        <v>4.0560569519617804</v>
      </c>
      <c r="D37" s="472"/>
      <c r="E37" s="54">
        <f>'Bilan enerdata v2206_2050'!H29</f>
        <v>5.1017483519633131E-2</v>
      </c>
      <c r="F37" s="474"/>
      <c r="G37" s="17">
        <f>C37-E37</f>
        <v>4.0050394684421473</v>
      </c>
      <c r="H37" s="472"/>
      <c r="I37" s="330"/>
      <c r="J37" s="52"/>
      <c r="K37" s="48"/>
      <c r="L37" s="48"/>
      <c r="M37" s="50"/>
      <c r="N37" s="48"/>
      <c r="O37" s="48"/>
      <c r="P37" s="51">
        <f>SUM(G36:G41)</f>
        <v>15.059412160292375</v>
      </c>
      <c r="R37" s="158"/>
      <c r="S37" s="295">
        <f>'Bilan enerdata v2206_2050'!H37-S39</f>
        <v>0.43730018688153111</v>
      </c>
      <c r="T37" s="295">
        <f>'Bilan enerdata v2206_2050'!H33</f>
        <v>2.4941614081810051</v>
      </c>
      <c r="U37" s="295">
        <f>'Bilan enerdata v2206_2050'!H35-'Bilan 2050'!U38-'Bilan 2050'!U39-4</f>
        <v>0.71293929859172422</v>
      </c>
      <c r="V37" s="298">
        <f>'Bilan enerdata v2206_2050'!H36-'Bilan 2050'!V39-V38</f>
        <v>0.41165605830751983</v>
      </c>
      <c r="W37" s="136">
        <f t="shared" ref="W37" si="6">I37</f>
        <v>0</v>
      </c>
    </row>
    <row r="38" spans="1:23">
      <c r="A38" s="472"/>
      <c r="B38" s="1" t="s">
        <v>33</v>
      </c>
      <c r="C38" s="41">
        <f>SUM(S38:W38)</f>
        <v>0.76890724735078786</v>
      </c>
      <c r="D38" s="472"/>
      <c r="E38" s="47"/>
      <c r="F38" s="474"/>
      <c r="G38" s="17">
        <f t="shared" si="5"/>
        <v>0.76890724735078786</v>
      </c>
      <c r="H38" s="472"/>
      <c r="I38" s="48"/>
      <c r="J38" s="52"/>
      <c r="K38" s="48"/>
      <c r="L38" s="48"/>
      <c r="M38" s="52"/>
      <c r="N38" s="48"/>
      <c r="O38" s="48"/>
      <c r="P38" s="53"/>
      <c r="R38" s="158"/>
      <c r="S38" s="137">
        <v>0</v>
      </c>
      <c r="T38" s="135">
        <v>0</v>
      </c>
      <c r="U38" s="136">
        <f>'Modèle résidentiel hch_2050'!B8/11.63</f>
        <v>0.38279410077780562</v>
      </c>
      <c r="V38" s="159">
        <f>'Format demande MedPro_2050'!C226</f>
        <v>0.38611314657298224</v>
      </c>
      <c r="W38" s="156">
        <v>0</v>
      </c>
    </row>
    <row r="39" spans="1:23">
      <c r="A39" s="472"/>
      <c r="B39" s="1" t="s">
        <v>35</v>
      </c>
      <c r="C39" s="41">
        <f>SUM(S39:W39)-C40</f>
        <v>2.566988170400565</v>
      </c>
      <c r="D39" s="472"/>
      <c r="E39" s="47"/>
      <c r="F39" s="474"/>
      <c r="G39" s="17">
        <f t="shared" si="5"/>
        <v>2.566988170400565</v>
      </c>
      <c r="H39" s="472"/>
      <c r="I39" s="48"/>
      <c r="J39" s="52"/>
      <c r="K39" s="48"/>
      <c r="L39" s="48"/>
      <c r="M39" s="52"/>
      <c r="N39" s="48"/>
      <c r="O39" s="48"/>
      <c r="P39" s="53"/>
      <c r="R39" s="158"/>
      <c r="S39" s="299">
        <f>'Format demande MedPro_2050'!C360</f>
        <v>0.44138721696761302</v>
      </c>
      <c r="T39" s="135">
        <v>0</v>
      </c>
      <c r="U39" s="296">
        <f>'Modèle résidentiel ch_2050'!J9/11.63+'Modèle résidentiel hch_2050'!B9/11.63*2/3</f>
        <v>4.0162089388403555</v>
      </c>
      <c r="V39" s="315">
        <f>('Modèle tertiaire_2050'!J3+'Modèle tertiaire_2050'!J4)/11.63+'Corrections Bilan enerdata'!H21*('Modèle tertiaire_2050'!J3+'Modèle tertiaire_2050'!J4)/('Modèle tertiaire_2050'!J3+'Modèle tertiaire_2050'!J4+'Modèle tertiaire_2050'!F3+'Modèle tertiaire_2050'!F4+'Modèle tertiaire_2050'!I3+'Modèle tertiaire_2050'!I4)</f>
        <v>1.6093920145925962</v>
      </c>
      <c r="W39" s="156">
        <v>0</v>
      </c>
    </row>
    <row r="40" spans="1:23">
      <c r="A40" s="472"/>
      <c r="B40" s="1" t="s">
        <v>36</v>
      </c>
      <c r="C40" s="41">
        <v>3.5</v>
      </c>
      <c r="D40" s="472"/>
      <c r="E40" s="47"/>
      <c r="F40" s="474"/>
      <c r="G40" s="17">
        <f t="shared" si="5"/>
        <v>3.5</v>
      </c>
      <c r="H40" s="472"/>
      <c r="I40" s="48"/>
      <c r="J40" s="52"/>
      <c r="K40" s="48"/>
      <c r="L40" s="48"/>
      <c r="M40" s="48"/>
      <c r="N40" s="48"/>
      <c r="O40" s="48"/>
      <c r="P40" s="53"/>
      <c r="R40" s="158"/>
      <c r="S40" s="299"/>
      <c r="T40" s="135"/>
      <c r="U40" s="299"/>
      <c r="V40" s="315"/>
      <c r="W40" s="134">
        <v>0</v>
      </c>
    </row>
    <row r="41" spans="1:23">
      <c r="A41" s="472"/>
      <c r="B41" s="1" t="s">
        <v>37</v>
      </c>
      <c r="C41" s="41">
        <f>SUM(S41:W41)</f>
        <v>4.2184772740988761</v>
      </c>
      <c r="D41" s="472"/>
      <c r="E41" s="54"/>
      <c r="F41" s="474"/>
      <c r="G41" s="17">
        <f>C41</f>
        <v>4.2184772740988761</v>
      </c>
      <c r="H41" s="472"/>
      <c r="I41" s="347"/>
      <c r="J41" s="52"/>
      <c r="K41" s="48"/>
      <c r="L41" s="48"/>
      <c r="M41" s="48"/>
      <c r="N41" s="48"/>
      <c r="O41" s="48"/>
      <c r="P41" s="51">
        <f>G42-I42</f>
        <v>0.93045123347554903</v>
      </c>
      <c r="R41" s="156"/>
      <c r="S41" s="135">
        <v>0</v>
      </c>
      <c r="T41" s="135">
        <v>0</v>
      </c>
      <c r="U41" s="135">
        <v>0</v>
      </c>
      <c r="V41" s="135">
        <v>0</v>
      </c>
      <c r="W41" s="136">
        <f>'Bilan enerdata v2206_2050'!H34</f>
        <v>4.2184772740988761</v>
      </c>
    </row>
    <row r="42" spans="1:23">
      <c r="A42" s="472"/>
      <c r="B42" s="1" t="s">
        <v>38</v>
      </c>
      <c r="C42" s="41">
        <f>W42+I42</f>
        <v>0.93045123347554903</v>
      </c>
      <c r="D42" s="472"/>
      <c r="E42" s="54"/>
      <c r="F42" s="474"/>
      <c r="G42" s="17">
        <f>C42</f>
        <v>0.93045123347554903</v>
      </c>
      <c r="H42" s="472"/>
      <c r="I42" s="331"/>
      <c r="J42" s="52"/>
      <c r="K42" s="48"/>
      <c r="L42" s="48"/>
      <c r="M42" s="48"/>
      <c r="N42" s="48"/>
      <c r="O42" s="48"/>
      <c r="P42" s="53"/>
      <c r="R42" s="158">
        <f>SUM(S36:W46)</f>
        <v>16.255026716831992</v>
      </c>
      <c r="S42" s="134">
        <v>0</v>
      </c>
      <c r="T42" s="134">
        <v>0</v>
      </c>
      <c r="U42" s="134">
        <v>0</v>
      </c>
      <c r="V42" s="134">
        <v>0</v>
      </c>
      <c r="W42" s="135">
        <f>'Bilan enerdata v2206_2050'!D34</f>
        <v>0.93045123347554903</v>
      </c>
    </row>
    <row r="43" spans="1:23">
      <c r="A43" s="472"/>
      <c r="B43" s="1" t="s">
        <v>39</v>
      </c>
      <c r="C43" s="41">
        <f>-'Bilan enerdata v2206_2050'!D26-'Bilan 2050'!C42+'Bilan enerdata v2206_2050'!D13+'Bilan enerdata v2206_2050'!D14+'Bilan enerdata v2206_2050'!D15+'Bilan enerdata v2206_2050'!D16+'Bilan enerdata v2206_2050'!D17</f>
        <v>3.3677808577691817</v>
      </c>
      <c r="D43" s="472"/>
      <c r="E43" s="54"/>
      <c r="F43" s="474"/>
      <c r="G43" s="17">
        <f>C43</f>
        <v>3.3677808577691817</v>
      </c>
      <c r="H43" s="472"/>
      <c r="I43" s="48"/>
      <c r="J43" s="52"/>
      <c r="K43" s="48"/>
      <c r="L43" s="48"/>
      <c r="M43" s="48"/>
      <c r="N43" s="48"/>
      <c r="O43" s="48"/>
      <c r="P43" s="51">
        <f>G43-E53</f>
        <v>0.2119321202739326</v>
      </c>
      <c r="R43" s="158"/>
      <c r="S43" s="135">
        <f>'Bilan enerdata v2206_2050'!D37</f>
        <v>0</v>
      </c>
      <c r="T43" s="135">
        <f>'Bilan enerdata v2206_2050'!D33</f>
        <v>0</v>
      </c>
      <c r="U43" s="135">
        <f>'Bilan enerdata v2206_2050'!D35</f>
        <v>0.16812387266585074</v>
      </c>
      <c r="V43" s="135">
        <f>'Bilan enerdata v2206_2050'!D36</f>
        <v>4.3808247608083023E-2</v>
      </c>
      <c r="W43" s="135">
        <v>0</v>
      </c>
    </row>
    <row r="44" spans="1:23">
      <c r="A44" s="472"/>
      <c r="B44" s="1" t="s">
        <v>40</v>
      </c>
      <c r="C44" s="324">
        <v>0</v>
      </c>
      <c r="D44" s="472"/>
      <c r="E44" s="54"/>
      <c r="F44" s="474"/>
      <c r="G44" s="17">
        <f t="shared" si="0"/>
        <v>0</v>
      </c>
      <c r="H44" s="472"/>
      <c r="I44" s="48"/>
      <c r="J44" s="52"/>
      <c r="K44" s="48"/>
      <c r="L44" s="48"/>
      <c r="M44" s="48"/>
      <c r="N44" s="48"/>
      <c r="O44" s="48"/>
      <c r="P44" s="53"/>
      <c r="R44" s="158"/>
      <c r="S44" s="294"/>
      <c r="T44" s="294"/>
      <c r="U44" s="294"/>
      <c r="V44" s="294"/>
      <c r="W44" s="135">
        <v>0</v>
      </c>
    </row>
    <row r="45" spans="1:23">
      <c r="A45" s="472"/>
      <c r="B45" s="1" t="s">
        <v>41</v>
      </c>
      <c r="C45" s="335">
        <f>'Bilan enerdata v2206_2050'!E39+'Bilan enerdata v2206_2050'!K39</f>
        <v>2.0057786941476836</v>
      </c>
      <c r="D45" s="472"/>
      <c r="E45" s="54"/>
      <c r="F45" s="474"/>
      <c r="G45" s="17">
        <f t="shared" si="0"/>
        <v>2.0057786941476836</v>
      </c>
      <c r="H45" s="472"/>
      <c r="I45" s="48"/>
      <c r="J45" s="52"/>
      <c r="K45" s="48"/>
      <c r="L45" s="48"/>
      <c r="M45" s="48"/>
      <c r="N45" s="48"/>
      <c r="O45" s="48"/>
      <c r="P45" s="53"/>
      <c r="R45" s="158"/>
      <c r="S45" s="136">
        <v>0</v>
      </c>
      <c r="T45" s="135">
        <v>0</v>
      </c>
      <c r="U45" s="136">
        <v>0</v>
      </c>
      <c r="V45" s="160">
        <v>0</v>
      </c>
      <c r="W45" s="135">
        <v>0</v>
      </c>
    </row>
    <row r="46" spans="1:23">
      <c r="A46" s="472"/>
      <c r="B46" s="1" t="s">
        <v>42</v>
      </c>
      <c r="C46" s="41">
        <f>'Bilan enerdata v2206_2050'!B18-C34-C18+I46</f>
        <v>0.74697394369004599</v>
      </c>
      <c r="D46" s="472"/>
      <c r="E46" s="55"/>
      <c r="F46" s="474"/>
      <c r="G46" s="17">
        <f>C46</f>
        <v>0.74697394369004599</v>
      </c>
      <c r="H46" s="472"/>
      <c r="I46" s="331"/>
      <c r="J46" s="52"/>
      <c r="K46" s="48"/>
      <c r="L46" s="48"/>
      <c r="M46" s="48"/>
      <c r="N46" s="48"/>
      <c r="O46" s="48"/>
      <c r="P46" s="56">
        <f>G46-I466-E51</f>
        <v>2.2137192704974051E-3</v>
      </c>
      <c r="R46" s="161"/>
      <c r="S46" s="162">
        <f>'Bilan enerdata v2206_2050'!B37</f>
        <v>2.2137192704974398E-3</v>
      </c>
      <c r="T46" s="163">
        <f>'Bilan enerdata v2206_2050'!B33</f>
        <v>0</v>
      </c>
      <c r="U46" s="164">
        <f>'Bilan enerdata v2206_2050'!B35</f>
        <v>0</v>
      </c>
      <c r="V46" s="165">
        <f>'Bilan enerdata v2206_2050'!B36</f>
        <v>0</v>
      </c>
      <c r="W46" s="166">
        <v>0</v>
      </c>
    </row>
    <row r="47" spans="1:23">
      <c r="A47" s="1"/>
      <c r="B47" s="1"/>
      <c r="C47" s="57"/>
      <c r="D47" s="1"/>
      <c r="E47" s="58"/>
      <c r="F47" s="1"/>
      <c r="G47" s="17"/>
      <c r="H47" s="1"/>
      <c r="I47" s="1"/>
      <c r="J47" s="1"/>
      <c r="K47" s="1"/>
      <c r="L47" s="1"/>
      <c r="M47" s="1"/>
      <c r="N47" s="1"/>
      <c r="O47" s="1"/>
      <c r="P47" s="59"/>
    </row>
    <row r="48" spans="1:23">
      <c r="A48" s="22"/>
      <c r="B48" s="1"/>
      <c r="C48" s="60"/>
      <c r="D48" s="61"/>
      <c r="E48" s="62"/>
      <c r="F48" s="61"/>
      <c r="G48" s="61"/>
      <c r="H48" s="61"/>
      <c r="I48" s="63"/>
      <c r="J48" s="63"/>
      <c r="K48" s="63"/>
      <c r="L48" s="64"/>
      <c r="M48" s="61"/>
      <c r="N48" s="61"/>
      <c r="O48" s="61"/>
      <c r="P48" s="65"/>
    </row>
    <row r="49" spans="1:18">
      <c r="A49" s="22"/>
      <c r="B49" s="22"/>
      <c r="C49" s="66"/>
      <c r="D49" s="61"/>
      <c r="E49" s="62"/>
      <c r="F49" s="61"/>
      <c r="G49" s="61"/>
      <c r="H49" s="61"/>
      <c r="I49" s="60"/>
      <c r="J49" s="60"/>
      <c r="K49" s="60"/>
      <c r="L49" s="66"/>
      <c r="M49" s="61"/>
      <c r="N49" s="60"/>
      <c r="O49" s="60"/>
      <c r="P49" s="1"/>
    </row>
    <row r="50" spans="1:18">
      <c r="A50" s="22" t="s">
        <v>43</v>
      </c>
      <c r="C50" s="66"/>
      <c r="D50" s="61"/>
      <c r="E50" s="22"/>
      <c r="F50" s="61"/>
      <c r="G50" s="61"/>
      <c r="H50" s="61"/>
      <c r="I50" s="34"/>
      <c r="J50" s="67"/>
      <c r="K50" s="67"/>
      <c r="L50" s="64"/>
      <c r="M50" s="61"/>
      <c r="N50" s="67"/>
      <c r="O50" s="67"/>
      <c r="P50" s="1"/>
    </row>
    <row r="51" spans="1:18">
      <c r="A51" s="22"/>
      <c r="B51" s="1" t="s">
        <v>44</v>
      </c>
      <c r="C51" s="68"/>
      <c r="D51" s="61"/>
      <c r="E51" s="17">
        <f>'Bilan enerdata v2206_2050'!B28+'Bilan enerdata v2206_2050'!B39</f>
        <v>0.74476022441954859</v>
      </c>
      <c r="F51" s="328" t="s">
        <v>260</v>
      </c>
      <c r="G51" s="61"/>
      <c r="H51" s="61"/>
      <c r="I51" s="34"/>
      <c r="J51" s="67"/>
      <c r="K51" s="67"/>
      <c r="L51" s="64"/>
      <c r="M51" s="61"/>
      <c r="N51" s="67"/>
      <c r="O51" s="67"/>
      <c r="P51" s="1"/>
      <c r="R51" s="41">
        <f>SUM(E51:E53)</f>
        <v>5.9063876560624813</v>
      </c>
    </row>
    <row r="52" spans="1:18">
      <c r="A52" s="22"/>
      <c r="B52" s="1" t="s">
        <v>41</v>
      </c>
      <c r="C52" s="69"/>
      <c r="D52" s="17"/>
      <c r="E52" s="70">
        <f>'Bilan enerdata v2206_2050'!E39+'Bilan enerdata v2206_2050'!K39</f>
        <v>2.0057786941476836</v>
      </c>
      <c r="F52" s="328" t="s">
        <v>260</v>
      </c>
      <c r="G52" s="61"/>
      <c r="H52" s="61"/>
      <c r="I52" s="34"/>
      <c r="J52" s="67"/>
      <c r="K52" s="67"/>
      <c r="L52" s="64"/>
      <c r="M52" s="61"/>
      <c r="N52" s="67"/>
      <c r="O52" s="67"/>
      <c r="P52" s="1"/>
    </row>
    <row r="53" spans="1:18">
      <c r="A53" s="22"/>
      <c r="B53" s="1" t="s">
        <v>39</v>
      </c>
      <c r="C53" s="69"/>
      <c r="D53" s="17"/>
      <c r="E53" s="71">
        <f>'Bilan enerdata v2206_2050'!D28+'Bilan enerdata v2206_2050'!D39</f>
        <v>3.1558487374952491</v>
      </c>
      <c r="F53" s="328" t="s">
        <v>260</v>
      </c>
      <c r="G53" s="61"/>
      <c r="H53" s="61"/>
      <c r="I53" s="34"/>
      <c r="J53" s="67"/>
      <c r="K53" s="67"/>
      <c r="L53" s="64"/>
      <c r="M53" s="64"/>
      <c r="N53" s="67"/>
      <c r="O53" s="67"/>
      <c r="P53" s="1"/>
    </row>
  </sheetData>
  <mergeCells count="33">
    <mergeCell ref="F36:F46"/>
    <mergeCell ref="H36:H46"/>
    <mergeCell ref="P26:P32"/>
    <mergeCell ref="D26:D34"/>
    <mergeCell ref="A36:A46"/>
    <mergeCell ref="D36:D46"/>
    <mergeCell ref="L21:L24"/>
    <mergeCell ref="M21:M24"/>
    <mergeCell ref="A26:A32"/>
    <mergeCell ref="F26:F32"/>
    <mergeCell ref="H26:H32"/>
    <mergeCell ref="J26:J32"/>
    <mergeCell ref="K26:K32"/>
    <mergeCell ref="M26:M32"/>
    <mergeCell ref="A21:A24"/>
    <mergeCell ref="D21:D24"/>
    <mergeCell ref="F21:F24"/>
    <mergeCell ref="H21:H24"/>
    <mergeCell ref="J21:J24"/>
    <mergeCell ref="K21:K24"/>
    <mergeCell ref="A7:A19"/>
    <mergeCell ref="D7:D19"/>
    <mergeCell ref="F7:F19"/>
    <mergeCell ref="H7:H19"/>
    <mergeCell ref="J7:J19"/>
    <mergeCell ref="P7:P19"/>
    <mergeCell ref="C1:H1"/>
    <mergeCell ref="J1:P1"/>
    <mergeCell ref="C2:D2"/>
    <mergeCell ref="E2:H2"/>
    <mergeCell ref="J2:J4"/>
    <mergeCell ref="K2:P3"/>
    <mergeCell ref="G3:H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40</vt:i4>
      </vt:variant>
    </vt:vector>
  </HeadingPairs>
  <TitlesOfParts>
    <vt:vector size="40" baseType="lpstr">
      <vt:lpstr>Feuil1</vt:lpstr>
      <vt:lpstr>Cibles THREEME</vt:lpstr>
      <vt:lpstr>Bilan 2006</vt:lpstr>
      <vt:lpstr>Bilan 2010</vt:lpstr>
      <vt:lpstr>Bilan 2015</vt:lpstr>
      <vt:lpstr>Bilan 2020</vt:lpstr>
      <vt:lpstr>Bilan 2025</vt:lpstr>
      <vt:lpstr>Bilan 2030</vt:lpstr>
      <vt:lpstr>Bilan 2050</vt:lpstr>
      <vt:lpstr>Bilan enerdata v2206_2015</vt:lpstr>
      <vt:lpstr>Bilan enerdata v2206_2020</vt:lpstr>
      <vt:lpstr>Bilan enerdata v2206_2030</vt:lpstr>
      <vt:lpstr>Bilan enerdata v2206_2025</vt:lpstr>
      <vt:lpstr>Bilan enerdata v2206_2050</vt:lpstr>
      <vt:lpstr>Format demande MedPro_2015</vt:lpstr>
      <vt:lpstr>Format demande MedPro_2020</vt:lpstr>
      <vt:lpstr>Format demande MedPro_2025</vt:lpstr>
      <vt:lpstr>Format demande MedPro_2030</vt:lpstr>
      <vt:lpstr>Format demande MedPro_2050</vt:lpstr>
      <vt:lpstr>Corrections Bilan enerdata</vt:lpstr>
      <vt:lpstr>Modèle tertiaire_2015</vt:lpstr>
      <vt:lpstr>Modèle tertiaire_2020</vt:lpstr>
      <vt:lpstr>Modèle tertiaire_2025</vt:lpstr>
      <vt:lpstr>Modèle tertiaire_2030</vt:lpstr>
      <vt:lpstr>Modèle tertiaire_2050</vt:lpstr>
      <vt:lpstr>Modèle résidentiel ch_2015</vt:lpstr>
      <vt:lpstr>Modèle résidentiel ch_2020</vt:lpstr>
      <vt:lpstr>Modèle résidentiel ch_2025</vt:lpstr>
      <vt:lpstr>Modèle résidentiel ch_2030</vt:lpstr>
      <vt:lpstr>Modèle résidentiel ch_2050</vt:lpstr>
      <vt:lpstr>Modèle résidentiel hch_2015</vt:lpstr>
      <vt:lpstr>Modèle résidentiel hch_2020</vt:lpstr>
      <vt:lpstr>Modèle résidentiel hch_2025</vt:lpstr>
      <vt:lpstr>Modèle résidentiel hch_2030</vt:lpstr>
      <vt:lpstr>Modèle résidentiel hch_2050</vt:lpstr>
      <vt:lpstr>Mix énergie_2015</vt:lpstr>
      <vt:lpstr>Mix énergie_2020</vt:lpstr>
      <vt:lpstr>Mix énergie_2025</vt:lpstr>
      <vt:lpstr>Mix énergie_2030</vt:lpstr>
      <vt:lpstr>Mix énergie_2050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DESLOT Quentin</dc:creator>
  <cp:lastModifiedBy>CALLONNEC Gaël</cp:lastModifiedBy>
  <dcterms:created xsi:type="dcterms:W3CDTF">2018-06-25T08:16:03Z</dcterms:created>
  <dcterms:modified xsi:type="dcterms:W3CDTF">2018-11-12T16:40:41Z</dcterms:modified>
</cp:coreProperties>
</file>