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gael/Repositories/optiflow_release/data/experimental/BL-Data/"/>
    </mc:Choice>
  </mc:AlternateContent>
  <bookViews>
    <workbookView xWindow="1020" yWindow="460" windowWidth="27700" windowHeight="15940" tabRatio="500" activeTab="6"/>
  </bookViews>
  <sheets>
    <sheet name="Schubauer and Klebanoff" sheetId="1" r:id="rId1"/>
    <sheet name="Ferry" sheetId="2" r:id="rId2"/>
    <sheet name="Harun" sheetId="3" r:id="rId3"/>
    <sheet name="BradshawFerriss" sheetId="4" r:id="rId4"/>
    <sheet name="AubertineEaton" sheetId="5" r:id="rId5"/>
    <sheet name="SkareKrogstad" sheetId="6" r:id="rId6"/>
    <sheet name="Vinuesa_et_al" sheetId="7" r:id="rId7"/>
    <sheet name="Lee and Sung" sheetId="8" r:id="rId8"/>
    <sheet name="KaysAndMoffat" sheetId="10" r:id="rId9"/>
    <sheet name="G-Beta Locus" sheetId="9" r:id="rId10"/>
    <sheet name="BL Runs" sheetId="11" r:id="rId1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2" i="4" l="1"/>
  <c r="R21" i="4"/>
  <c r="R20" i="4"/>
  <c r="Q22" i="4"/>
  <c r="Q21" i="4"/>
  <c r="Q20" i="4"/>
  <c r="Q19" i="4"/>
  <c r="Q18" i="4"/>
  <c r="Q17" i="4"/>
  <c r="Q16" i="4"/>
  <c r="Q15" i="4"/>
  <c r="R19" i="4"/>
  <c r="R18" i="4"/>
  <c r="R17" i="4"/>
  <c r="R16" i="4"/>
  <c r="R15" i="4"/>
  <c r="C57" i="4"/>
  <c r="C54" i="4"/>
  <c r="J52" i="4"/>
  <c r="I52" i="4"/>
  <c r="H52" i="4"/>
  <c r="G52" i="4"/>
  <c r="F52" i="4"/>
  <c r="E52" i="4"/>
  <c r="D52" i="4"/>
  <c r="C52" i="4"/>
  <c r="J38" i="4"/>
  <c r="I38" i="4"/>
  <c r="H38" i="4"/>
  <c r="G38" i="4"/>
  <c r="F38" i="4"/>
  <c r="E38" i="4"/>
  <c r="D38" i="4"/>
  <c r="C38" i="4"/>
  <c r="C24" i="4"/>
  <c r="J24" i="4"/>
  <c r="I24" i="4"/>
  <c r="H24" i="4"/>
  <c r="G24" i="4"/>
  <c r="F24" i="4"/>
  <c r="E24" i="4"/>
  <c r="D24" i="4"/>
  <c r="N9" i="4"/>
  <c r="N7" i="4"/>
  <c r="N25" i="4"/>
  <c r="M7" i="11"/>
  <c r="M6" i="11"/>
  <c r="M5" i="11"/>
  <c r="H7" i="11"/>
  <c r="H6" i="11"/>
  <c r="H5" i="11"/>
  <c r="C5" i="11"/>
  <c r="N41" i="4"/>
  <c r="R7" i="11"/>
  <c r="R6" i="11"/>
  <c r="R5" i="11"/>
  <c r="AQ5" i="11"/>
  <c r="AL5" i="11"/>
  <c r="AG5" i="11"/>
  <c r="AB5" i="11"/>
  <c r="W5" i="11"/>
  <c r="L26" i="6"/>
  <c r="L25" i="6"/>
  <c r="L24" i="6"/>
  <c r="L23" i="6"/>
  <c r="L22" i="6"/>
  <c r="L21" i="6"/>
  <c r="L20" i="6"/>
  <c r="L19" i="6"/>
  <c r="L18" i="6"/>
  <c r="L17" i="6"/>
  <c r="L16" i="6"/>
  <c r="L15" i="6"/>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D17" i="9"/>
  <c r="C17" i="9"/>
  <c r="B17" i="9"/>
  <c r="D16" i="9"/>
  <c r="C16" i="9"/>
  <c r="B16" i="9"/>
  <c r="D15" i="9"/>
  <c r="C15" i="9"/>
  <c r="B15" i="9"/>
  <c r="D14" i="9"/>
  <c r="C14" i="9"/>
  <c r="B14" i="9"/>
  <c r="D13" i="9"/>
  <c r="C13" i="9"/>
  <c r="B13" i="9"/>
  <c r="D12" i="9"/>
  <c r="C12" i="9"/>
  <c r="B12" i="9"/>
  <c r="Y33" i="4"/>
  <c r="X33" i="4"/>
  <c r="W33" i="4"/>
  <c r="Y24" i="4"/>
  <c r="X24" i="4"/>
  <c r="W24" i="4"/>
  <c r="W23" i="4"/>
  <c r="X23" i="4"/>
  <c r="Y23" i="4"/>
  <c r="W25" i="4"/>
  <c r="X25" i="4"/>
  <c r="Y25" i="4"/>
  <c r="W26" i="4"/>
  <c r="X26" i="4"/>
  <c r="Y26" i="4"/>
  <c r="W27" i="4"/>
  <c r="X27" i="4"/>
  <c r="Y27" i="4"/>
  <c r="W28" i="4"/>
  <c r="X28" i="4"/>
  <c r="Y28" i="4"/>
  <c r="W29" i="4"/>
  <c r="X29" i="4"/>
  <c r="Y29" i="4"/>
  <c r="W30" i="4"/>
  <c r="X30" i="4"/>
  <c r="Y30" i="4"/>
  <c r="W31" i="4"/>
  <c r="X31" i="4"/>
  <c r="Y31" i="4"/>
  <c r="W32" i="4"/>
  <c r="X32" i="4"/>
  <c r="Y32" i="4"/>
  <c r="W34" i="4"/>
  <c r="X34" i="4"/>
  <c r="Y34" i="4"/>
  <c r="W35" i="4"/>
  <c r="X35" i="4"/>
  <c r="Y35" i="4"/>
  <c r="W36" i="4"/>
  <c r="X36" i="4"/>
  <c r="Y36" i="4"/>
  <c r="W37" i="4"/>
  <c r="X37" i="4"/>
  <c r="Y37" i="4"/>
  <c r="W38" i="4"/>
  <c r="X38" i="4"/>
  <c r="Y38" i="4"/>
  <c r="AS22" i="11"/>
  <c r="AR22" i="11"/>
  <c r="AQ22" i="11"/>
  <c r="AP22" i="11"/>
  <c r="AS21" i="11"/>
  <c r="AR21" i="11"/>
  <c r="AQ21" i="11"/>
  <c r="AP21" i="11"/>
  <c r="AS20" i="11"/>
  <c r="AR20" i="11"/>
  <c r="AQ20" i="11"/>
  <c r="AP20" i="11"/>
  <c r="AS19" i="11"/>
  <c r="AR19" i="11"/>
  <c r="AQ19" i="11"/>
  <c r="AP19" i="11"/>
  <c r="AS18" i="11"/>
  <c r="AR18" i="11"/>
  <c r="AQ18" i="11"/>
  <c r="AP18" i="11"/>
  <c r="AS17" i="11"/>
  <c r="AR17" i="11"/>
  <c r="AQ17" i="11"/>
  <c r="AP17" i="11"/>
  <c r="AS16" i="11"/>
  <c r="AR16" i="11"/>
  <c r="AQ16" i="11"/>
  <c r="AP16" i="11"/>
  <c r="AS15" i="11"/>
  <c r="AR15" i="11"/>
  <c r="AQ15" i="11"/>
  <c r="AP15" i="11"/>
  <c r="AS14" i="11"/>
  <c r="AR14" i="11"/>
  <c r="AQ14" i="11"/>
  <c r="AP14" i="11"/>
  <c r="AQ8" i="11"/>
  <c r="AQ7" i="11"/>
  <c r="AQ6" i="11"/>
  <c r="AN22" i="11"/>
  <c r="AM22" i="11"/>
  <c r="AL22" i="11"/>
  <c r="AK22" i="11"/>
  <c r="AN21" i="11"/>
  <c r="AM21" i="11"/>
  <c r="AL21" i="11"/>
  <c r="AK21" i="11"/>
  <c r="AN20" i="11"/>
  <c r="AM20" i="11"/>
  <c r="AL20" i="11"/>
  <c r="AK20" i="11"/>
  <c r="AN19" i="11"/>
  <c r="AM19" i="11"/>
  <c r="AL19" i="11"/>
  <c r="AK19" i="11"/>
  <c r="AN18" i="11"/>
  <c r="AM18" i="11"/>
  <c r="AL18" i="11"/>
  <c r="AK18" i="11"/>
  <c r="AN17" i="11"/>
  <c r="AM17" i="11"/>
  <c r="AL17" i="11"/>
  <c r="AK17" i="11"/>
  <c r="AN16" i="11"/>
  <c r="AM16" i="11"/>
  <c r="AL16" i="11"/>
  <c r="AK16" i="11"/>
  <c r="AN15" i="11"/>
  <c r="AM15" i="11"/>
  <c r="AL15" i="11"/>
  <c r="AK15" i="11"/>
  <c r="AN14" i="11"/>
  <c r="AM14" i="11"/>
  <c r="AL14" i="11"/>
  <c r="AK14" i="11"/>
  <c r="AL8" i="11"/>
  <c r="AL7" i="11"/>
  <c r="AL6" i="11"/>
  <c r="AI22" i="11"/>
  <c r="AH22" i="11"/>
  <c r="AG22" i="11"/>
  <c r="AF22" i="11"/>
  <c r="AI21" i="11"/>
  <c r="AH21" i="11"/>
  <c r="AG21" i="11"/>
  <c r="AF21" i="11"/>
  <c r="AI20" i="11"/>
  <c r="AH20" i="11"/>
  <c r="AG20" i="11"/>
  <c r="AF20" i="11"/>
  <c r="AI19" i="11"/>
  <c r="AH19" i="11"/>
  <c r="AG19" i="11"/>
  <c r="AF19" i="11"/>
  <c r="AI18" i="11"/>
  <c r="AH18" i="11"/>
  <c r="AG18" i="11"/>
  <c r="AF18" i="11"/>
  <c r="AI17" i="11"/>
  <c r="AH17" i="11"/>
  <c r="AG17" i="11"/>
  <c r="AF17" i="11"/>
  <c r="AI16" i="11"/>
  <c r="AH16" i="11"/>
  <c r="AG16" i="11"/>
  <c r="AF16" i="11"/>
  <c r="AI15" i="11"/>
  <c r="AH15" i="11"/>
  <c r="AG15" i="11"/>
  <c r="AF15" i="11"/>
  <c r="AI14" i="11"/>
  <c r="AH14" i="11"/>
  <c r="AG14" i="11"/>
  <c r="AF14" i="11"/>
  <c r="AG8" i="11"/>
  <c r="AG7" i="11"/>
  <c r="AG6" i="11"/>
  <c r="Q54" i="10"/>
  <c r="Q33" i="10"/>
  <c r="Q52" i="10"/>
  <c r="Q31" i="10"/>
  <c r="Q10" i="10"/>
  <c r="S68" i="10"/>
  <c r="R68" i="10"/>
  <c r="Q68" i="10"/>
  <c r="P68" i="10"/>
  <c r="S67" i="10"/>
  <c r="R67" i="10"/>
  <c r="Q67" i="10"/>
  <c r="P67" i="10"/>
  <c r="S66" i="10"/>
  <c r="R66" i="10"/>
  <c r="Q66" i="10"/>
  <c r="P66" i="10"/>
  <c r="S65" i="10"/>
  <c r="R65" i="10"/>
  <c r="Q65" i="10"/>
  <c r="P65" i="10"/>
  <c r="S64" i="10"/>
  <c r="R64" i="10"/>
  <c r="Q64" i="10"/>
  <c r="P64" i="10"/>
  <c r="S63" i="10"/>
  <c r="R63" i="10"/>
  <c r="Q63" i="10"/>
  <c r="P63" i="10"/>
  <c r="S62" i="10"/>
  <c r="R62" i="10"/>
  <c r="Q62" i="10"/>
  <c r="P62" i="10"/>
  <c r="S61" i="10"/>
  <c r="R61" i="10"/>
  <c r="Q61" i="10"/>
  <c r="P61" i="10"/>
  <c r="S60" i="10"/>
  <c r="R60" i="10"/>
  <c r="Q60" i="10"/>
  <c r="P60" i="10"/>
  <c r="H52" i="10"/>
  <c r="J52" i="10"/>
  <c r="J53" i="10"/>
  <c r="Q53" i="10"/>
  <c r="H53" i="10"/>
  <c r="S47" i="10"/>
  <c r="R47" i="10"/>
  <c r="Q47" i="10"/>
  <c r="P47" i="10"/>
  <c r="S46" i="10"/>
  <c r="R46" i="10"/>
  <c r="Q46" i="10"/>
  <c r="P46" i="10"/>
  <c r="S45" i="10"/>
  <c r="R45" i="10"/>
  <c r="Q45" i="10"/>
  <c r="P45" i="10"/>
  <c r="S44" i="10"/>
  <c r="R44" i="10"/>
  <c r="Q44" i="10"/>
  <c r="P44" i="10"/>
  <c r="S43" i="10"/>
  <c r="R43" i="10"/>
  <c r="Q43" i="10"/>
  <c r="P43" i="10"/>
  <c r="S42" i="10"/>
  <c r="R42" i="10"/>
  <c r="Q42" i="10"/>
  <c r="P42" i="10"/>
  <c r="S41" i="10"/>
  <c r="R41" i="10"/>
  <c r="Q41" i="10"/>
  <c r="P41" i="10"/>
  <c r="S40" i="10"/>
  <c r="R40" i="10"/>
  <c r="Q40" i="10"/>
  <c r="P40" i="10"/>
  <c r="S39" i="10"/>
  <c r="R39" i="10"/>
  <c r="Q39" i="10"/>
  <c r="P39" i="10"/>
  <c r="H31" i="10"/>
  <c r="J31" i="10"/>
  <c r="J32" i="10"/>
  <c r="Q32" i="10"/>
  <c r="H32" i="10"/>
  <c r="J11" i="10"/>
  <c r="J10" i="10"/>
  <c r="Q12" i="10"/>
  <c r="Q11" i="10"/>
  <c r="H11" i="10"/>
  <c r="H10" i="10"/>
  <c r="S26" i="10"/>
  <c r="S25" i="10"/>
  <c r="S24" i="10"/>
  <c r="S23" i="10"/>
  <c r="S22" i="10"/>
  <c r="S21" i="10"/>
  <c r="S20" i="10"/>
  <c r="S19" i="10"/>
  <c r="S18" i="10"/>
  <c r="R26" i="10"/>
  <c r="R25" i="10"/>
  <c r="R24" i="10"/>
  <c r="R23" i="10"/>
  <c r="R22" i="10"/>
  <c r="R21" i="10"/>
  <c r="R20" i="10"/>
  <c r="R19" i="10"/>
  <c r="R18" i="10"/>
  <c r="Q26" i="10"/>
  <c r="Q25" i="10"/>
  <c r="Q24" i="10"/>
  <c r="Q23" i="10"/>
  <c r="Q22" i="10"/>
  <c r="Q21" i="10"/>
  <c r="Q20" i="10"/>
  <c r="Q19" i="10"/>
  <c r="Q18" i="10"/>
  <c r="P26" i="10"/>
  <c r="P25" i="10"/>
  <c r="P24" i="10"/>
  <c r="P23" i="10"/>
  <c r="P22" i="10"/>
  <c r="P21" i="10"/>
  <c r="P20" i="10"/>
  <c r="P19" i="10"/>
  <c r="P18" i="10"/>
  <c r="AD25" i="11"/>
  <c r="AC25" i="11"/>
  <c r="AB25" i="11"/>
  <c r="AA25" i="11"/>
  <c r="AD24" i="11"/>
  <c r="AC24" i="11"/>
  <c r="AB24" i="11"/>
  <c r="AA24" i="11"/>
  <c r="AD23" i="11"/>
  <c r="AC23" i="11"/>
  <c r="AB23" i="11"/>
  <c r="AA23" i="11"/>
  <c r="AD22" i="11"/>
  <c r="AC22" i="11"/>
  <c r="AB22" i="11"/>
  <c r="AA22" i="11"/>
  <c r="AD21" i="11"/>
  <c r="AC21" i="11"/>
  <c r="AB21" i="11"/>
  <c r="AA21" i="11"/>
  <c r="AD20" i="11"/>
  <c r="AC20" i="11"/>
  <c r="AB20" i="11"/>
  <c r="AA20" i="11"/>
  <c r="AD19" i="11"/>
  <c r="AC19" i="11"/>
  <c r="AB19" i="11"/>
  <c r="AA19" i="11"/>
  <c r="AD18" i="11"/>
  <c r="AC18" i="11"/>
  <c r="AB18" i="11"/>
  <c r="AA18" i="11"/>
  <c r="AD17" i="11"/>
  <c r="AC17" i="11"/>
  <c r="AB17" i="11"/>
  <c r="AA17" i="11"/>
  <c r="AD16" i="11"/>
  <c r="AC16" i="11"/>
  <c r="AB16" i="11"/>
  <c r="AA16" i="11"/>
  <c r="AD15" i="11"/>
  <c r="AC15" i="11"/>
  <c r="AB15" i="11"/>
  <c r="AA15" i="11"/>
  <c r="AD14" i="11"/>
  <c r="AC14" i="11"/>
  <c r="AB14" i="11"/>
  <c r="AA14" i="11"/>
  <c r="AB8" i="11"/>
  <c r="O8" i="6"/>
  <c r="AB7" i="11"/>
  <c r="AB6" i="11"/>
  <c r="Q26" i="6"/>
  <c r="P26" i="6"/>
  <c r="O26" i="6"/>
  <c r="N26" i="6"/>
  <c r="Q25" i="6"/>
  <c r="P25" i="6"/>
  <c r="O25" i="6"/>
  <c r="N25" i="6"/>
  <c r="Q24" i="6"/>
  <c r="P24" i="6"/>
  <c r="O24" i="6"/>
  <c r="N24" i="6"/>
  <c r="Q23" i="6"/>
  <c r="P23" i="6"/>
  <c r="O23" i="6"/>
  <c r="N23" i="6"/>
  <c r="Q22" i="6"/>
  <c r="P22" i="6"/>
  <c r="O22" i="6"/>
  <c r="N22" i="6"/>
  <c r="Q21" i="6"/>
  <c r="P21" i="6"/>
  <c r="O21" i="6"/>
  <c r="N21" i="6"/>
  <c r="Q20" i="6"/>
  <c r="P20" i="6"/>
  <c r="O20" i="6"/>
  <c r="N20" i="6"/>
  <c r="Q19" i="6"/>
  <c r="P19" i="6"/>
  <c r="O19" i="6"/>
  <c r="N19" i="6"/>
  <c r="Q18" i="6"/>
  <c r="P18" i="6"/>
  <c r="O18" i="6"/>
  <c r="N18" i="6"/>
  <c r="Q17" i="6"/>
  <c r="P17" i="6"/>
  <c r="O17" i="6"/>
  <c r="N17" i="6"/>
  <c r="Q16" i="6"/>
  <c r="P16" i="6"/>
  <c r="O16" i="6"/>
  <c r="N16" i="6"/>
  <c r="Q15" i="6"/>
  <c r="P15" i="6"/>
  <c r="O15" i="6"/>
  <c r="N15" i="6"/>
  <c r="O9" i="6"/>
  <c r="O7" i="6"/>
  <c r="Y23" i="11"/>
  <c r="X23" i="11"/>
  <c r="W23" i="11"/>
  <c r="V23" i="11"/>
  <c r="Y22" i="11"/>
  <c r="X22" i="11"/>
  <c r="W22" i="11"/>
  <c r="V22" i="11"/>
  <c r="Y21" i="11"/>
  <c r="X21" i="11"/>
  <c r="W21" i="11"/>
  <c r="V21" i="11"/>
  <c r="Y20" i="11"/>
  <c r="X20" i="11"/>
  <c r="W20" i="11"/>
  <c r="V20" i="11"/>
  <c r="Y19" i="11"/>
  <c r="X19" i="11"/>
  <c r="W19" i="11"/>
  <c r="V19" i="11"/>
  <c r="Y18" i="11"/>
  <c r="X18" i="11"/>
  <c r="W18" i="11"/>
  <c r="V18" i="11"/>
  <c r="Y17" i="11"/>
  <c r="X17" i="11"/>
  <c r="W17" i="11"/>
  <c r="V17" i="11"/>
  <c r="Y16" i="11"/>
  <c r="X16" i="11"/>
  <c r="W16" i="11"/>
  <c r="V16" i="11"/>
  <c r="Y15" i="11"/>
  <c r="X15" i="11"/>
  <c r="W15" i="11"/>
  <c r="V15" i="11"/>
  <c r="Y14" i="11"/>
  <c r="X14" i="11"/>
  <c r="W14" i="11"/>
  <c r="V14" i="11"/>
  <c r="W8" i="11"/>
  <c r="W7" i="11"/>
  <c r="W6" i="11"/>
  <c r="N8" i="5"/>
  <c r="P23" i="5"/>
  <c r="O23" i="5"/>
  <c r="N23" i="5"/>
  <c r="M23" i="5"/>
  <c r="P22" i="5"/>
  <c r="O22" i="5"/>
  <c r="N22" i="5"/>
  <c r="M22" i="5"/>
  <c r="P21" i="5"/>
  <c r="O21" i="5"/>
  <c r="N21" i="5"/>
  <c r="M21" i="5"/>
  <c r="P20" i="5"/>
  <c r="O20" i="5"/>
  <c r="N20" i="5"/>
  <c r="M20" i="5"/>
  <c r="P19" i="5"/>
  <c r="O19" i="5"/>
  <c r="N19" i="5"/>
  <c r="M19" i="5"/>
  <c r="P18" i="5"/>
  <c r="O18" i="5"/>
  <c r="N18" i="5"/>
  <c r="M18" i="5"/>
  <c r="P17" i="5"/>
  <c r="O17" i="5"/>
  <c r="N17" i="5"/>
  <c r="M17" i="5"/>
  <c r="P16" i="5"/>
  <c r="O16" i="5"/>
  <c r="N16" i="5"/>
  <c r="M16" i="5"/>
  <c r="P15" i="5"/>
  <c r="O15" i="5"/>
  <c r="N15" i="5"/>
  <c r="M15" i="5"/>
  <c r="P14" i="5"/>
  <c r="O14" i="5"/>
  <c r="N14" i="5"/>
  <c r="M14" i="5"/>
  <c r="N7" i="5"/>
  <c r="N6" i="5"/>
  <c r="J23" i="5"/>
  <c r="J22" i="5"/>
  <c r="J21" i="5"/>
  <c r="J20" i="5"/>
  <c r="J19" i="5"/>
  <c r="J18" i="5"/>
  <c r="J17" i="5"/>
  <c r="J16" i="5"/>
  <c r="J15" i="5"/>
  <c r="J14" i="5"/>
  <c r="T21" i="11"/>
  <c r="S21" i="11"/>
  <c r="R21" i="11"/>
  <c r="Q21" i="11"/>
  <c r="T20" i="11"/>
  <c r="S20" i="11"/>
  <c r="R20" i="11"/>
  <c r="Q20" i="11"/>
  <c r="T19" i="11"/>
  <c r="S19" i="11"/>
  <c r="R19" i="11"/>
  <c r="Q19" i="11"/>
  <c r="T18" i="11"/>
  <c r="S18" i="11"/>
  <c r="R18" i="11"/>
  <c r="Q18" i="11"/>
  <c r="T17" i="11"/>
  <c r="S17" i="11"/>
  <c r="R17" i="11"/>
  <c r="Q17" i="11"/>
  <c r="T16" i="11"/>
  <c r="S16" i="11"/>
  <c r="R16" i="11"/>
  <c r="Q16" i="11"/>
  <c r="T15" i="11"/>
  <c r="S15" i="11"/>
  <c r="R15" i="11"/>
  <c r="Q15" i="11"/>
  <c r="T14" i="11"/>
  <c r="S14" i="11"/>
  <c r="R14" i="11"/>
  <c r="Q14" i="11"/>
  <c r="R8" i="11"/>
  <c r="O21" i="11"/>
  <c r="N21" i="11"/>
  <c r="M21" i="11"/>
  <c r="L21" i="11"/>
  <c r="O20" i="11"/>
  <c r="N20" i="11"/>
  <c r="M20" i="11"/>
  <c r="L20" i="11"/>
  <c r="O19" i="11"/>
  <c r="N19" i="11"/>
  <c r="M19" i="11"/>
  <c r="L19" i="11"/>
  <c r="O18" i="11"/>
  <c r="N18" i="11"/>
  <c r="M18" i="11"/>
  <c r="L18" i="11"/>
  <c r="O17" i="11"/>
  <c r="N17" i="11"/>
  <c r="M17" i="11"/>
  <c r="L17" i="11"/>
  <c r="O16" i="11"/>
  <c r="N16" i="11"/>
  <c r="M16" i="11"/>
  <c r="L16" i="11"/>
  <c r="O15" i="11"/>
  <c r="N15" i="11"/>
  <c r="M15" i="11"/>
  <c r="L15" i="11"/>
  <c r="O14" i="11"/>
  <c r="N14" i="11"/>
  <c r="M14" i="11"/>
  <c r="L14" i="11"/>
  <c r="M8" i="11"/>
  <c r="J21" i="11"/>
  <c r="J20" i="11"/>
  <c r="J19" i="11"/>
  <c r="J18" i="11"/>
  <c r="J17" i="11"/>
  <c r="J16" i="11"/>
  <c r="J15" i="11"/>
  <c r="J14" i="11"/>
  <c r="I21" i="11"/>
  <c r="I20" i="11"/>
  <c r="I19" i="11"/>
  <c r="I18" i="11"/>
  <c r="I17" i="11"/>
  <c r="I16" i="11"/>
  <c r="I15" i="11"/>
  <c r="I14" i="11"/>
  <c r="H21" i="11"/>
  <c r="H20" i="11"/>
  <c r="H19" i="11"/>
  <c r="H18" i="11"/>
  <c r="H17" i="11"/>
  <c r="H16" i="11"/>
  <c r="H15" i="11"/>
  <c r="H14" i="11"/>
  <c r="G21" i="11"/>
  <c r="G20" i="11"/>
  <c r="G19" i="11"/>
  <c r="G18" i="11"/>
  <c r="G17" i="11"/>
  <c r="G16" i="11"/>
  <c r="G15" i="11"/>
  <c r="G14" i="11"/>
  <c r="H8"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E33" i="11"/>
  <c r="D33" i="11"/>
  <c r="C33" i="11"/>
  <c r="B33" i="11"/>
  <c r="E32" i="11"/>
  <c r="D32" i="11"/>
  <c r="C32" i="11"/>
  <c r="B32" i="11"/>
  <c r="E31" i="11"/>
  <c r="D31" i="11"/>
  <c r="C31" i="11"/>
  <c r="B31" i="11"/>
  <c r="E30" i="11"/>
  <c r="D30" i="11"/>
  <c r="C30" i="11"/>
  <c r="B30" i="11"/>
  <c r="E29" i="11"/>
  <c r="D29" i="11"/>
  <c r="C29" i="11"/>
  <c r="B29" i="11"/>
  <c r="E28" i="11"/>
  <c r="D28" i="11"/>
  <c r="C28" i="11"/>
  <c r="B28" i="11"/>
  <c r="E27" i="11"/>
  <c r="D27" i="11"/>
  <c r="C27" i="11"/>
  <c r="B27" i="11"/>
  <c r="E26" i="11"/>
  <c r="D26" i="11"/>
  <c r="C26" i="11"/>
  <c r="B26" i="11"/>
  <c r="E25" i="11"/>
  <c r="D25" i="11"/>
  <c r="C25" i="11"/>
  <c r="B25" i="11"/>
  <c r="E24" i="11"/>
  <c r="D24" i="11"/>
  <c r="C24" i="11"/>
  <c r="B24" i="11"/>
  <c r="E23" i="11"/>
  <c r="D23" i="11"/>
  <c r="C23" i="11"/>
  <c r="B23" i="11"/>
  <c r="E22" i="11"/>
  <c r="D22" i="11"/>
  <c r="C22" i="11"/>
  <c r="B22" i="11"/>
  <c r="E21" i="11"/>
  <c r="D21" i="11"/>
  <c r="C21" i="11"/>
  <c r="B21" i="11"/>
  <c r="E20" i="11"/>
  <c r="D20" i="11"/>
  <c r="C20" i="11"/>
  <c r="B20" i="11"/>
  <c r="E19" i="11"/>
  <c r="D19" i="11"/>
  <c r="C19" i="11"/>
  <c r="B19" i="11"/>
  <c r="E18" i="11"/>
  <c r="D18" i="11"/>
  <c r="C18" i="11"/>
  <c r="B18" i="11"/>
  <c r="E17" i="11"/>
  <c r="D17" i="11"/>
  <c r="C17" i="11"/>
  <c r="B17" i="11"/>
  <c r="E16" i="11"/>
  <c r="D16" i="11"/>
  <c r="C16" i="11"/>
  <c r="B16" i="11"/>
  <c r="E15" i="11"/>
  <c r="D15" i="11"/>
  <c r="C15" i="11"/>
  <c r="B15" i="11"/>
  <c r="E14" i="11"/>
  <c r="D14" i="11"/>
  <c r="C14" i="11"/>
  <c r="B14" i="11"/>
  <c r="C8" i="11"/>
  <c r="C7" i="11"/>
  <c r="Y9" i="1"/>
  <c r="C6" i="11"/>
  <c r="P54" i="4"/>
  <c r="P53" i="4"/>
  <c r="P52" i="4"/>
  <c r="P51" i="4"/>
  <c r="P50" i="4"/>
  <c r="P49" i="4"/>
  <c r="P48" i="4"/>
  <c r="P47" i="4"/>
  <c r="O54" i="4"/>
  <c r="O53" i="4"/>
  <c r="O52" i="4"/>
  <c r="O51" i="4"/>
  <c r="O50" i="4"/>
  <c r="O49" i="4"/>
  <c r="O48" i="4"/>
  <c r="O47" i="4"/>
  <c r="N26" i="4"/>
  <c r="N42" i="4"/>
  <c r="N40" i="4"/>
  <c r="N47" i="4"/>
  <c r="N54" i="4"/>
  <c r="M54" i="4"/>
  <c r="N53" i="4"/>
  <c r="M53" i="4"/>
  <c r="N52" i="4"/>
  <c r="M52" i="4"/>
  <c r="N51" i="4"/>
  <c r="M51" i="4"/>
  <c r="N50" i="4"/>
  <c r="M50" i="4"/>
  <c r="N49" i="4"/>
  <c r="M49" i="4"/>
  <c r="N48" i="4"/>
  <c r="M48" i="4"/>
  <c r="M47" i="4"/>
  <c r="P38" i="4"/>
  <c r="P37" i="4"/>
  <c r="P36" i="4"/>
  <c r="P35" i="4"/>
  <c r="P34" i="4"/>
  <c r="P33" i="4"/>
  <c r="P32" i="4"/>
  <c r="P31" i="4"/>
  <c r="O38" i="4"/>
  <c r="O37" i="4"/>
  <c r="O36" i="4"/>
  <c r="O35" i="4"/>
  <c r="O34" i="4"/>
  <c r="O33" i="4"/>
  <c r="O32" i="4"/>
  <c r="O31" i="4"/>
  <c r="N38" i="4"/>
  <c r="N37" i="4"/>
  <c r="N36" i="4"/>
  <c r="N35" i="4"/>
  <c r="N34" i="4"/>
  <c r="N33" i="4"/>
  <c r="N32" i="4"/>
  <c r="N31" i="4"/>
  <c r="M38" i="4"/>
  <c r="M37" i="4"/>
  <c r="M36" i="4"/>
  <c r="M35" i="4"/>
  <c r="M34" i="4"/>
  <c r="M33" i="4"/>
  <c r="M32" i="4"/>
  <c r="M31" i="4"/>
  <c r="N24" i="4"/>
  <c r="N10" i="4"/>
  <c r="N8" i="4"/>
  <c r="P22" i="4"/>
  <c r="P21" i="4"/>
  <c r="P20" i="4"/>
  <c r="P19" i="4"/>
  <c r="P18" i="4"/>
  <c r="P17" i="4"/>
  <c r="P16" i="4"/>
  <c r="P15" i="4"/>
  <c r="O22" i="4"/>
  <c r="O21" i="4"/>
  <c r="O20" i="4"/>
  <c r="O19" i="4"/>
  <c r="O18" i="4"/>
  <c r="O17" i="4"/>
  <c r="O16" i="4"/>
  <c r="O15" i="4"/>
  <c r="N22" i="4"/>
  <c r="N21" i="4"/>
  <c r="N20" i="4"/>
  <c r="N19" i="4"/>
  <c r="N18" i="4"/>
  <c r="N17" i="4"/>
  <c r="N16" i="4"/>
  <c r="N15" i="4"/>
  <c r="M22" i="4"/>
  <c r="M21" i="4"/>
  <c r="M20" i="4"/>
  <c r="M19" i="4"/>
  <c r="M18" i="4"/>
  <c r="M17" i="4"/>
  <c r="M16" i="4"/>
  <c r="M15" i="4"/>
  <c r="J56" i="4"/>
  <c r="J55" i="4"/>
  <c r="J54" i="4"/>
  <c r="J53" i="4"/>
  <c r="I56" i="4"/>
  <c r="I55" i="4"/>
  <c r="I54" i="4"/>
  <c r="I53" i="4"/>
  <c r="H56" i="4"/>
  <c r="H55" i="4"/>
  <c r="H54" i="4"/>
  <c r="H53" i="4"/>
  <c r="G56" i="4"/>
  <c r="G55" i="4"/>
  <c r="G54" i="4"/>
  <c r="G53" i="4"/>
  <c r="F56" i="4"/>
  <c r="F55" i="4"/>
  <c r="F54" i="4"/>
  <c r="F53" i="4"/>
  <c r="E56" i="4"/>
  <c r="E55" i="4"/>
  <c r="E54" i="4"/>
  <c r="E53" i="4"/>
  <c r="D56" i="4"/>
  <c r="D55" i="4"/>
  <c r="D54" i="4"/>
  <c r="D53" i="4"/>
  <c r="C53" i="4"/>
  <c r="C56" i="4"/>
  <c r="C55" i="4"/>
  <c r="J42" i="4"/>
  <c r="J41" i="4"/>
  <c r="J40" i="4"/>
  <c r="J39" i="4"/>
  <c r="I42" i="4"/>
  <c r="I41" i="4"/>
  <c r="I40" i="4"/>
  <c r="I39" i="4"/>
  <c r="H42" i="4"/>
  <c r="H41" i="4"/>
  <c r="H40" i="4"/>
  <c r="H39" i="4"/>
  <c r="G42" i="4"/>
  <c r="G41" i="4"/>
  <c r="G40" i="4"/>
  <c r="G39" i="4"/>
  <c r="F42" i="4"/>
  <c r="F41" i="4"/>
  <c r="F40" i="4"/>
  <c r="F39" i="4"/>
  <c r="E42" i="4"/>
  <c r="E41" i="4"/>
  <c r="E40" i="4"/>
  <c r="E39" i="4"/>
  <c r="D42" i="4"/>
  <c r="D41" i="4"/>
  <c r="D40" i="4"/>
  <c r="D39" i="4"/>
  <c r="C40" i="4"/>
  <c r="C39" i="4"/>
  <c r="C42" i="4"/>
  <c r="C41" i="4"/>
  <c r="J25" i="4"/>
  <c r="I25" i="4"/>
  <c r="H25" i="4"/>
  <c r="G25" i="4"/>
  <c r="F25" i="4"/>
  <c r="E25" i="4"/>
  <c r="D25" i="4"/>
  <c r="C25" i="4"/>
  <c r="J26" i="4"/>
  <c r="I26" i="4"/>
  <c r="H26" i="4"/>
  <c r="G26" i="4"/>
  <c r="F26" i="4"/>
  <c r="E26" i="4"/>
  <c r="D26" i="4"/>
  <c r="C26" i="4"/>
  <c r="J27" i="4"/>
  <c r="I27" i="4"/>
  <c r="H27" i="4"/>
  <c r="G27" i="4"/>
  <c r="F27" i="4"/>
  <c r="E27" i="4"/>
  <c r="D27" i="4"/>
  <c r="C27" i="4"/>
  <c r="J28" i="4"/>
  <c r="I28" i="4"/>
  <c r="H28" i="4"/>
  <c r="G28" i="4"/>
  <c r="F28" i="4"/>
  <c r="E28" i="4"/>
  <c r="D28" i="4"/>
  <c r="C28" i="4"/>
  <c r="T52" i="1"/>
  <c r="AA51" i="1"/>
  <c r="S52" i="1"/>
  <c r="Z51" i="1"/>
  <c r="G48" i="1"/>
  <c r="H48" i="1"/>
  <c r="N52" i="1"/>
  <c r="P7" i="1"/>
  <c r="U52" i="1"/>
  <c r="Y51" i="1"/>
  <c r="P52" i="1"/>
  <c r="Q52" i="1"/>
  <c r="X51" i="1"/>
  <c r="T51" i="1"/>
  <c r="AA50" i="1"/>
  <c r="S51" i="1"/>
  <c r="Z50" i="1"/>
  <c r="G47" i="1"/>
  <c r="H47" i="1"/>
  <c r="N51" i="1"/>
  <c r="U51" i="1"/>
  <c r="Y50" i="1"/>
  <c r="P51" i="1"/>
  <c r="Q51" i="1"/>
  <c r="X50" i="1"/>
  <c r="T50" i="1"/>
  <c r="AA49" i="1"/>
  <c r="S50" i="1"/>
  <c r="Z49" i="1"/>
  <c r="N50" i="1"/>
  <c r="U50" i="1"/>
  <c r="Y49" i="1"/>
  <c r="P50" i="1"/>
  <c r="Q50" i="1"/>
  <c r="X49" i="1"/>
  <c r="T49" i="1"/>
  <c r="AA48" i="1"/>
  <c r="S49" i="1"/>
  <c r="Z48" i="1"/>
  <c r="N49" i="1"/>
  <c r="U49" i="1"/>
  <c r="Y48" i="1"/>
  <c r="P49" i="1"/>
  <c r="Q49" i="1"/>
  <c r="X48" i="1"/>
  <c r="T48" i="1"/>
  <c r="AA47" i="1"/>
  <c r="S48" i="1"/>
  <c r="Z47" i="1"/>
  <c r="N48" i="1"/>
  <c r="U48" i="1"/>
  <c r="Y47" i="1"/>
  <c r="P48" i="1"/>
  <c r="Q48" i="1"/>
  <c r="X47" i="1"/>
  <c r="T47" i="1"/>
  <c r="AA46" i="1"/>
  <c r="S47" i="1"/>
  <c r="Z46" i="1"/>
  <c r="N47" i="1"/>
  <c r="U47" i="1"/>
  <c r="Y46" i="1"/>
  <c r="P47" i="1"/>
  <c r="Q47" i="1"/>
  <c r="X46" i="1"/>
  <c r="T46" i="1"/>
  <c r="AA45" i="1"/>
  <c r="S46" i="1"/>
  <c r="Z45" i="1"/>
  <c r="N46" i="1"/>
  <c r="U46" i="1"/>
  <c r="Y45" i="1"/>
  <c r="P46" i="1"/>
  <c r="Q46" i="1"/>
  <c r="X45" i="1"/>
  <c r="T45" i="1"/>
  <c r="AA44" i="1"/>
  <c r="S45" i="1"/>
  <c r="Z44" i="1"/>
  <c r="N45" i="1"/>
  <c r="U45" i="1"/>
  <c r="Y44" i="1"/>
  <c r="P45" i="1"/>
  <c r="Q45" i="1"/>
  <c r="X44" i="1"/>
  <c r="T44" i="1"/>
  <c r="AA43" i="1"/>
  <c r="S44" i="1"/>
  <c r="Z43" i="1"/>
  <c r="N44" i="1"/>
  <c r="U44" i="1"/>
  <c r="Y43" i="1"/>
  <c r="P44" i="1"/>
  <c r="Q44" i="1"/>
  <c r="X43" i="1"/>
  <c r="T43" i="1"/>
  <c r="AA42" i="1"/>
  <c r="S43" i="1"/>
  <c r="Z42" i="1"/>
  <c r="N43" i="1"/>
  <c r="U43" i="1"/>
  <c r="Y42" i="1"/>
  <c r="P43" i="1"/>
  <c r="Q43" i="1"/>
  <c r="X42" i="1"/>
  <c r="T42" i="1"/>
  <c r="AA41" i="1"/>
  <c r="S42" i="1"/>
  <c r="Z41" i="1"/>
  <c r="N42" i="1"/>
  <c r="U42" i="1"/>
  <c r="Y41" i="1"/>
  <c r="P42" i="1"/>
  <c r="Q42" i="1"/>
  <c r="X41" i="1"/>
  <c r="T41" i="1"/>
  <c r="AA40" i="1"/>
  <c r="S41" i="1"/>
  <c r="Z40" i="1"/>
  <c r="N41" i="1"/>
  <c r="U41" i="1"/>
  <c r="Y40" i="1"/>
  <c r="P41" i="1"/>
  <c r="Q41" i="1"/>
  <c r="X40" i="1"/>
  <c r="T40" i="1"/>
  <c r="AA39" i="1"/>
  <c r="S40" i="1"/>
  <c r="Z39" i="1"/>
  <c r="N40" i="1"/>
  <c r="U40" i="1"/>
  <c r="Y39" i="1"/>
  <c r="P40" i="1"/>
  <c r="Q40" i="1"/>
  <c r="X39" i="1"/>
  <c r="T39" i="1"/>
  <c r="AA38" i="1"/>
  <c r="S39" i="1"/>
  <c r="Z38" i="1"/>
  <c r="N39" i="1"/>
  <c r="U39" i="1"/>
  <c r="Y38" i="1"/>
  <c r="P39" i="1"/>
  <c r="Q39" i="1"/>
  <c r="X38" i="1"/>
  <c r="T38" i="1"/>
  <c r="AA37" i="1"/>
  <c r="S38" i="1"/>
  <c r="Z37" i="1"/>
  <c r="N38" i="1"/>
  <c r="U38" i="1"/>
  <c r="Y37" i="1"/>
  <c r="P38" i="1"/>
  <c r="Q38" i="1"/>
  <c r="X37" i="1"/>
  <c r="T37" i="1"/>
  <c r="AA36" i="1"/>
  <c r="S37" i="1"/>
  <c r="Z36" i="1"/>
  <c r="N37" i="1"/>
  <c r="U37" i="1"/>
  <c r="Y36" i="1"/>
  <c r="P37" i="1"/>
  <c r="Q37" i="1"/>
  <c r="X36" i="1"/>
  <c r="T36" i="1"/>
  <c r="AA35" i="1"/>
  <c r="S36" i="1"/>
  <c r="Z35" i="1"/>
  <c r="N36" i="1"/>
  <c r="U36" i="1"/>
  <c r="Y35" i="1"/>
  <c r="P36" i="1"/>
  <c r="Q36" i="1"/>
  <c r="X35" i="1"/>
  <c r="T35" i="1"/>
  <c r="AA34" i="1"/>
  <c r="S35" i="1"/>
  <c r="Z34" i="1"/>
  <c r="N35" i="1"/>
  <c r="U35" i="1"/>
  <c r="Y34" i="1"/>
  <c r="P35" i="1"/>
  <c r="Q35" i="1"/>
  <c r="X34" i="1"/>
  <c r="T34" i="1"/>
  <c r="AA33" i="1"/>
  <c r="S34" i="1"/>
  <c r="Z33" i="1"/>
  <c r="N34" i="1"/>
  <c r="U34" i="1"/>
  <c r="Y33" i="1"/>
  <c r="P34" i="1"/>
  <c r="Q34" i="1"/>
  <c r="X33" i="1"/>
  <c r="T33" i="1"/>
  <c r="AA32" i="1"/>
  <c r="S33" i="1"/>
  <c r="Z32" i="1"/>
  <c r="N33" i="1"/>
  <c r="U33" i="1"/>
  <c r="Y32" i="1"/>
  <c r="P33" i="1"/>
  <c r="Q33" i="1"/>
  <c r="X32" i="1"/>
  <c r="T32" i="1"/>
  <c r="AA31" i="1"/>
  <c r="S32" i="1"/>
  <c r="Z31" i="1"/>
  <c r="N32" i="1"/>
  <c r="U32" i="1"/>
  <c r="Y31" i="1"/>
  <c r="P32" i="1"/>
  <c r="Q32" i="1"/>
  <c r="X31" i="1"/>
  <c r="T31" i="1"/>
  <c r="AA30" i="1"/>
  <c r="S31" i="1"/>
  <c r="Z30" i="1"/>
  <c r="N31" i="1"/>
  <c r="U31" i="1"/>
  <c r="Y30" i="1"/>
  <c r="P31" i="1"/>
  <c r="Q31" i="1"/>
  <c r="X30" i="1"/>
  <c r="T30" i="1"/>
  <c r="AA29" i="1"/>
  <c r="S30" i="1"/>
  <c r="Z29" i="1"/>
  <c r="N30" i="1"/>
  <c r="U30" i="1"/>
  <c r="Y29" i="1"/>
  <c r="P30" i="1"/>
  <c r="Q30" i="1"/>
  <c r="X29" i="1"/>
  <c r="T29" i="1"/>
  <c r="AA28" i="1"/>
  <c r="S29" i="1"/>
  <c r="Z28" i="1"/>
  <c r="N29" i="1"/>
  <c r="U29" i="1"/>
  <c r="Y28" i="1"/>
  <c r="P29" i="1"/>
  <c r="Q29" i="1"/>
  <c r="X28" i="1"/>
  <c r="T28" i="1"/>
  <c r="AA27" i="1"/>
  <c r="S28" i="1"/>
  <c r="Z27" i="1"/>
  <c r="N28" i="1"/>
  <c r="U28" i="1"/>
  <c r="Y27" i="1"/>
  <c r="P28" i="1"/>
  <c r="Q28" i="1"/>
  <c r="X27" i="1"/>
  <c r="T27" i="1"/>
  <c r="AA26" i="1"/>
  <c r="S27" i="1"/>
  <c r="Z26" i="1"/>
  <c r="N27" i="1"/>
  <c r="U27" i="1"/>
  <c r="Y26" i="1"/>
  <c r="P27" i="1"/>
  <c r="Q27" i="1"/>
  <c r="X26" i="1"/>
  <c r="T26" i="1"/>
  <c r="AA25" i="1"/>
  <c r="S26" i="1"/>
  <c r="Z25" i="1"/>
  <c r="N26" i="1"/>
  <c r="U26" i="1"/>
  <c r="Y25" i="1"/>
  <c r="P26" i="1"/>
  <c r="Q26" i="1"/>
  <c r="X25" i="1"/>
  <c r="T25" i="1"/>
  <c r="AA24" i="1"/>
  <c r="S25" i="1"/>
  <c r="Z24" i="1"/>
  <c r="N25" i="1"/>
  <c r="U25" i="1"/>
  <c r="Y24" i="1"/>
  <c r="P25" i="1"/>
  <c r="Q25" i="1"/>
  <c r="X24" i="1"/>
  <c r="T24" i="1"/>
  <c r="AA23" i="1"/>
  <c r="S24" i="1"/>
  <c r="Z23" i="1"/>
  <c r="N24" i="1"/>
  <c r="U24" i="1"/>
  <c r="Y23" i="1"/>
  <c r="P24" i="1"/>
  <c r="Q24" i="1"/>
  <c r="X23" i="1"/>
  <c r="T23" i="1"/>
  <c r="AA22" i="1"/>
  <c r="S23" i="1"/>
  <c r="Z22" i="1"/>
  <c r="N23" i="1"/>
  <c r="U23" i="1"/>
  <c r="Y22" i="1"/>
  <c r="P23" i="1"/>
  <c r="Q23" i="1"/>
  <c r="X22" i="1"/>
  <c r="T22" i="1"/>
  <c r="AA21" i="1"/>
  <c r="S22" i="1"/>
  <c r="Z21" i="1"/>
  <c r="N22" i="1"/>
  <c r="U22" i="1"/>
  <c r="Y21" i="1"/>
  <c r="P22" i="1"/>
  <c r="Q22" i="1"/>
  <c r="X21" i="1"/>
  <c r="T21" i="1"/>
  <c r="AA20" i="1"/>
  <c r="S21" i="1"/>
  <c r="Z20" i="1"/>
  <c r="N21" i="1"/>
  <c r="U21" i="1"/>
  <c r="Y20" i="1"/>
  <c r="P21" i="1"/>
  <c r="Q21" i="1"/>
  <c r="X20" i="1"/>
  <c r="T20" i="1"/>
  <c r="AA19" i="1"/>
  <c r="S20" i="1"/>
  <c r="Z19" i="1"/>
  <c r="N20" i="1"/>
  <c r="U20" i="1"/>
  <c r="Y19" i="1"/>
  <c r="P20" i="1"/>
  <c r="Q20" i="1"/>
  <c r="X19" i="1"/>
  <c r="T19" i="1"/>
  <c r="AA18" i="1"/>
  <c r="S19" i="1"/>
  <c r="Z18" i="1"/>
  <c r="N19" i="1"/>
  <c r="U19" i="1"/>
  <c r="Y18" i="1"/>
  <c r="P19" i="1"/>
  <c r="Q19" i="1"/>
  <c r="X18" i="1"/>
  <c r="T18" i="1"/>
  <c r="AA17" i="1"/>
  <c r="S18" i="1"/>
  <c r="Z17" i="1"/>
  <c r="N18" i="1"/>
  <c r="U18" i="1"/>
  <c r="Y17" i="1"/>
  <c r="P18" i="1"/>
  <c r="Q18" i="1"/>
  <c r="X17" i="1"/>
  <c r="T17" i="1"/>
  <c r="AA16" i="1"/>
  <c r="S17" i="1"/>
  <c r="Z16" i="1"/>
  <c r="N17" i="1"/>
  <c r="U17" i="1"/>
  <c r="Y16" i="1"/>
  <c r="P17" i="1"/>
  <c r="Q17" i="1"/>
  <c r="X16" i="1"/>
  <c r="T16" i="1"/>
  <c r="AA15" i="1"/>
  <c r="S16" i="1"/>
  <c r="Z15" i="1"/>
  <c r="N16" i="1"/>
  <c r="U16" i="1"/>
  <c r="Y15" i="1"/>
  <c r="P16" i="1"/>
  <c r="Q16" i="1"/>
  <c r="X15" i="1"/>
  <c r="Y7" i="1"/>
  <c r="P6" i="1"/>
  <c r="P8" i="1"/>
  <c r="P9" i="1"/>
  <c r="Y8" i="1"/>
  <c r="N15" i="1"/>
  <c r="U15" i="1"/>
  <c r="T15" i="1"/>
  <c r="S15"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P15" i="1"/>
  <c r="Q15" i="1"/>
  <c r="M52" i="1"/>
  <c r="O52" i="1"/>
  <c r="M51" i="1"/>
  <c r="O51" i="1"/>
  <c r="M50" i="1"/>
  <c r="O50" i="1"/>
  <c r="M49" i="1"/>
  <c r="O49" i="1"/>
  <c r="M48" i="1"/>
  <c r="O48" i="1"/>
  <c r="M47" i="1"/>
  <c r="O47" i="1"/>
  <c r="M46" i="1"/>
  <c r="O46" i="1"/>
  <c r="M45" i="1"/>
  <c r="O45" i="1"/>
  <c r="M44" i="1"/>
  <c r="O44" i="1"/>
  <c r="M43" i="1"/>
  <c r="O43" i="1"/>
  <c r="M42" i="1"/>
  <c r="O42" i="1"/>
  <c r="M41" i="1"/>
  <c r="O41" i="1"/>
  <c r="M40" i="1"/>
  <c r="O40" i="1"/>
  <c r="M39" i="1"/>
  <c r="O39" i="1"/>
  <c r="M38" i="1"/>
  <c r="O38" i="1"/>
  <c r="M37" i="1"/>
  <c r="O37" i="1"/>
  <c r="M36" i="1"/>
  <c r="O36" i="1"/>
  <c r="M35" i="1"/>
  <c r="O35" i="1"/>
  <c r="M34" i="1"/>
  <c r="O34" i="1"/>
  <c r="M33" i="1"/>
  <c r="O33" i="1"/>
  <c r="M32" i="1"/>
  <c r="O32" i="1"/>
  <c r="M31" i="1"/>
  <c r="O31" i="1"/>
  <c r="M30" i="1"/>
  <c r="O30" i="1"/>
  <c r="M29" i="1"/>
  <c r="O29" i="1"/>
  <c r="M28" i="1"/>
  <c r="O28" i="1"/>
  <c r="M27" i="1"/>
  <c r="O27" i="1"/>
  <c r="M26" i="1"/>
  <c r="O26" i="1"/>
  <c r="M25" i="1"/>
  <c r="O25" i="1"/>
  <c r="M24" i="1"/>
  <c r="O24" i="1"/>
  <c r="M23" i="1"/>
  <c r="O23" i="1"/>
  <c r="M22" i="1"/>
  <c r="O22" i="1"/>
  <c r="M21" i="1"/>
  <c r="O21" i="1"/>
  <c r="M20" i="1"/>
  <c r="O20" i="1"/>
  <c r="M19" i="1"/>
  <c r="O19" i="1"/>
  <c r="M18" i="1"/>
  <c r="O18" i="1"/>
  <c r="M17" i="1"/>
  <c r="O17" i="1"/>
  <c r="M16" i="1"/>
  <c r="O16" i="1"/>
  <c r="M15" i="1"/>
  <c r="O15" i="1"/>
  <c r="N8" i="1"/>
  <c r="N9" i="1"/>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H92" i="9"/>
  <c r="H77" i="9"/>
  <c r="H78" i="9"/>
  <c r="H79" i="9"/>
  <c r="H80" i="9"/>
  <c r="H81" i="9"/>
  <c r="H82" i="9"/>
  <c r="H83" i="9"/>
  <c r="H84" i="9"/>
  <c r="H85" i="9"/>
  <c r="H86" i="9"/>
  <c r="H87" i="9"/>
  <c r="H88" i="9"/>
  <c r="H89" i="9"/>
  <c r="H90" i="9"/>
  <c r="H91"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W44" i="10"/>
  <c r="D76" i="9"/>
  <c r="V44" i="10"/>
  <c r="C76" i="9"/>
  <c r="U44" i="10"/>
  <c r="B76" i="9"/>
  <c r="W43" i="10"/>
  <c r="D75" i="9"/>
  <c r="V43" i="10"/>
  <c r="C75" i="9"/>
  <c r="U43" i="10"/>
  <c r="B75" i="9"/>
  <c r="W42" i="10"/>
  <c r="D74" i="9"/>
  <c r="V42" i="10"/>
  <c r="C74" i="9"/>
  <c r="U42" i="10"/>
  <c r="B74" i="9"/>
  <c r="W41" i="10"/>
  <c r="D73" i="9"/>
  <c r="V41" i="10"/>
  <c r="C73" i="9"/>
  <c r="U41" i="10"/>
  <c r="B73" i="9"/>
  <c r="W40" i="10"/>
  <c r="D72" i="9"/>
  <c r="V40" i="10"/>
  <c r="C72" i="9"/>
  <c r="U40" i="10"/>
  <c r="B72" i="9"/>
  <c r="W39" i="10"/>
  <c r="D71" i="9"/>
  <c r="V39" i="10"/>
  <c r="C71" i="9"/>
  <c r="U39" i="10"/>
  <c r="B71" i="9"/>
  <c r="W38" i="10"/>
  <c r="D70" i="9"/>
  <c r="V38" i="10"/>
  <c r="C70" i="9"/>
  <c r="U38" i="10"/>
  <c r="B70" i="9"/>
  <c r="W37" i="10"/>
  <c r="D69" i="9"/>
  <c r="V37" i="10"/>
  <c r="C69" i="9"/>
  <c r="U37" i="10"/>
  <c r="B69" i="9"/>
  <c r="W36" i="10"/>
  <c r="D68" i="9"/>
  <c r="V36" i="10"/>
  <c r="C68" i="9"/>
  <c r="U36" i="10"/>
  <c r="B68" i="9"/>
  <c r="W35" i="10"/>
  <c r="D67" i="9"/>
  <c r="V35" i="10"/>
  <c r="C67" i="9"/>
  <c r="U35" i="10"/>
  <c r="B67" i="9"/>
  <c r="W34" i="10"/>
  <c r="D66" i="9"/>
  <c r="V34" i="10"/>
  <c r="C66" i="9"/>
  <c r="U34" i="10"/>
  <c r="B66" i="9"/>
  <c r="W33" i="10"/>
  <c r="D65" i="9"/>
  <c r="V33" i="10"/>
  <c r="C65" i="9"/>
  <c r="U33" i="10"/>
  <c r="B65" i="9"/>
  <c r="W32" i="10"/>
  <c r="D64" i="9"/>
  <c r="V32" i="10"/>
  <c r="C64" i="9"/>
  <c r="U32" i="10"/>
  <c r="B64" i="9"/>
  <c r="W31" i="10"/>
  <c r="D63" i="9"/>
  <c r="V31" i="10"/>
  <c r="C63" i="9"/>
  <c r="U31" i="10"/>
  <c r="B63" i="9"/>
  <c r="W30" i="10"/>
  <c r="D62" i="9"/>
  <c r="V30" i="10"/>
  <c r="C62" i="9"/>
  <c r="U30" i="10"/>
  <c r="B62" i="9"/>
  <c r="W29" i="10"/>
  <c r="D61" i="9"/>
  <c r="V29" i="10"/>
  <c r="C61" i="9"/>
  <c r="U29" i="10"/>
  <c r="B61" i="9"/>
  <c r="W28" i="10"/>
  <c r="D60" i="9"/>
  <c r="V28" i="10"/>
  <c r="C60" i="9"/>
  <c r="U28" i="10"/>
  <c r="B60" i="9"/>
  <c r="W27" i="10"/>
  <c r="D59" i="9"/>
  <c r="V27" i="10"/>
  <c r="C59" i="9"/>
  <c r="U27" i="10"/>
  <c r="B59" i="9"/>
  <c r="W26" i="10"/>
  <c r="D58" i="9"/>
  <c r="V26" i="10"/>
  <c r="C58" i="9"/>
  <c r="U26" i="10"/>
  <c r="B58" i="9"/>
  <c r="W25" i="10"/>
  <c r="D57" i="9"/>
  <c r="V25" i="10"/>
  <c r="C57" i="9"/>
  <c r="U25" i="10"/>
  <c r="B57" i="9"/>
  <c r="W24" i="10"/>
  <c r="D56" i="9"/>
  <c r="V24" i="10"/>
  <c r="C56" i="9"/>
  <c r="U24" i="10"/>
  <c r="B56" i="9"/>
  <c r="W23" i="10"/>
  <c r="D55" i="9"/>
  <c r="V23" i="10"/>
  <c r="C55" i="9"/>
  <c r="U23" i="10"/>
  <c r="B55" i="9"/>
  <c r="W22" i="10"/>
  <c r="D54" i="9"/>
  <c r="V22" i="10"/>
  <c r="C54" i="9"/>
  <c r="U22" i="10"/>
  <c r="B54" i="9"/>
  <c r="W21" i="10"/>
  <c r="D53" i="9"/>
  <c r="V21" i="10"/>
  <c r="C53" i="9"/>
  <c r="U21" i="10"/>
  <c r="B53" i="9"/>
  <c r="W20" i="10"/>
  <c r="D52" i="9"/>
  <c r="V20" i="10"/>
  <c r="C52" i="9"/>
  <c r="U20" i="10"/>
  <c r="B52" i="9"/>
  <c r="W19" i="10"/>
  <c r="D51" i="9"/>
  <c r="V19" i="10"/>
  <c r="C51" i="9"/>
  <c r="U19" i="10"/>
  <c r="B51" i="9"/>
  <c r="W18" i="10"/>
  <c r="D50" i="9"/>
  <c r="V18" i="10"/>
  <c r="C50" i="9"/>
  <c r="U18" i="10"/>
  <c r="B50" i="9"/>
  <c r="D49" i="9"/>
  <c r="C49" i="9"/>
  <c r="B49" i="9"/>
  <c r="D48" i="9"/>
  <c r="C48" i="9"/>
  <c r="B48" i="9"/>
  <c r="D47" i="9"/>
  <c r="C47" i="9"/>
  <c r="B47" i="9"/>
  <c r="D46" i="9"/>
  <c r="C46" i="9"/>
  <c r="B46" i="9"/>
  <c r="D45" i="9"/>
  <c r="C45" i="9"/>
  <c r="B45" i="9"/>
  <c r="D44" i="9"/>
  <c r="C44" i="9"/>
  <c r="B44" i="9"/>
  <c r="D43" i="9"/>
  <c r="C43" i="9"/>
  <c r="B43" i="9"/>
  <c r="D42" i="9"/>
  <c r="C42" i="9"/>
  <c r="B42" i="9"/>
  <c r="D41" i="9"/>
  <c r="C41" i="9"/>
  <c r="B41" i="9"/>
  <c r="D40" i="9"/>
  <c r="C40" i="9"/>
  <c r="B40" i="9"/>
  <c r="D39" i="9"/>
  <c r="C39" i="9"/>
  <c r="B39" i="9"/>
  <c r="D38" i="9"/>
  <c r="C38" i="9"/>
  <c r="B38" i="9"/>
  <c r="D37" i="9"/>
  <c r="C37" i="9"/>
  <c r="B37" i="9"/>
  <c r="D36" i="9"/>
  <c r="C36" i="9"/>
  <c r="B36" i="9"/>
  <c r="D35" i="9"/>
  <c r="C35" i="9"/>
  <c r="B35" i="9"/>
  <c r="Y22" i="4"/>
  <c r="X22" i="4"/>
  <c r="W22" i="4"/>
  <c r="Y21" i="4"/>
  <c r="X21" i="4"/>
  <c r="W21" i="4"/>
  <c r="Y20" i="4"/>
  <c r="X20" i="4"/>
  <c r="W20" i="4"/>
  <c r="Y19" i="4"/>
  <c r="X19" i="4"/>
  <c r="W19" i="4"/>
  <c r="Y18" i="4"/>
  <c r="X18" i="4"/>
  <c r="W18" i="4"/>
  <c r="Y17" i="4"/>
  <c r="X17" i="4"/>
  <c r="W17" i="4"/>
  <c r="Y16" i="4"/>
  <c r="X16" i="4"/>
  <c r="W16" i="4"/>
  <c r="Y15" i="4"/>
  <c r="D11" i="9"/>
  <c r="X15" i="4"/>
  <c r="C11" i="9"/>
  <c r="W15" i="4"/>
  <c r="B11" i="9"/>
  <c r="K68" i="10"/>
  <c r="K67" i="10"/>
  <c r="K66" i="10"/>
  <c r="K65" i="10"/>
  <c r="K64" i="10"/>
  <c r="K63" i="10"/>
  <c r="K62" i="10"/>
  <c r="K61" i="10"/>
  <c r="K60" i="10"/>
  <c r="K47" i="10"/>
  <c r="K46" i="10"/>
  <c r="K45" i="10"/>
  <c r="K44" i="10"/>
  <c r="K43" i="10"/>
  <c r="K42" i="10"/>
  <c r="K41" i="10"/>
  <c r="K40" i="10"/>
  <c r="K39" i="10"/>
  <c r="K26" i="10"/>
  <c r="K25" i="10"/>
  <c r="K24" i="10"/>
  <c r="K23" i="10"/>
  <c r="K22" i="10"/>
  <c r="K21" i="10"/>
  <c r="K20" i="10"/>
  <c r="K19" i="10"/>
  <c r="K18" i="10"/>
  <c r="I13" i="8"/>
  <c r="I12" i="8"/>
  <c r="I11" i="8"/>
  <c r="K13" i="8"/>
  <c r="J13" i="8"/>
  <c r="K12" i="8"/>
  <c r="J12" i="8"/>
  <c r="K11" i="8"/>
  <c r="J11" i="8"/>
  <c r="S26" i="6"/>
  <c r="S25" i="6"/>
  <c r="S24" i="6"/>
  <c r="S23" i="6"/>
  <c r="S22" i="6"/>
  <c r="S21" i="6"/>
  <c r="S20" i="6"/>
  <c r="S19" i="6"/>
  <c r="S18" i="6"/>
  <c r="S17" i="6"/>
  <c r="S16" i="6"/>
  <c r="S15" i="6"/>
  <c r="U26" i="6"/>
  <c r="T26" i="6"/>
  <c r="U25" i="6"/>
  <c r="T25" i="6"/>
  <c r="U24" i="6"/>
  <c r="T24" i="6"/>
  <c r="U23" i="6"/>
  <c r="T23" i="6"/>
  <c r="U22" i="6"/>
  <c r="T22" i="6"/>
  <c r="U21" i="6"/>
  <c r="T21" i="6"/>
  <c r="U20" i="6"/>
  <c r="T20" i="6"/>
  <c r="U19" i="6"/>
  <c r="T19" i="6"/>
  <c r="U18" i="6"/>
  <c r="T18" i="6"/>
  <c r="U17" i="6"/>
  <c r="T17" i="6"/>
  <c r="U16" i="6"/>
  <c r="T16" i="6"/>
  <c r="U15" i="6"/>
  <c r="T15" i="6"/>
  <c r="C9" i="7"/>
  <c r="J12" i="3"/>
  <c r="J11" i="3"/>
  <c r="J10" i="3"/>
  <c r="J9" i="3"/>
  <c r="J8" i="3"/>
</calcChain>
</file>

<file path=xl/sharedStrings.xml><?xml version="1.0" encoding="utf-8"?>
<sst xmlns="http://schemas.openxmlformats.org/spreadsheetml/2006/main" count="802" uniqueCount="177">
  <si>
    <t>x</t>
  </si>
  <si>
    <t>(ft)</t>
  </si>
  <si>
    <t>q1/qm</t>
  </si>
  <si>
    <t>(adim.)</t>
  </si>
  <si>
    <t>theta</t>
  </si>
  <si>
    <t>H</t>
  </si>
  <si>
    <t>(in)</t>
  </si>
  <si>
    <t>q1</t>
  </si>
  <si>
    <t>qm</t>
  </si>
  <si>
    <t>free-stream dynamic pressure at x=17,5ft</t>
  </si>
  <si>
    <t>free-stream dynamic pressure at local stance</t>
  </si>
  <si>
    <t>Um</t>
  </si>
  <si>
    <t>free-stream speed at x=17,5ft</t>
  </si>
  <si>
    <t>ft/sec</t>
  </si>
  <si>
    <t>tau_turb</t>
  </si>
  <si>
    <t>turbulent shear stress is also present in dataset</t>
  </si>
  <si>
    <t>ft</t>
  </si>
  <si>
    <t>C_tau1 at x=</t>
  </si>
  <si>
    <t>y</t>
  </si>
  <si>
    <t>(in.)</t>
  </si>
  <si>
    <t>C_tau_1</t>
  </si>
  <si>
    <t>Schubauer and Klebanoff, NACA TN2133</t>
  </si>
  <si>
    <t>Perry, Turbulent boundary layers in decreasing adverse pressure gradients, JFM, vol26, part 3, 1966</t>
  </si>
  <si>
    <t>U0</t>
  </si>
  <si>
    <t>Cf x 10^4</t>
  </si>
  <si>
    <t>U0/nu x 10^-5</t>
  </si>
  <si>
    <t>Important Notice:</t>
  </si>
  <si>
    <t>Results show relations deduced from schubauer and klebanoff do not hold in certain adverse pressure gradients. And proposes that observed differences may be due to the effect of the second derivative of the pressure to the streamwise coordinate (non-similarity effects).</t>
  </si>
  <si>
    <t>Harun et al., Constant adverse pressure gradient turbulent boundary layers (2010)</t>
  </si>
  <si>
    <t>17th Australasian Fluid Mechanics Conference, Auckland, New Zealand</t>
  </si>
  <si>
    <t>Measured Skin Friction values are significantly higher than those of Clauser (Cf vs Re_tau plot). Here Cf was measured from Oil Film Interferometry, as opposed to Clauser data, which used the law of the wall to deduce values of skin friction (but it is not guaranteed that the law of the wall holds in strong APG (Adverse Pressure Gradient))</t>
  </si>
  <si>
    <t>U1</t>
  </si>
  <si>
    <t>m/s</t>
  </si>
  <si>
    <t>m</t>
  </si>
  <si>
    <t>delta*</t>
  </si>
  <si>
    <t>delta</t>
  </si>
  <si>
    <t>Cf</t>
  </si>
  <si>
    <t>Re_tau</t>
  </si>
  <si>
    <t>X</t>
  </si>
  <si>
    <t>beta</t>
  </si>
  <si>
    <t>4.39</t>
  </si>
  <si>
    <t>4.40</t>
  </si>
  <si>
    <t>4.53</t>
  </si>
  <si>
    <t>.65</t>
  </si>
  <si>
    <t>cf</t>
  </si>
  <si>
    <t>tau_w/(0.5*rho*U1^2)</t>
  </si>
  <si>
    <t>cp</t>
  </si>
  <si>
    <t>U1/Uref</t>
  </si>
  <si>
    <t>Uref</t>
  </si>
  <si>
    <t>Skin Friction Coefficient</t>
  </si>
  <si>
    <t>Layer A</t>
  </si>
  <si>
    <t>x (in)</t>
  </si>
  <si>
    <t>Velocity Ratio (not pressure coefficient?)</t>
  </si>
  <si>
    <t>delta_1</t>
  </si>
  <si>
    <t>delta_1 (in)</t>
  </si>
  <si>
    <t>delta_2 (in)</t>
  </si>
  <si>
    <t>cp (adim.)</t>
  </si>
  <si>
    <t>H (adim.)</t>
  </si>
  <si>
    <t>delta_995 (in.)</t>
  </si>
  <si>
    <t>Layer B</t>
  </si>
  <si>
    <t>Layer C</t>
  </si>
  <si>
    <t>U1*delta2/nu</t>
  </si>
  <si>
    <t>Bradshaw, RM 3575 The Response of a Constant-Pressure Turbulent Boundary Layer to the Sudden Application of an Adverse Pressure Gradient</t>
  </si>
  <si>
    <t>delta1/tau_w * (dp/dx)</t>
  </si>
  <si>
    <t>G</t>
  </si>
  <si>
    <t>Aubertine and Eaton, Turbulence development in a non-equilibrium turbulent boundary layer with mild adverse pressure gradient, JFM vol 532, 2005</t>
  </si>
  <si>
    <t>(m)</t>
  </si>
  <si>
    <t>Ue</t>
  </si>
  <si>
    <t>delta99</t>
  </si>
  <si>
    <t>up</t>
  </si>
  <si>
    <t>sqrt(delta*/rho * dp/dx)</t>
  </si>
  <si>
    <t>Laser-Doppler anemomenter measurements for velocity, oil film interferometry for skin friction.</t>
  </si>
  <si>
    <t>mm</t>
  </si>
  <si>
    <t>Re_theta</t>
  </si>
  <si>
    <t>Beta</t>
  </si>
  <si>
    <t>PI</t>
  </si>
  <si>
    <t>Cole's wake parameter</t>
  </si>
  <si>
    <t>Skare and Krogstad, A turbulent equilibrium boundary layer near separation, JFM vol272, 1994</t>
  </si>
  <si>
    <t>adim.</t>
  </si>
  <si>
    <t>Cf x 10^3</t>
  </si>
  <si>
    <t>Hot wire measurements, Skin friction with method of Patel (1965)</t>
  </si>
  <si>
    <t>Clauser Factor</t>
  </si>
  <si>
    <t>Vinuesa et al, Pressure-Gradient Turbulent Boundary Layers Developing Around a Wing Section, Flow Turbulence Combust, DOI 10.1007/s10494-017-9840-z</t>
  </si>
  <si>
    <t>DNS of NACA4412 at 5degrees and Re_chord = 400.000. More quantities available!</t>
  </si>
  <si>
    <t>x/c = 0,4</t>
  </si>
  <si>
    <t>Suction Side</t>
  </si>
  <si>
    <t>ZPG DNS</t>
  </si>
  <si>
    <t>Pressure Side</t>
  </si>
  <si>
    <t>x/c = 0,8</t>
  </si>
  <si>
    <t>Joung-Ho Lee, Hyung Jin Sung, Effects of an adverse pressure gradient on a turbulent boundary layer, International Journal of Heat and Fluid Flow 29 (2008) 568–578</t>
  </si>
  <si>
    <t>DNS of APG boundary layer, progression of BL is shown graphically (vectorial illustration). G-beta (Clauser) data written from graph annotations.</t>
  </si>
  <si>
    <t>Source</t>
  </si>
  <si>
    <t>Clauser Pressure Gradient Parameter</t>
  </si>
  <si>
    <t>Source ID</t>
  </si>
  <si>
    <t>SKARE1994</t>
  </si>
  <si>
    <t>ID</t>
  </si>
  <si>
    <t>LEE2008</t>
  </si>
  <si>
    <t>RM3575A</t>
  </si>
  <si>
    <t>RM3575B</t>
  </si>
  <si>
    <t>RM3575C</t>
  </si>
  <si>
    <t>N</t>
  </si>
  <si>
    <t>UI</t>
  </si>
  <si>
    <t>RD2</t>
  </si>
  <si>
    <t>F</t>
  </si>
  <si>
    <t>RUN</t>
  </si>
  <si>
    <t>CF/2</t>
  </si>
  <si>
    <t>BETA</t>
  </si>
  <si>
    <t>B</t>
  </si>
  <si>
    <t>D1</t>
  </si>
  <si>
    <t>D2</t>
  </si>
  <si>
    <t>(ft/s)</t>
  </si>
  <si>
    <t>SW Position</t>
  </si>
  <si>
    <t>Edge Vel.</t>
  </si>
  <si>
    <t>Blow Frac.</t>
  </si>
  <si>
    <t>Cf/2</t>
  </si>
  <si>
    <t>Clauser Grad.</t>
  </si>
  <si>
    <t>Blow Grad.</t>
  </si>
  <si>
    <t>Clauser Shape Factor</t>
  </si>
  <si>
    <t>delta_2 = theta</t>
  </si>
  <si>
    <t xml:space="preserve">Nu = </t>
  </si>
  <si>
    <t>ft2/s</t>
  </si>
  <si>
    <t>(int.)</t>
  </si>
  <si>
    <t>Identifier</t>
  </si>
  <si>
    <t>m =</t>
  </si>
  <si>
    <t>(constant pressure)</t>
  </si>
  <si>
    <t>(weak adverse pressure gradient)</t>
  </si>
  <si>
    <t>71571-5</t>
  </si>
  <si>
    <t>110971-1</t>
  </si>
  <si>
    <t>120771-1</t>
  </si>
  <si>
    <t>(strong adverse pressure gradient)</t>
  </si>
  <si>
    <t>shape factor</t>
  </si>
  <si>
    <t>Case ID</t>
  </si>
  <si>
    <t>Andersen, Kays and Moffat, The turbulent boundary layer on a porous plate: An Experimental Study of the Fluid Mechanics for Adverse Free-Stream Pressure Gradients, Report HMT-15, Nasa Grant NGR-05-020-134, 1972 (Stanford)</t>
  </si>
  <si>
    <t>Blowing fraction (v0/u_inf), only cases with F=0 considered here.</t>
  </si>
  <si>
    <t xml:space="preserve">Flat plate study about the effect of blowing and suction (positive and negative F), also has data for cases without transpiration. It is those ones that were digitized into this spreadsheet.  It would be desirable to (re)read the report and assess wheter flat plate roughness had a role in the considered TBLs. </t>
  </si>
  <si>
    <t>ANDERSEN1972A</t>
  </si>
  <si>
    <t>ANDERSEN1972B</t>
  </si>
  <si>
    <t>ANDERSEN1972C</t>
  </si>
  <si>
    <t>Summarized G-Beta Data</t>
  </si>
  <si>
    <t>Compiled G-Beta Data</t>
  </si>
  <si>
    <t>Typical G-Beta Curve</t>
  </si>
  <si>
    <t>A</t>
  </si>
  <si>
    <t>RFOIL</t>
  </si>
  <si>
    <t>Units</t>
  </si>
  <si>
    <t>in</t>
  </si>
  <si>
    <t>Re Plate</t>
  </si>
  <si>
    <t>Plate Length</t>
  </si>
  <si>
    <t>ft/s</t>
  </si>
  <si>
    <t xml:space="preserve">nu </t>
  </si>
  <si>
    <t>Some uncertainty surrounding value of nu. Reynolds of flat plate length was kept at 14.3 million, but uncertainty surrounding flat plate length (17,5 or 14,3). My gut feeling says 17,5 but nu value is then quite high…</t>
  </si>
  <si>
    <t>U</t>
  </si>
  <si>
    <t>(m/s)</t>
  </si>
  <si>
    <t>delta_2</t>
  </si>
  <si>
    <t>u_inf_over_nu_inf</t>
  </si>
  <si>
    <t>m2/s</t>
  </si>
  <si>
    <t>Cons. Check</t>
  </si>
  <si>
    <t>(bool)</t>
  </si>
  <si>
    <t>x @ (bl)</t>
  </si>
  <si>
    <t>x @ (q)</t>
  </si>
  <si>
    <t>Velocity Interpolation</t>
  </si>
  <si>
    <t>(calc.)</t>
  </si>
  <si>
    <t>U_ref</t>
  </si>
  <si>
    <t>U_ref_over_nu</t>
  </si>
  <si>
    <t>ft^-1</t>
  </si>
  <si>
    <t>m^(-1)</t>
  </si>
  <si>
    <t>Standardized BL Run</t>
  </si>
  <si>
    <t>Reverse engineering of U_inf/nu_inf from Re_theta shows that Cp is dynamic pressure coefficient ratio, not speed ratio (unlike what is written in report, a square missing!). Layer A had unstable U_over_nu conditions (temperature change???)</t>
  </si>
  <si>
    <t>x (m)</t>
  </si>
  <si>
    <t>delta_2 (m)</t>
  </si>
  <si>
    <t>U1 (m/s)</t>
  </si>
  <si>
    <t>Also has G-beta data, and turbulent shear stress data (at the profile level!). Attributes origin of G-beta stuff to Nash, and compares his fit! Boundary layers A, B and C differ in terms of initial conditions: A was tripped near L.E. while B and C received additional artificial thickneing (sandpaper for B, and sandpaper + LE obstacles for C)</t>
  </si>
  <si>
    <t>TN2133</t>
  </si>
  <si>
    <t>U_ref_over_nu_ref</t>
  </si>
  <si>
    <t>AUBERTINE2005</t>
  </si>
  <si>
    <t>nu</t>
  </si>
  <si>
    <t>Compiled BL Run Data</t>
  </si>
  <si>
    <t>U1 (ft/s)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</si>
</sst>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rgb="FFFF0000"/>
      <name val="Calibri"/>
      <family val="2"/>
      <scheme val="minor"/>
    </font>
    <font>
      <sz val="24"/>
      <color theme="1"/>
      <name val="Calibri"/>
      <family val="2"/>
      <scheme val="minor"/>
    </font>
    <font>
      <b/>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8"/>
      <color theme="1"/>
      <name val="Calibri"/>
      <family val="2"/>
      <scheme val="minor"/>
    </font>
    <font>
      <sz val="12"/>
      <color theme="9"/>
      <name val="Calibri"/>
      <family val="2"/>
      <scheme val="minor"/>
    </font>
    <font>
      <sz val="12"/>
      <color rgb="FF70AD47"/>
      <name val="Calibri"/>
      <family val="2"/>
      <scheme val="minor"/>
    </font>
    <font>
      <b/>
      <sz val="18"/>
      <color rgb="FF000000"/>
      <name val="Calibri"/>
      <family val="2"/>
      <scheme val="minor"/>
    </font>
    <font>
      <sz val="12"/>
      <color rgb="FFC00000"/>
      <name val="Calibri"/>
      <family val="2"/>
      <scheme val="minor"/>
    </font>
    <font>
      <sz val="12"/>
      <color theme="7"/>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2" fillId="0" borderId="0" xfId="0" applyFont="1"/>
    <xf numFmtId="0" fontId="0" fillId="0" borderId="0" xfId="0" applyAlignment="1">
      <alignment wrapText="1"/>
    </xf>
    <xf numFmtId="11" fontId="0" fillId="0" borderId="0" xfId="0" applyNumberFormat="1"/>
    <xf numFmtId="0" fontId="1" fillId="0" borderId="0" xfId="0" applyFont="1"/>
    <xf numFmtId="0" fontId="3" fillId="0" borderId="0" xfId="0" applyFont="1"/>
    <xf numFmtId="0" fontId="0" fillId="0" borderId="0" xfId="0" applyFont="1"/>
    <xf numFmtId="0" fontId="6" fillId="0" borderId="0" xfId="0" applyFon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1" xfId="0" applyBorder="1"/>
    <xf numFmtId="0" fontId="0" fillId="0" borderId="3" xfId="0" applyBorder="1"/>
    <xf numFmtId="0" fontId="8" fillId="0" borderId="0" xfId="0" applyFont="1"/>
    <xf numFmtId="0" fontId="9" fillId="0" borderId="0" xfId="0" applyFont="1"/>
    <xf numFmtId="0" fontId="7" fillId="0" borderId="0" xfId="0" applyFont="1" applyBorder="1" applyAlignment="1">
      <alignment vertical="center"/>
    </xf>
    <xf numFmtId="0" fontId="7" fillId="0" borderId="5" xfId="0" applyFont="1" applyBorder="1" applyAlignment="1">
      <alignment vertical="center"/>
    </xf>
    <xf numFmtId="0" fontId="0" fillId="0" borderId="0" xfId="0" applyFont="1" applyBorder="1" applyAlignment="1">
      <alignment vertical="center"/>
    </xf>
    <xf numFmtId="0" fontId="6"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0" xfId="0" applyFont="1" applyBorder="1"/>
    <xf numFmtId="0" fontId="6" fillId="0" borderId="6" xfId="0" applyFont="1" applyBorder="1"/>
    <xf numFmtId="0" fontId="6" fillId="0" borderId="7" xfId="0" applyFont="1" applyBorder="1"/>
    <xf numFmtId="0" fontId="6" fillId="0" borderId="8" xfId="0" applyFont="1" applyBorder="1"/>
    <xf numFmtId="0" fontId="11" fillId="0" borderId="0" xfId="0" applyFont="1"/>
    <xf numFmtId="11" fontId="6" fillId="0" borderId="0" xfId="0" applyNumberFormat="1" applyFont="1" applyBorder="1"/>
    <xf numFmtId="11" fontId="8" fillId="0" borderId="0" xfId="0" applyNumberFormat="1" applyFont="1"/>
    <xf numFmtId="11" fontId="0" fillId="0" borderId="0" xfId="0" applyNumberFormat="1" applyBorder="1"/>
    <xf numFmtId="0" fontId="12" fillId="0" borderId="0" xfId="0" applyFont="1"/>
    <xf numFmtId="0" fontId="0" fillId="0" borderId="0" xfId="0" applyFill="1" applyBorder="1"/>
    <xf numFmtId="0" fontId="0" fillId="0" borderId="0" xfId="0" applyAlignment="1">
      <alignment horizontal="center" wrapText="1"/>
    </xf>
    <xf numFmtId="0" fontId="0" fillId="0" borderId="0" xfId="0" applyAlignment="1">
      <alignment horizont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0" fillId="0" borderId="0" xfId="0"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10" fillId="0" borderId="5" xfId="0" applyFont="1" applyBorder="1" applyAlignment="1">
      <alignment horizontal="center" vertical="center"/>
    </xf>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G-Beta</c:v>
          </c:tx>
          <c:spPr>
            <a:ln w="25400" cap="rnd">
              <a:noFill/>
              <a:round/>
            </a:ln>
            <a:effectLst/>
          </c:spPr>
          <c:marker>
            <c:symbol val="circle"/>
            <c:size val="5"/>
            <c:spPr>
              <a:solidFill>
                <a:schemeClr val="accent1"/>
              </a:solidFill>
              <a:ln w="9525">
                <a:solidFill>
                  <a:schemeClr val="accent1"/>
                </a:solidFill>
              </a:ln>
              <a:effectLst/>
            </c:spPr>
          </c:marker>
          <c:xVal>
            <c:numRef>
              <c:f>'G-Beta Locus'!$D$11:$D$76</c:f>
              <c:numCache>
                <c:formatCode>General</c:formatCode>
                <c:ptCount val="66"/>
                <c:pt idx="0">
                  <c:v>0.364</c:v>
                </c:pt>
                <c:pt idx="1">
                  <c:v>0.54</c:v>
                </c:pt>
                <c:pt idx="2">
                  <c:v>0.95</c:v>
                </c:pt>
                <c:pt idx="3">
                  <c:v>1.08</c:v>
                </c:pt>
                <c:pt idx="4">
                  <c:v>1.08</c:v>
                </c:pt>
                <c:pt idx="5">
                  <c:v>1.19</c:v>
                </c:pt>
                <c:pt idx="6">
                  <c:v>1.34</c:v>
                </c:pt>
                <c:pt idx="7">
                  <c:v>1.44</c:v>
                </c:pt>
                <c:pt idx="8">
                  <c:v>0.64</c:v>
                </c:pt>
                <c:pt idx="9">
                  <c:v>1.14</c:v>
                </c:pt>
                <c:pt idx="10">
                  <c:v>1.37</c:v>
                </c:pt>
                <c:pt idx="11">
                  <c:v>1.556</c:v>
                </c:pt>
                <c:pt idx="12">
                  <c:v>1.617</c:v>
                </c:pt>
                <c:pt idx="13">
                  <c:v>1.842</c:v>
                </c:pt>
                <c:pt idx="14">
                  <c:v>2.012</c:v>
                </c:pt>
                <c:pt idx="15">
                  <c:v>2.034</c:v>
                </c:pt>
                <c:pt idx="16">
                  <c:v>0.942</c:v>
                </c:pt>
                <c:pt idx="17">
                  <c:v>1.632</c:v>
                </c:pt>
                <c:pt idx="18">
                  <c:v>1.928</c:v>
                </c:pt>
                <c:pt idx="19">
                  <c:v>2.155</c:v>
                </c:pt>
                <c:pt idx="20">
                  <c:v>2.219</c:v>
                </c:pt>
                <c:pt idx="21">
                  <c:v>2.495</c:v>
                </c:pt>
                <c:pt idx="22">
                  <c:v>2.807</c:v>
                </c:pt>
                <c:pt idx="23">
                  <c:v>2.876</c:v>
                </c:pt>
                <c:pt idx="24">
                  <c:v>12.2</c:v>
                </c:pt>
                <c:pt idx="25">
                  <c:v>14.0</c:v>
                </c:pt>
                <c:pt idx="26">
                  <c:v>15.7</c:v>
                </c:pt>
                <c:pt idx="27">
                  <c:v>16.9</c:v>
                </c:pt>
                <c:pt idx="28">
                  <c:v>17.3</c:v>
                </c:pt>
                <c:pt idx="29">
                  <c:v>19.9</c:v>
                </c:pt>
                <c:pt idx="30">
                  <c:v>20.0</c:v>
                </c:pt>
                <c:pt idx="31">
                  <c:v>19.6</c:v>
                </c:pt>
                <c:pt idx="32">
                  <c:v>20.1</c:v>
                </c:pt>
                <c:pt idx="33">
                  <c:v>20.2</c:v>
                </c:pt>
                <c:pt idx="34">
                  <c:v>21.2</c:v>
                </c:pt>
                <c:pt idx="35">
                  <c:v>21.4</c:v>
                </c:pt>
                <c:pt idx="36">
                  <c:v>1.68</c:v>
                </c:pt>
                <c:pt idx="37">
                  <c:v>0.73</c:v>
                </c:pt>
                <c:pt idx="38">
                  <c:v>0.25</c:v>
                </c:pt>
                <c:pt idx="39">
                  <c:v>0.0</c:v>
                </c:pt>
                <c:pt idx="40">
                  <c:v>-0.001</c:v>
                </c:pt>
                <c:pt idx="41">
                  <c:v>-0.001</c:v>
                </c:pt>
                <c:pt idx="42">
                  <c:v>-0.001</c:v>
                </c:pt>
                <c:pt idx="43">
                  <c:v>0.0</c:v>
                </c:pt>
                <c:pt idx="44">
                  <c:v>0.001</c:v>
                </c:pt>
                <c:pt idx="45">
                  <c:v>0.002</c:v>
                </c:pt>
                <c:pt idx="46">
                  <c:v>0.004</c:v>
                </c:pt>
                <c:pt idx="47">
                  <c:v>0.005</c:v>
                </c:pt>
                <c:pt idx="48">
                  <c:v>0.141</c:v>
                </c:pt>
                <c:pt idx="49">
                  <c:v>0.674</c:v>
                </c:pt>
                <c:pt idx="50">
                  <c:v>0.686</c:v>
                </c:pt>
                <c:pt idx="51">
                  <c:v>0.696</c:v>
                </c:pt>
                <c:pt idx="52">
                  <c:v>0.708</c:v>
                </c:pt>
                <c:pt idx="53">
                  <c:v>0.685</c:v>
                </c:pt>
                <c:pt idx="54">
                  <c:v>0.693</c:v>
                </c:pt>
                <c:pt idx="55">
                  <c:v>0.685</c:v>
                </c:pt>
                <c:pt idx="56">
                  <c:v>0.712</c:v>
                </c:pt>
                <c:pt idx="57">
                  <c:v>0.219</c:v>
                </c:pt>
                <c:pt idx="58">
                  <c:v>1.201</c:v>
                </c:pt>
                <c:pt idx="59">
                  <c:v>1.559</c:v>
                </c:pt>
                <c:pt idx="60">
                  <c:v>1.626</c:v>
                </c:pt>
                <c:pt idx="61">
                  <c:v>1.63</c:v>
                </c:pt>
                <c:pt idx="62">
                  <c:v>1.577</c:v>
                </c:pt>
                <c:pt idx="63">
                  <c:v>1.547</c:v>
                </c:pt>
                <c:pt idx="64">
                  <c:v>1.575</c:v>
                </c:pt>
                <c:pt idx="65">
                  <c:v>1.75</c:v>
                </c:pt>
              </c:numCache>
            </c:numRef>
          </c:xVal>
          <c:yVal>
            <c:numRef>
              <c:f>'G-Beta Locus'!$C$11:$C$76</c:f>
              <c:numCache>
                <c:formatCode>General</c:formatCode>
                <c:ptCount val="66"/>
                <c:pt idx="0">
                  <c:v>8.220000000000001</c:v>
                </c:pt>
                <c:pt idx="1">
                  <c:v>8.1</c:v>
                </c:pt>
                <c:pt idx="2">
                  <c:v>9.220000000000001</c:v>
                </c:pt>
                <c:pt idx="3">
                  <c:v>10.2</c:v>
                </c:pt>
                <c:pt idx="4">
                  <c:v>10.4</c:v>
                </c:pt>
                <c:pt idx="5">
                  <c:v>10.2</c:v>
                </c:pt>
                <c:pt idx="6">
                  <c:v>10.5</c:v>
                </c:pt>
                <c:pt idx="7">
                  <c:v>10.9</c:v>
                </c:pt>
                <c:pt idx="8">
                  <c:v>8.05</c:v>
                </c:pt>
                <c:pt idx="9">
                  <c:v>8.33</c:v>
                </c:pt>
                <c:pt idx="10">
                  <c:v>9.82</c:v>
                </c:pt>
                <c:pt idx="11">
                  <c:v>10.5</c:v>
                </c:pt>
                <c:pt idx="12">
                  <c:v>10.38</c:v>
                </c:pt>
                <c:pt idx="13">
                  <c:v>10.89</c:v>
                </c:pt>
                <c:pt idx="14">
                  <c:v>11.42</c:v>
                </c:pt>
                <c:pt idx="15">
                  <c:v>11.8</c:v>
                </c:pt>
                <c:pt idx="16">
                  <c:v>7.5</c:v>
                </c:pt>
                <c:pt idx="17">
                  <c:v>8.56</c:v>
                </c:pt>
                <c:pt idx="18">
                  <c:v>8.54</c:v>
                </c:pt>
                <c:pt idx="19">
                  <c:v>10.39</c:v>
                </c:pt>
                <c:pt idx="20">
                  <c:v>10.36</c:v>
                </c:pt>
                <c:pt idx="21">
                  <c:v>11.21</c:v>
                </c:pt>
                <c:pt idx="22">
                  <c:v>12.58</c:v>
                </c:pt>
                <c:pt idx="23">
                  <c:v>12.98</c:v>
                </c:pt>
                <c:pt idx="24">
                  <c:v>20.8</c:v>
                </c:pt>
                <c:pt idx="25">
                  <c:v>22.9</c:v>
                </c:pt>
                <c:pt idx="26">
                  <c:v>24.8</c:v>
                </c:pt>
                <c:pt idx="27">
                  <c:v>26.4</c:v>
                </c:pt>
                <c:pt idx="28">
                  <c:v>27.0</c:v>
                </c:pt>
                <c:pt idx="29">
                  <c:v>29.2</c:v>
                </c:pt>
                <c:pt idx="30">
                  <c:v>29.3</c:v>
                </c:pt>
                <c:pt idx="31">
                  <c:v>29.1</c:v>
                </c:pt>
                <c:pt idx="32">
                  <c:v>29.6</c:v>
                </c:pt>
                <c:pt idx="33">
                  <c:v>29.6</c:v>
                </c:pt>
                <c:pt idx="34">
                  <c:v>30.2</c:v>
                </c:pt>
                <c:pt idx="35">
                  <c:v>30.2</c:v>
                </c:pt>
                <c:pt idx="36">
                  <c:v>12.4</c:v>
                </c:pt>
                <c:pt idx="37">
                  <c:v>9.7</c:v>
                </c:pt>
                <c:pt idx="38">
                  <c:v>8.130000000000001</c:v>
                </c:pt>
                <c:pt idx="39">
                  <c:v>7.002</c:v>
                </c:pt>
                <c:pt idx="40">
                  <c:v>6.91</c:v>
                </c:pt>
                <c:pt idx="41">
                  <c:v>7.2</c:v>
                </c:pt>
                <c:pt idx="42">
                  <c:v>7.07</c:v>
                </c:pt>
                <c:pt idx="43">
                  <c:v>7.2</c:v>
                </c:pt>
                <c:pt idx="44">
                  <c:v>7.22</c:v>
                </c:pt>
                <c:pt idx="45">
                  <c:v>7.25</c:v>
                </c:pt>
                <c:pt idx="46">
                  <c:v>7.22</c:v>
                </c:pt>
                <c:pt idx="47">
                  <c:v>7.17</c:v>
                </c:pt>
                <c:pt idx="48">
                  <c:v>6.89</c:v>
                </c:pt>
                <c:pt idx="49">
                  <c:v>8.29</c:v>
                </c:pt>
                <c:pt idx="50">
                  <c:v>8.77</c:v>
                </c:pt>
                <c:pt idx="51">
                  <c:v>8.96</c:v>
                </c:pt>
                <c:pt idx="52">
                  <c:v>9.23</c:v>
                </c:pt>
                <c:pt idx="53">
                  <c:v>9.1</c:v>
                </c:pt>
                <c:pt idx="54">
                  <c:v>9.19</c:v>
                </c:pt>
                <c:pt idx="55">
                  <c:v>9.08</c:v>
                </c:pt>
                <c:pt idx="56">
                  <c:v>9.09</c:v>
                </c:pt>
                <c:pt idx="57">
                  <c:v>6.93</c:v>
                </c:pt>
                <c:pt idx="58">
                  <c:v>9.05</c:v>
                </c:pt>
                <c:pt idx="59">
                  <c:v>11.05</c:v>
                </c:pt>
                <c:pt idx="60">
                  <c:v>11.43</c:v>
                </c:pt>
                <c:pt idx="61">
                  <c:v>11.62</c:v>
                </c:pt>
                <c:pt idx="62">
                  <c:v>11.48</c:v>
                </c:pt>
                <c:pt idx="63">
                  <c:v>11.39</c:v>
                </c:pt>
                <c:pt idx="64">
                  <c:v>11.43</c:v>
                </c:pt>
                <c:pt idx="65">
                  <c:v>11.72</c:v>
                </c:pt>
              </c:numCache>
            </c:numRef>
          </c:yVal>
          <c:smooth val="0"/>
        </c:ser>
        <c:ser>
          <c:idx val="1"/>
          <c:order val="1"/>
          <c:tx>
            <c:v>RFOIL G-Beta</c:v>
          </c:tx>
          <c:spPr>
            <a:ln w="25400" cap="rnd">
              <a:noFill/>
              <a:round/>
            </a:ln>
            <a:effectLst/>
          </c:spPr>
          <c:marker>
            <c:symbol val="circle"/>
            <c:size val="5"/>
            <c:spPr>
              <a:solidFill>
                <a:schemeClr val="accent2"/>
              </a:solidFill>
              <a:ln w="9525">
                <a:solidFill>
                  <a:schemeClr val="accent2"/>
                </a:solidFill>
              </a:ln>
              <a:effectLst/>
            </c:spPr>
          </c:marker>
          <c:xVal>
            <c:numRef>
              <c:f>'G-Beta Locus'!$H$12:$H$92</c:f>
              <c:numCache>
                <c:formatCode>General</c:formatCode>
                <c:ptCount val="8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3.500000000000001</c:v>
                </c:pt>
                <c:pt idx="32">
                  <c:v>4.000000000000002</c:v>
                </c:pt>
                <c:pt idx="33">
                  <c:v>4.500000000000002</c:v>
                </c:pt>
                <c:pt idx="34">
                  <c:v>5.000000000000002</c:v>
                </c:pt>
                <c:pt idx="35">
                  <c:v>5.500000000000002</c:v>
                </c:pt>
                <c:pt idx="36">
                  <c:v>6.000000000000002</c:v>
                </c:pt>
                <c:pt idx="37">
                  <c:v>6.500000000000002</c:v>
                </c:pt>
                <c:pt idx="38">
                  <c:v>7.000000000000002</c:v>
                </c:pt>
                <c:pt idx="39">
                  <c:v>7.500000000000002</c:v>
                </c:pt>
                <c:pt idx="40">
                  <c:v>8.000000000000001</c:v>
                </c:pt>
                <c:pt idx="41">
                  <c:v>8.500000000000001</c:v>
                </c:pt>
                <c:pt idx="42">
                  <c:v>9.000000000000001</c:v>
                </c:pt>
                <c:pt idx="43">
                  <c:v>9.500000000000001</c:v>
                </c:pt>
                <c:pt idx="44">
                  <c:v>10.0</c:v>
                </c:pt>
                <c:pt idx="45">
                  <c:v>10.5</c:v>
                </c:pt>
                <c:pt idx="46">
                  <c:v>11.0</c:v>
                </c:pt>
                <c:pt idx="47">
                  <c:v>11.5</c:v>
                </c:pt>
                <c:pt idx="48">
                  <c:v>12.0</c:v>
                </c:pt>
                <c:pt idx="49">
                  <c:v>12.5</c:v>
                </c:pt>
                <c:pt idx="50">
                  <c:v>13.0</c:v>
                </c:pt>
                <c:pt idx="51">
                  <c:v>13.5</c:v>
                </c:pt>
                <c:pt idx="52">
                  <c:v>14.0</c:v>
                </c:pt>
                <c:pt idx="53">
                  <c:v>14.5</c:v>
                </c:pt>
                <c:pt idx="54">
                  <c:v>15.0</c:v>
                </c:pt>
                <c:pt idx="55">
                  <c:v>15.5</c:v>
                </c:pt>
                <c:pt idx="56">
                  <c:v>16.0</c:v>
                </c:pt>
                <c:pt idx="57">
                  <c:v>16.5</c:v>
                </c:pt>
                <c:pt idx="58">
                  <c:v>17.0</c:v>
                </c:pt>
                <c:pt idx="59">
                  <c:v>17.5</c:v>
                </c:pt>
                <c:pt idx="60">
                  <c:v>18.0</c:v>
                </c:pt>
                <c:pt idx="61">
                  <c:v>18.5</c:v>
                </c:pt>
                <c:pt idx="62">
                  <c:v>19.0</c:v>
                </c:pt>
                <c:pt idx="63">
                  <c:v>19.5</c:v>
                </c:pt>
                <c:pt idx="64">
                  <c:v>20.0</c:v>
                </c:pt>
                <c:pt idx="65">
                  <c:v>20.5</c:v>
                </c:pt>
                <c:pt idx="66">
                  <c:v>21.0</c:v>
                </c:pt>
                <c:pt idx="67">
                  <c:v>21.5</c:v>
                </c:pt>
                <c:pt idx="68">
                  <c:v>22.0</c:v>
                </c:pt>
                <c:pt idx="69">
                  <c:v>22.5</c:v>
                </c:pt>
                <c:pt idx="70">
                  <c:v>23.0</c:v>
                </c:pt>
                <c:pt idx="71">
                  <c:v>23.5</c:v>
                </c:pt>
                <c:pt idx="72">
                  <c:v>24.0</c:v>
                </c:pt>
                <c:pt idx="73">
                  <c:v>24.5</c:v>
                </c:pt>
                <c:pt idx="74">
                  <c:v>25.0</c:v>
                </c:pt>
                <c:pt idx="75">
                  <c:v>25.5</c:v>
                </c:pt>
                <c:pt idx="76">
                  <c:v>26.0</c:v>
                </c:pt>
                <c:pt idx="77">
                  <c:v>26.5</c:v>
                </c:pt>
                <c:pt idx="78">
                  <c:v>27.0</c:v>
                </c:pt>
                <c:pt idx="79">
                  <c:v>27.5</c:v>
                </c:pt>
                <c:pt idx="80">
                  <c:v>28.0</c:v>
                </c:pt>
              </c:numCache>
            </c:numRef>
          </c:xVal>
          <c:yVal>
            <c:numRef>
              <c:f>'G-Beta Locus'!$G$12:$G$92</c:f>
              <c:numCache>
                <c:formatCode>General</c:formatCode>
                <c:ptCount val="81"/>
                <c:pt idx="0">
                  <c:v>6.75</c:v>
                </c:pt>
                <c:pt idx="1">
                  <c:v>7.024541800003755</c:v>
                </c:pt>
                <c:pt idx="2">
                  <c:v>7.288749892814267</c:v>
                </c:pt>
                <c:pt idx="3">
                  <c:v>7.543710128312196</c:v>
                </c:pt>
                <c:pt idx="4">
                  <c:v>7.790330544976895</c:v>
                </c:pt>
                <c:pt idx="5">
                  <c:v>8.029379646024965</c:v>
                </c:pt>
                <c:pt idx="6">
                  <c:v>8.26151469162889</c:v>
                </c:pt>
                <c:pt idx="7">
                  <c:v>8.487303016859948</c:v>
                </c:pt>
                <c:pt idx="8">
                  <c:v>8.707238368162434</c:v>
                </c:pt>
                <c:pt idx="9">
                  <c:v>8.92175361125827</c:v>
                </c:pt>
                <c:pt idx="10">
                  <c:v>9.13123074946636</c:v>
                </c:pt>
                <c:pt idx="11">
                  <c:v>9.336008917090856</c:v>
                </c:pt>
                <c:pt idx="12">
                  <c:v>9.536390826722653</c:v>
                </c:pt>
                <c:pt idx="13">
                  <c:v>9.73264802096531</c:v>
                </c:pt>
                <c:pt idx="14">
                  <c:v>9.925025188884912</c:v>
                </c:pt>
                <c:pt idx="15">
                  <c:v>10.11374374304589</c:v>
                </c:pt>
                <c:pt idx="16">
                  <c:v>10.29900480629075</c:v>
                </c:pt>
                <c:pt idx="17">
                  <c:v>10.48099172311476</c:v>
                </c:pt>
                <c:pt idx="18">
                  <c:v>10.65987218497483</c:v>
                </c:pt>
                <c:pt idx="19">
                  <c:v>10.83580003968327</c:v>
                </c:pt>
                <c:pt idx="20">
                  <c:v>11.00891684045256</c:v>
                </c:pt>
                <c:pt idx="21">
                  <c:v>11.17935317896344</c:v>
                </c:pt>
                <c:pt idx="22">
                  <c:v>11.34722983815874</c:v>
                </c:pt>
                <c:pt idx="23">
                  <c:v>11.51265879369314</c:v>
                </c:pt>
                <c:pt idx="24">
                  <c:v>11.67574408763741</c:v>
                </c:pt>
                <c:pt idx="25">
                  <c:v>11.83658259380637</c:v>
                </c:pt>
                <c:pt idx="26">
                  <c:v>11.99526469070191</c:v>
                </c:pt>
                <c:pt idx="27">
                  <c:v>12.1518748553464</c:v>
                </c:pt>
                <c:pt idx="28">
                  <c:v>12.3064921890846</c:v>
                </c:pt>
                <c:pt idx="29">
                  <c:v>12.45919088464416</c:v>
                </c:pt>
                <c:pt idx="30">
                  <c:v>12.61004064228185</c:v>
                </c:pt>
                <c:pt idx="31">
                  <c:v>13.33872417062442</c:v>
                </c:pt>
                <c:pt idx="32">
                  <c:v>14.02961154130791</c:v>
                </c:pt>
                <c:pt idx="33">
                  <c:v>14.68803722421754</c:v>
                </c:pt>
                <c:pt idx="34">
                  <c:v>15.31818771917879</c:v>
                </c:pt>
                <c:pt idx="35">
                  <c:v>15.92342025131536</c:v>
                </c:pt>
                <c:pt idx="36">
                  <c:v>16.50647600186061</c:v>
                </c:pt>
                <c:pt idx="37">
                  <c:v>17.06962763214242</c:v>
                </c:pt>
                <c:pt idx="38">
                  <c:v>17.61478427344485</c:v>
                </c:pt>
                <c:pt idx="39">
                  <c:v>18.14356807521608</c:v>
                </c:pt>
                <c:pt idx="40">
                  <c:v>18.6573711974651</c:v>
                </c:pt>
                <c:pt idx="41">
                  <c:v>19.15739902752981</c:v>
                </c:pt>
                <c:pt idx="42">
                  <c:v>19.64470348465459</c:v>
                </c:pt>
                <c:pt idx="43">
                  <c:v>20.12020905706499</c:v>
                </c:pt>
                <c:pt idx="44">
                  <c:v>20.58473342066883</c:v>
                </c:pt>
                <c:pt idx="45">
                  <c:v>21.03900395693675</c:v>
                </c:pt>
                <c:pt idx="46">
                  <c:v>21.48367112483339</c:v>
                </c:pt>
                <c:pt idx="47">
                  <c:v>21.91931938952485</c:v>
                </c:pt>
                <c:pt idx="48">
                  <c:v>22.34647623228324</c:v>
                </c:pt>
                <c:pt idx="49">
                  <c:v>22.76561963795407</c:v>
                </c:pt>
                <c:pt idx="50">
                  <c:v>23.17718436307568</c:v>
                </c:pt>
                <c:pt idx="51">
                  <c:v>23.58156721891062</c:v>
                </c:pt>
                <c:pt idx="52">
                  <c:v>23.97913155224768</c:v>
                </c:pt>
                <c:pt idx="53">
                  <c:v>24.37021106802319</c:v>
                </c:pt>
                <c:pt idx="54">
                  <c:v>24.75511310820454</c:v>
                </c:pt>
                <c:pt idx="55">
                  <c:v>25.13412147857967</c:v>
                </c:pt>
                <c:pt idx="56">
                  <c:v>25.5074988973831</c:v>
                </c:pt>
                <c:pt idx="57">
                  <c:v>25.87548912581171</c:v>
                </c:pt>
                <c:pt idx="58">
                  <c:v>26.23831882952869</c:v>
                </c:pt>
                <c:pt idx="59">
                  <c:v>26.59619921154149</c:v>
                </c:pt>
                <c:pt idx="60">
                  <c:v>26.94932744986412</c:v>
                </c:pt>
                <c:pt idx="61">
                  <c:v>27.29788796775311</c:v>
                </c:pt>
                <c:pt idx="62">
                  <c:v>27.64205355974842</c:v>
                </c:pt>
                <c:pt idx="63">
                  <c:v>27.98198639303507</c:v>
                </c:pt>
                <c:pt idx="64">
                  <c:v>28.31783890059408</c:v>
                </c:pt>
                <c:pt idx="65">
                  <c:v>28.64975458010068</c:v>
                </c:pt>
                <c:pt idx="66">
                  <c:v>28.97786871044866</c:v>
                </c:pt>
                <c:pt idx="67">
                  <c:v>29.30230899605012</c:v>
                </c:pt>
                <c:pt idx="68">
                  <c:v>29.62319614761378</c:v>
                </c:pt>
                <c:pt idx="69">
                  <c:v>29.94064440689278</c:v>
                </c:pt>
                <c:pt idx="70">
                  <c:v>30.25476202187021</c:v>
                </c:pt>
                <c:pt idx="71">
                  <c:v>30.56565167798651</c:v>
                </c:pt>
                <c:pt idx="72">
                  <c:v>30.87341089027903</c:v>
                </c:pt>
                <c:pt idx="73">
                  <c:v>31.1781323606787</c:v>
                </c:pt>
                <c:pt idx="74">
                  <c:v>31.47990430417475</c:v>
                </c:pt>
                <c:pt idx="75">
                  <c:v>31.77881074710002</c:v>
                </c:pt>
                <c:pt idx="76">
                  <c:v>32.07493180039515</c:v>
                </c:pt>
                <c:pt idx="77">
                  <c:v>32.3683439103702</c:v>
                </c:pt>
                <c:pt idx="78">
                  <c:v>32.65912008918795</c:v>
                </c:pt>
                <c:pt idx="79">
                  <c:v>32.9473301270376</c:v>
                </c:pt>
                <c:pt idx="80">
                  <c:v>33.23304078774616</c:v>
                </c:pt>
              </c:numCache>
            </c:numRef>
          </c:yVal>
          <c:smooth val="0"/>
        </c:ser>
        <c:dLbls>
          <c:showLegendKey val="0"/>
          <c:showVal val="0"/>
          <c:showCatName val="0"/>
          <c:showSerName val="0"/>
          <c:showPercent val="0"/>
          <c:showBubbleSize val="0"/>
        </c:dLbls>
        <c:axId val="1295920464"/>
        <c:axId val="1295922512"/>
      </c:scatterChart>
      <c:valAx>
        <c:axId val="1295920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922512"/>
        <c:crosses val="autoZero"/>
        <c:crossBetween val="midCat"/>
      </c:valAx>
      <c:valAx>
        <c:axId val="12959225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920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120650</xdr:colOff>
      <xdr:row>1</xdr:row>
      <xdr:rowOff>304800</xdr:rowOff>
    </xdr:from>
    <xdr:to>
      <xdr:col>17</xdr:col>
      <xdr:colOff>685800</xdr:colOff>
      <xdr:row>25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85"/>
  <sheetViews>
    <sheetView topLeftCell="I22" workbookViewId="0">
      <selection activeCell="P8" sqref="P8"/>
    </sheetView>
  </sheetViews>
  <sheetFormatPr baseColWidth="10" defaultRowHeight="16" x14ac:dyDescent="0.2"/>
  <cols>
    <col min="16" max="16" width="12" bestFit="1" customWidth="1"/>
  </cols>
  <sheetData>
    <row r="2" spans="2:27" ht="31" x14ac:dyDescent="0.35">
      <c r="B2" s="1" t="s">
        <v>21</v>
      </c>
    </row>
    <row r="3" spans="2:27" x14ac:dyDescent="0.2">
      <c r="M3" t="s">
        <v>143</v>
      </c>
      <c r="N3">
        <v>1</v>
      </c>
      <c r="O3" t="s">
        <v>16</v>
      </c>
      <c r="P3">
        <v>0.30480000000000002</v>
      </c>
      <c r="Q3" t="s">
        <v>33</v>
      </c>
    </row>
    <row r="4" spans="2:27" x14ac:dyDescent="0.2">
      <c r="B4" t="s">
        <v>93</v>
      </c>
      <c r="C4" t="s">
        <v>171</v>
      </c>
      <c r="N4">
        <v>1</v>
      </c>
      <c r="O4" t="s">
        <v>144</v>
      </c>
      <c r="P4">
        <v>2.5399999999999999E-2</v>
      </c>
      <c r="Q4" t="s">
        <v>33</v>
      </c>
    </row>
    <row r="5" spans="2:27" x14ac:dyDescent="0.2">
      <c r="B5" t="s">
        <v>11</v>
      </c>
      <c r="C5">
        <v>160</v>
      </c>
      <c r="D5" t="s">
        <v>13</v>
      </c>
      <c r="M5" t="s">
        <v>145</v>
      </c>
      <c r="N5">
        <v>14300000</v>
      </c>
    </row>
    <row r="6" spans="2:27" x14ac:dyDescent="0.2">
      <c r="B6" t="s">
        <v>11</v>
      </c>
      <c r="C6" t="s">
        <v>12</v>
      </c>
      <c r="M6" t="s">
        <v>146</v>
      </c>
      <c r="N6">
        <v>17.5</v>
      </c>
      <c r="O6" t="s">
        <v>16</v>
      </c>
      <c r="P6">
        <f>N6*P3</f>
        <v>5.3340000000000005</v>
      </c>
      <c r="Q6" t="s">
        <v>33</v>
      </c>
    </row>
    <row r="7" spans="2:27" x14ac:dyDescent="0.2">
      <c r="B7" t="s">
        <v>8</v>
      </c>
      <c r="C7" t="s">
        <v>9</v>
      </c>
      <c r="M7" t="s">
        <v>11</v>
      </c>
      <c r="N7">
        <v>160</v>
      </c>
      <c r="O7" t="s">
        <v>147</v>
      </c>
      <c r="P7">
        <f>N7*P3</f>
        <v>48.768000000000001</v>
      </c>
      <c r="Q7" t="s">
        <v>32</v>
      </c>
      <c r="X7" s="15" t="s">
        <v>161</v>
      </c>
      <c r="Y7" s="14">
        <f>P7</f>
        <v>48.768000000000001</v>
      </c>
      <c r="Z7" s="14" t="s">
        <v>32</v>
      </c>
      <c r="AA7" s="16"/>
    </row>
    <row r="8" spans="2:27" x14ac:dyDescent="0.2">
      <c r="B8" t="s">
        <v>7</v>
      </c>
      <c r="C8" t="s">
        <v>10</v>
      </c>
      <c r="M8" t="s">
        <v>148</v>
      </c>
      <c r="N8">
        <f>N7*N6/N5</f>
        <v>1.958041958041958E-4</v>
      </c>
      <c r="O8" t="s">
        <v>120</v>
      </c>
      <c r="P8">
        <f>P7*P6/N5</f>
        <v>1.8190805034965035E-5</v>
      </c>
      <c r="Q8" t="s">
        <v>154</v>
      </c>
      <c r="X8" s="8" t="s">
        <v>162</v>
      </c>
      <c r="Y8" s="9">
        <f>P9</f>
        <v>2680914.885639295</v>
      </c>
      <c r="Z8" s="9" t="s">
        <v>164</v>
      </c>
      <c r="AA8" s="10"/>
    </row>
    <row r="9" spans="2:27" x14ac:dyDescent="0.2">
      <c r="B9" t="s">
        <v>14</v>
      </c>
      <c r="C9" t="s">
        <v>15</v>
      </c>
      <c r="M9" t="s">
        <v>153</v>
      </c>
      <c r="N9">
        <f>-N7/N8</f>
        <v>-817142.85714285716</v>
      </c>
      <c r="O9" t="s">
        <v>163</v>
      </c>
      <c r="P9">
        <f>P7/P8</f>
        <v>2680914.885639295</v>
      </c>
      <c r="Q9" t="s">
        <v>164</v>
      </c>
      <c r="X9" s="8" t="s">
        <v>93</v>
      </c>
      <c r="Y9" s="9" t="str">
        <f>C4</f>
        <v>TN2133</v>
      </c>
      <c r="Z9" s="9"/>
      <c r="AA9" s="10"/>
    </row>
    <row r="10" spans="2:27" ht="16" customHeight="1" x14ac:dyDescent="0.2">
      <c r="X10" s="39" t="s">
        <v>165</v>
      </c>
      <c r="Y10" s="40"/>
      <c r="Z10" s="40"/>
      <c r="AA10" s="41"/>
    </row>
    <row r="11" spans="2:27" ht="16" customHeight="1" x14ac:dyDescent="0.2">
      <c r="X11" s="39"/>
      <c r="Y11" s="40"/>
      <c r="Z11" s="40"/>
      <c r="AA11" s="41"/>
    </row>
    <row r="12" spans="2:27" ht="16" customHeight="1" x14ac:dyDescent="0.2">
      <c r="G12" t="s">
        <v>17</v>
      </c>
      <c r="H12">
        <v>14</v>
      </c>
      <c r="I12" t="s">
        <v>1</v>
      </c>
      <c r="M12" s="38" t="s">
        <v>159</v>
      </c>
      <c r="N12" s="38"/>
      <c r="O12" s="38"/>
      <c r="P12" s="38"/>
      <c r="X12" s="39"/>
      <c r="Y12" s="40"/>
      <c r="Z12" s="40"/>
      <c r="AA12" s="41"/>
    </row>
    <row r="13" spans="2:27" x14ac:dyDescent="0.2">
      <c r="B13" t="s">
        <v>0</v>
      </c>
      <c r="C13" t="s">
        <v>2</v>
      </c>
      <c r="D13" t="s">
        <v>0</v>
      </c>
      <c r="E13" t="s">
        <v>2</v>
      </c>
      <c r="G13" t="s">
        <v>18</v>
      </c>
      <c r="H13" t="s">
        <v>20</v>
      </c>
      <c r="M13" t="s">
        <v>158</v>
      </c>
      <c r="N13" t="s">
        <v>2</v>
      </c>
      <c r="O13" t="s">
        <v>155</v>
      </c>
      <c r="P13" t="s">
        <v>157</v>
      </c>
      <c r="Q13" t="s">
        <v>0</v>
      </c>
      <c r="R13" t="s">
        <v>53</v>
      </c>
      <c r="S13" t="s">
        <v>152</v>
      </c>
      <c r="T13" t="s">
        <v>5</v>
      </c>
      <c r="U13" t="s">
        <v>150</v>
      </c>
      <c r="X13" s="8" t="s">
        <v>0</v>
      </c>
      <c r="Y13" s="9" t="s">
        <v>150</v>
      </c>
      <c r="Z13" s="9" t="s">
        <v>152</v>
      </c>
      <c r="AA13" s="10" t="s">
        <v>5</v>
      </c>
    </row>
    <row r="14" spans="2:27" x14ac:dyDescent="0.2">
      <c r="B14" t="s">
        <v>1</v>
      </c>
      <c r="C14" t="s">
        <v>3</v>
      </c>
      <c r="D14" t="s">
        <v>1</v>
      </c>
      <c r="E14" t="s">
        <v>3</v>
      </c>
      <c r="G14" t="s">
        <v>19</v>
      </c>
      <c r="H14" t="s">
        <v>3</v>
      </c>
      <c r="M14" t="s">
        <v>1</v>
      </c>
      <c r="O14" t="s">
        <v>156</v>
      </c>
      <c r="P14" t="s">
        <v>1</v>
      </c>
      <c r="Q14" t="s">
        <v>66</v>
      </c>
      <c r="R14" t="s">
        <v>66</v>
      </c>
      <c r="S14" t="s">
        <v>66</v>
      </c>
      <c r="U14" t="s">
        <v>151</v>
      </c>
      <c r="X14" s="8" t="s">
        <v>66</v>
      </c>
      <c r="Y14" s="9" t="s">
        <v>151</v>
      </c>
      <c r="Z14" s="9" t="s">
        <v>66</v>
      </c>
      <c r="AA14" s="10" t="s">
        <v>3</v>
      </c>
    </row>
    <row r="15" spans="2:27" x14ac:dyDescent="0.2">
      <c r="B15">
        <v>0.05</v>
      </c>
      <c r="C15">
        <v>0.218</v>
      </c>
      <c r="D15">
        <v>13</v>
      </c>
      <c r="E15">
        <v>0.97699999999999998</v>
      </c>
      <c r="G15">
        <v>0.16</v>
      </c>
      <c r="H15">
        <v>4.0000000000000001E-3</v>
      </c>
      <c r="M15">
        <f t="shared" ref="M15:N21" si="0">B20</f>
        <v>0.5</v>
      </c>
      <c r="N15">
        <f t="shared" si="0"/>
        <v>0.39600000000000002</v>
      </c>
      <c r="O15" t="b">
        <f>M15=P15</f>
        <v>1</v>
      </c>
      <c r="P15" s="4">
        <f>B48</f>
        <v>0.5</v>
      </c>
      <c r="Q15" s="4">
        <f>P15*$P$3</f>
        <v>0.15240000000000001</v>
      </c>
      <c r="R15" s="4">
        <f>C48*$P$4</f>
        <v>9.905999999999999E-4</v>
      </c>
      <c r="S15" s="4">
        <f>D48*$P$4</f>
        <v>6.603999999999999E-4</v>
      </c>
      <c r="T15" s="4">
        <f>E48</f>
        <v>1.5</v>
      </c>
      <c r="U15" s="4">
        <f>SQRT(N15)*$P$7</f>
        <v>30.688985944537169</v>
      </c>
      <c r="X15" s="8">
        <f t="shared" ref="X15:X51" si="1">Q16</f>
        <v>0.30480000000000002</v>
      </c>
      <c r="Y15" s="9">
        <f t="shared" ref="Y15:Y51" si="2">U16</f>
        <v>32.422468724759376</v>
      </c>
      <c r="Z15" s="9">
        <f t="shared" ref="Z15:Z51" si="3">S16</f>
        <v>8.1280000000000002E-4</v>
      </c>
      <c r="AA15" s="10">
        <f t="shared" ref="AA15:AA51" si="4">T16</f>
        <v>1.35</v>
      </c>
    </row>
    <row r="16" spans="2:27" x14ac:dyDescent="0.2">
      <c r="B16">
        <v>0.08</v>
      </c>
      <c r="C16">
        <v>0.54700000000000004</v>
      </c>
      <c r="D16">
        <v>13.5</v>
      </c>
      <c r="E16">
        <v>0.98</v>
      </c>
      <c r="G16">
        <v>0.21</v>
      </c>
      <c r="H16">
        <v>3.8999999999999998E-3</v>
      </c>
      <c r="M16">
        <f t="shared" si="0"/>
        <v>1</v>
      </c>
      <c r="N16">
        <f t="shared" si="0"/>
        <v>0.442</v>
      </c>
      <c r="O16" t="b">
        <f t="shared" ref="O16:O52" si="5">M16=P16</f>
        <v>1</v>
      </c>
      <c r="P16">
        <f t="shared" ref="P16:P52" si="6">B49</f>
        <v>1</v>
      </c>
      <c r="Q16">
        <f t="shared" ref="Q16:Q52" si="7">P16*$P$3</f>
        <v>0.30480000000000002</v>
      </c>
      <c r="R16">
        <f t="shared" ref="R16:R52" si="8">C49*$P$4</f>
        <v>1.0921999999999998E-3</v>
      </c>
      <c r="S16">
        <f t="shared" ref="S16:S52" si="9">D49*$P$4</f>
        <v>8.1280000000000002E-4</v>
      </c>
      <c r="T16">
        <f t="shared" ref="T16:T52" si="10">E49</f>
        <v>1.35</v>
      </c>
      <c r="U16">
        <f t="shared" ref="U16:U52" si="11">SQRT(N16)*$P$7</f>
        <v>32.422468724759376</v>
      </c>
      <c r="X16" s="8">
        <f t="shared" si="1"/>
        <v>0.45720000000000005</v>
      </c>
      <c r="Y16" s="9">
        <f t="shared" si="2"/>
        <v>34.067860192738848</v>
      </c>
      <c r="Z16" s="9">
        <f t="shared" si="3"/>
        <v>9.3979999999999997E-4</v>
      </c>
      <c r="AA16" s="10">
        <f t="shared" si="4"/>
        <v>1.38</v>
      </c>
    </row>
    <row r="17" spans="2:27" x14ac:dyDescent="0.2">
      <c r="B17">
        <v>0.12</v>
      </c>
      <c r="C17">
        <v>0.76200000000000001</v>
      </c>
      <c r="D17">
        <v>14</v>
      </c>
      <c r="E17">
        <v>0.99099999999999999</v>
      </c>
      <c r="G17">
        <v>0.26</v>
      </c>
      <c r="H17">
        <v>3.7000000000000002E-3</v>
      </c>
      <c r="M17">
        <f t="shared" si="0"/>
        <v>1.5</v>
      </c>
      <c r="N17">
        <f t="shared" si="0"/>
        <v>0.48799999999999999</v>
      </c>
      <c r="O17" t="b">
        <f t="shared" si="5"/>
        <v>1</v>
      </c>
      <c r="P17">
        <f t="shared" si="6"/>
        <v>1.5</v>
      </c>
      <c r="Q17">
        <f t="shared" si="7"/>
        <v>0.45720000000000005</v>
      </c>
      <c r="R17">
        <f t="shared" si="8"/>
        <v>1.2953999999999999E-3</v>
      </c>
      <c r="S17">
        <f t="shared" si="9"/>
        <v>9.3979999999999997E-4</v>
      </c>
      <c r="T17">
        <f t="shared" si="10"/>
        <v>1.38</v>
      </c>
      <c r="U17">
        <f t="shared" si="11"/>
        <v>34.067860192738848</v>
      </c>
      <c r="X17" s="8">
        <f t="shared" si="1"/>
        <v>0.60960000000000003</v>
      </c>
      <c r="Y17" s="9">
        <f t="shared" si="2"/>
        <v>35.637364072220606</v>
      </c>
      <c r="Z17" s="9">
        <f t="shared" si="3"/>
        <v>1.0668000000000001E-3</v>
      </c>
      <c r="AA17" s="10">
        <f t="shared" si="4"/>
        <v>1.38</v>
      </c>
    </row>
    <row r="18" spans="2:27" x14ac:dyDescent="0.2">
      <c r="B18">
        <v>0.17</v>
      </c>
      <c r="C18">
        <v>0.69399999999999995</v>
      </c>
      <c r="D18">
        <v>14.5</v>
      </c>
      <c r="E18">
        <v>0.99199999999999999</v>
      </c>
      <c r="G18">
        <v>0.31</v>
      </c>
      <c r="H18">
        <v>4.0000000000000001E-3</v>
      </c>
      <c r="M18">
        <f t="shared" si="0"/>
        <v>2</v>
      </c>
      <c r="N18">
        <f t="shared" si="0"/>
        <v>0.53400000000000003</v>
      </c>
      <c r="O18" t="b">
        <f t="shared" si="5"/>
        <v>1</v>
      </c>
      <c r="P18">
        <f t="shared" si="6"/>
        <v>2</v>
      </c>
      <c r="Q18">
        <f t="shared" si="7"/>
        <v>0.60960000000000003</v>
      </c>
      <c r="R18">
        <f t="shared" si="8"/>
        <v>1.4732E-3</v>
      </c>
      <c r="S18">
        <f t="shared" si="9"/>
        <v>1.0668000000000001E-3</v>
      </c>
      <c r="T18">
        <f t="shared" si="10"/>
        <v>1.38</v>
      </c>
      <c r="U18">
        <f t="shared" si="11"/>
        <v>35.637364072220606</v>
      </c>
      <c r="X18" s="8">
        <f t="shared" si="1"/>
        <v>0.76200000000000001</v>
      </c>
      <c r="Y18" s="9">
        <f t="shared" si="2"/>
        <v>37.012309663461963</v>
      </c>
      <c r="Z18" s="9">
        <f t="shared" si="3"/>
        <v>1.1937999999999999E-3</v>
      </c>
      <c r="AA18" s="10">
        <f t="shared" si="4"/>
        <v>1.34</v>
      </c>
    </row>
    <row r="19" spans="2:27" x14ac:dyDescent="0.2">
      <c r="B19">
        <v>0.21</v>
      </c>
      <c r="C19">
        <v>0.51400000000000001</v>
      </c>
      <c r="D19">
        <v>15</v>
      </c>
      <c r="E19">
        <v>0.98799999999999999</v>
      </c>
      <c r="G19">
        <v>0.36</v>
      </c>
      <c r="H19">
        <v>3.7000000000000002E-3</v>
      </c>
      <c r="M19">
        <f t="shared" si="0"/>
        <v>2.5</v>
      </c>
      <c r="N19">
        <f t="shared" si="0"/>
        <v>0.57599999999999996</v>
      </c>
      <c r="O19" t="b">
        <f t="shared" si="5"/>
        <v>1</v>
      </c>
      <c r="P19">
        <f t="shared" si="6"/>
        <v>2.5</v>
      </c>
      <c r="Q19">
        <f t="shared" si="7"/>
        <v>0.76200000000000001</v>
      </c>
      <c r="R19">
        <f t="shared" si="8"/>
        <v>1.6002E-3</v>
      </c>
      <c r="S19">
        <f t="shared" si="9"/>
        <v>1.1937999999999999E-3</v>
      </c>
      <c r="T19">
        <f t="shared" si="10"/>
        <v>1.34</v>
      </c>
      <c r="U19">
        <f t="shared" si="11"/>
        <v>37.012309663461963</v>
      </c>
      <c r="X19" s="8">
        <f t="shared" si="1"/>
        <v>0.9144000000000001</v>
      </c>
      <c r="Y19" s="9">
        <f t="shared" si="2"/>
        <v>38.461847154394441</v>
      </c>
      <c r="Z19" s="9">
        <f t="shared" si="3"/>
        <v>1.2191999999999999E-3</v>
      </c>
      <c r="AA19" s="10">
        <f t="shared" si="4"/>
        <v>1.4</v>
      </c>
    </row>
    <row r="20" spans="2:27" x14ac:dyDescent="0.2">
      <c r="B20">
        <v>0.5</v>
      </c>
      <c r="C20">
        <v>0.39600000000000002</v>
      </c>
      <c r="D20">
        <v>15.5</v>
      </c>
      <c r="E20">
        <v>0.98799999999999999</v>
      </c>
      <c r="G20">
        <v>0.41</v>
      </c>
      <c r="H20">
        <v>3.5000000000000001E-3</v>
      </c>
      <c r="M20">
        <f t="shared" si="0"/>
        <v>3</v>
      </c>
      <c r="N20">
        <f t="shared" si="0"/>
        <v>0.622</v>
      </c>
      <c r="O20" t="b">
        <f t="shared" si="5"/>
        <v>1</v>
      </c>
      <c r="P20">
        <f t="shared" si="6"/>
        <v>3</v>
      </c>
      <c r="Q20">
        <f t="shared" si="7"/>
        <v>0.9144000000000001</v>
      </c>
      <c r="R20">
        <f t="shared" si="8"/>
        <v>1.7018000000000001E-3</v>
      </c>
      <c r="S20">
        <f t="shared" si="9"/>
        <v>1.2191999999999999E-3</v>
      </c>
      <c r="T20">
        <f t="shared" si="10"/>
        <v>1.4</v>
      </c>
      <c r="U20">
        <f t="shared" si="11"/>
        <v>38.461847154394441</v>
      </c>
      <c r="X20" s="8">
        <f t="shared" si="1"/>
        <v>1.0668</v>
      </c>
      <c r="Y20" s="9">
        <f t="shared" si="2"/>
        <v>39.858704274373999</v>
      </c>
      <c r="Z20" s="9">
        <f t="shared" si="3"/>
        <v>1.397E-3</v>
      </c>
      <c r="AA20" s="10">
        <f t="shared" si="4"/>
        <v>1.38</v>
      </c>
    </row>
    <row r="21" spans="2:27" x14ac:dyDescent="0.2">
      <c r="B21">
        <v>1</v>
      </c>
      <c r="C21">
        <v>0.442</v>
      </c>
      <c r="D21">
        <v>16</v>
      </c>
      <c r="E21">
        <v>0.98799999999999999</v>
      </c>
      <c r="G21">
        <v>0.46</v>
      </c>
      <c r="H21">
        <v>3.3999999999999998E-3</v>
      </c>
      <c r="M21">
        <f t="shared" si="0"/>
        <v>3.5</v>
      </c>
      <c r="N21">
        <f t="shared" si="0"/>
        <v>0.66800000000000004</v>
      </c>
      <c r="O21" t="b">
        <f t="shared" si="5"/>
        <v>1</v>
      </c>
      <c r="P21">
        <f t="shared" si="6"/>
        <v>3.5</v>
      </c>
      <c r="Q21">
        <f t="shared" si="7"/>
        <v>1.0668</v>
      </c>
      <c r="R21">
        <f t="shared" si="8"/>
        <v>1.9303999999999999E-3</v>
      </c>
      <c r="S21">
        <f t="shared" si="9"/>
        <v>1.397E-3</v>
      </c>
      <c r="T21">
        <f t="shared" si="10"/>
        <v>1.38</v>
      </c>
      <c r="U21">
        <f t="shared" si="11"/>
        <v>39.858704274373999</v>
      </c>
      <c r="X21" s="8">
        <f t="shared" si="1"/>
        <v>1.3716000000000002</v>
      </c>
      <c r="Y21" s="9">
        <f t="shared" si="2"/>
        <v>42.402927669489991</v>
      </c>
      <c r="Z21" s="9">
        <f t="shared" si="3"/>
        <v>1.3715999999999999E-3</v>
      </c>
      <c r="AA21" s="10">
        <f t="shared" si="4"/>
        <v>1.39</v>
      </c>
    </row>
    <row r="22" spans="2:27" x14ac:dyDescent="0.2">
      <c r="B22">
        <v>1.5</v>
      </c>
      <c r="C22">
        <v>0.48799999999999999</v>
      </c>
      <c r="D22">
        <v>16.5</v>
      </c>
      <c r="E22">
        <v>0.99099999999999999</v>
      </c>
      <c r="G22">
        <v>0.51</v>
      </c>
      <c r="H22">
        <v>3.5000000000000001E-3</v>
      </c>
      <c r="M22">
        <f>B28</f>
        <v>4.5</v>
      </c>
      <c r="N22">
        <f>C28</f>
        <v>0.75600000000000001</v>
      </c>
      <c r="O22" t="b">
        <f t="shared" si="5"/>
        <v>1</v>
      </c>
      <c r="P22">
        <f t="shared" si="6"/>
        <v>4.5</v>
      </c>
      <c r="Q22">
        <f t="shared" si="7"/>
        <v>1.3716000000000002</v>
      </c>
      <c r="R22">
        <f t="shared" si="8"/>
        <v>1.9049999999999998E-3</v>
      </c>
      <c r="S22">
        <f t="shared" si="9"/>
        <v>1.3715999999999999E-3</v>
      </c>
      <c r="T22">
        <f t="shared" si="10"/>
        <v>1.39</v>
      </c>
      <c r="U22">
        <f t="shared" si="11"/>
        <v>42.402927669489991</v>
      </c>
      <c r="X22" s="8">
        <f t="shared" si="1"/>
        <v>1.6764000000000001</v>
      </c>
      <c r="Y22" s="9">
        <f t="shared" si="2"/>
        <v>45.25186898310389</v>
      </c>
      <c r="Z22" s="9">
        <f t="shared" si="3"/>
        <v>1.6256E-3</v>
      </c>
      <c r="AA22" s="10">
        <f t="shared" si="4"/>
        <v>1.36</v>
      </c>
    </row>
    <row r="23" spans="2:27" x14ac:dyDescent="0.2">
      <c r="B23">
        <v>2</v>
      </c>
      <c r="C23">
        <v>0.53400000000000003</v>
      </c>
      <c r="D23">
        <v>17</v>
      </c>
      <c r="E23">
        <v>0.99399999999999999</v>
      </c>
      <c r="G23">
        <v>0.56000000000000005</v>
      </c>
      <c r="H23">
        <v>3.0999999999999999E-3</v>
      </c>
      <c r="M23">
        <f>B30</f>
        <v>5.5</v>
      </c>
      <c r="N23">
        <f>C30</f>
        <v>0.86099999999999999</v>
      </c>
      <c r="O23" t="b">
        <f t="shared" si="5"/>
        <v>1</v>
      </c>
      <c r="P23">
        <f t="shared" si="6"/>
        <v>5.5</v>
      </c>
      <c r="Q23">
        <f t="shared" si="7"/>
        <v>1.6764000000000001</v>
      </c>
      <c r="R23">
        <f t="shared" si="8"/>
        <v>2.2097999999999996E-3</v>
      </c>
      <c r="S23">
        <f t="shared" si="9"/>
        <v>1.6256E-3</v>
      </c>
      <c r="T23">
        <f t="shared" si="10"/>
        <v>1.36</v>
      </c>
      <c r="U23">
        <f t="shared" si="11"/>
        <v>45.25186898310389</v>
      </c>
      <c r="X23" s="8">
        <f t="shared" si="1"/>
        <v>1.9812000000000001</v>
      </c>
      <c r="Y23" s="9">
        <f t="shared" si="2"/>
        <v>46.852826505473502</v>
      </c>
      <c r="Z23" s="9">
        <f t="shared" si="3"/>
        <v>1.8287999999999998E-3</v>
      </c>
      <c r="AA23" s="10">
        <f t="shared" si="4"/>
        <v>1.35</v>
      </c>
    </row>
    <row r="24" spans="2:27" x14ac:dyDescent="0.2">
      <c r="B24">
        <v>2.5</v>
      </c>
      <c r="C24">
        <v>0.57599999999999996</v>
      </c>
      <c r="D24">
        <v>17.5</v>
      </c>
      <c r="E24">
        <v>1</v>
      </c>
      <c r="G24">
        <v>0.66</v>
      </c>
      <c r="H24">
        <v>2.8999999999999998E-3</v>
      </c>
      <c r="M24">
        <f>B32</f>
        <v>6.5</v>
      </c>
      <c r="N24">
        <f>C32</f>
        <v>0.92300000000000004</v>
      </c>
      <c r="O24" t="b">
        <f t="shared" si="5"/>
        <v>1</v>
      </c>
      <c r="P24">
        <f t="shared" si="6"/>
        <v>6.5</v>
      </c>
      <c r="Q24">
        <f t="shared" si="7"/>
        <v>1.9812000000000001</v>
      </c>
      <c r="R24">
        <f t="shared" si="8"/>
        <v>2.4637999999999999E-3</v>
      </c>
      <c r="S24">
        <f t="shared" si="9"/>
        <v>1.8287999999999998E-3</v>
      </c>
      <c r="T24">
        <f t="shared" si="10"/>
        <v>1.35</v>
      </c>
      <c r="U24">
        <f t="shared" si="11"/>
        <v>46.852826505473502</v>
      </c>
      <c r="X24" s="8">
        <f t="shared" si="1"/>
        <v>2.286</v>
      </c>
      <c r="Y24" s="9">
        <f t="shared" si="2"/>
        <v>47.83243404519574</v>
      </c>
      <c r="Z24" s="9">
        <f t="shared" si="3"/>
        <v>2.3622000000000001E-3</v>
      </c>
      <c r="AA24" s="10">
        <f t="shared" si="4"/>
        <v>1.37</v>
      </c>
    </row>
    <row r="25" spans="2:27" x14ac:dyDescent="0.2">
      <c r="B25">
        <v>3</v>
      </c>
      <c r="C25">
        <v>0.622</v>
      </c>
      <c r="D25">
        <v>18</v>
      </c>
      <c r="E25">
        <v>0.98799999999999999</v>
      </c>
      <c r="G25">
        <v>0.76</v>
      </c>
      <c r="H25">
        <v>2.5000000000000001E-3</v>
      </c>
      <c r="M25">
        <f>B34</f>
        <v>7.5</v>
      </c>
      <c r="N25">
        <f>C34</f>
        <v>0.96199999999999997</v>
      </c>
      <c r="O25" t="b">
        <f t="shared" si="5"/>
        <v>1</v>
      </c>
      <c r="P25">
        <f t="shared" si="6"/>
        <v>7.5</v>
      </c>
      <c r="Q25">
        <f t="shared" si="7"/>
        <v>2.286</v>
      </c>
      <c r="R25">
        <f t="shared" si="8"/>
        <v>3.2258E-3</v>
      </c>
      <c r="S25">
        <f t="shared" si="9"/>
        <v>2.3622000000000001E-3</v>
      </c>
      <c r="T25">
        <f t="shared" si="10"/>
        <v>1.37</v>
      </c>
      <c r="U25">
        <f t="shared" si="11"/>
        <v>47.83243404519574</v>
      </c>
      <c r="X25" s="8">
        <f t="shared" si="1"/>
        <v>2.5908000000000002</v>
      </c>
      <c r="Y25" s="9">
        <f t="shared" si="2"/>
        <v>47.782686310420011</v>
      </c>
      <c r="Z25" s="9">
        <f t="shared" si="3"/>
        <v>2.5146000000000001E-3</v>
      </c>
      <c r="AA25" s="10">
        <f t="shared" si="4"/>
        <v>1.37</v>
      </c>
    </row>
    <row r="26" spans="2:27" x14ac:dyDescent="0.2">
      <c r="B26">
        <v>3.5</v>
      </c>
      <c r="C26">
        <v>0.66800000000000004</v>
      </c>
      <c r="D26">
        <v>18.5</v>
      </c>
      <c r="E26">
        <v>0.96599999999999997</v>
      </c>
      <c r="G26">
        <v>0.86</v>
      </c>
      <c r="H26">
        <v>2.3999999999999998E-3</v>
      </c>
      <c r="M26">
        <f>B36</f>
        <v>8.5</v>
      </c>
      <c r="N26">
        <f>C36</f>
        <v>0.96</v>
      </c>
      <c r="O26" t="b">
        <f t="shared" si="5"/>
        <v>1</v>
      </c>
      <c r="P26">
        <f t="shared" si="6"/>
        <v>8.5</v>
      </c>
      <c r="Q26">
        <f t="shared" si="7"/>
        <v>2.5908000000000002</v>
      </c>
      <c r="R26">
        <f t="shared" si="8"/>
        <v>3.4544000000000003E-3</v>
      </c>
      <c r="S26">
        <f t="shared" si="9"/>
        <v>2.5146000000000001E-3</v>
      </c>
      <c r="T26">
        <f t="shared" si="10"/>
        <v>1.37</v>
      </c>
      <c r="U26">
        <f t="shared" si="11"/>
        <v>47.782686310420011</v>
      </c>
      <c r="X26" s="8">
        <f t="shared" si="1"/>
        <v>2.8956</v>
      </c>
      <c r="Y26" s="9">
        <f t="shared" si="2"/>
        <v>47.73288672804108</v>
      </c>
      <c r="Z26" s="9">
        <f t="shared" si="3"/>
        <v>3.1241999999999997E-3</v>
      </c>
      <c r="AA26" s="10">
        <f t="shared" si="4"/>
        <v>1.38</v>
      </c>
    </row>
    <row r="27" spans="2:27" x14ac:dyDescent="0.2">
      <c r="B27">
        <v>4</v>
      </c>
      <c r="C27">
        <v>0.70899999999999996</v>
      </c>
      <c r="D27">
        <v>19</v>
      </c>
      <c r="E27">
        <v>0.92700000000000005</v>
      </c>
      <c r="G27">
        <v>0.96</v>
      </c>
      <c r="H27">
        <v>2E-3</v>
      </c>
      <c r="M27">
        <f>B38</f>
        <v>9.5</v>
      </c>
      <c r="N27">
        <f>C38</f>
        <v>0.95799999999999996</v>
      </c>
      <c r="O27" t="b">
        <f t="shared" si="5"/>
        <v>1</v>
      </c>
      <c r="P27">
        <f t="shared" si="6"/>
        <v>9.5</v>
      </c>
      <c r="Q27">
        <f t="shared" si="7"/>
        <v>2.8956</v>
      </c>
      <c r="R27">
        <f t="shared" si="8"/>
        <v>4.3179999999999998E-3</v>
      </c>
      <c r="S27">
        <f t="shared" si="9"/>
        <v>3.1241999999999997E-3</v>
      </c>
      <c r="T27">
        <f t="shared" si="10"/>
        <v>1.38</v>
      </c>
      <c r="U27">
        <f t="shared" si="11"/>
        <v>47.73288672804108</v>
      </c>
      <c r="X27" s="8">
        <f t="shared" si="1"/>
        <v>3.2004000000000001</v>
      </c>
      <c r="Y27" s="9">
        <f t="shared" si="2"/>
        <v>48.17922992560176</v>
      </c>
      <c r="Z27" s="9">
        <f t="shared" si="3"/>
        <v>3.3782E-3</v>
      </c>
      <c r="AA27" s="10">
        <f t="shared" si="4"/>
        <v>1.35</v>
      </c>
    </row>
    <row r="28" spans="2:27" x14ac:dyDescent="0.2">
      <c r="B28">
        <v>4.5</v>
      </c>
      <c r="C28">
        <v>0.75600000000000001</v>
      </c>
      <c r="D28">
        <v>19.5</v>
      </c>
      <c r="E28">
        <v>0.89</v>
      </c>
      <c r="G28">
        <v>1.06</v>
      </c>
      <c r="H28">
        <v>1.6000000000000001E-3</v>
      </c>
      <c r="M28">
        <f>B40</f>
        <v>10.5</v>
      </c>
      <c r="N28">
        <f>C40</f>
        <v>0.97599999999999998</v>
      </c>
      <c r="O28" t="b">
        <f t="shared" si="5"/>
        <v>1</v>
      </c>
      <c r="P28">
        <f t="shared" si="6"/>
        <v>10.5</v>
      </c>
      <c r="Q28">
        <f t="shared" si="7"/>
        <v>3.2004000000000001</v>
      </c>
      <c r="R28">
        <f t="shared" si="8"/>
        <v>4.5719999999999997E-3</v>
      </c>
      <c r="S28">
        <f t="shared" si="9"/>
        <v>3.3782E-3</v>
      </c>
      <c r="T28">
        <f t="shared" si="10"/>
        <v>1.35</v>
      </c>
      <c r="U28">
        <f t="shared" si="11"/>
        <v>48.17922992560176</v>
      </c>
      <c r="X28" s="8">
        <f t="shared" si="1"/>
        <v>3.5052000000000003</v>
      </c>
      <c r="Y28" s="9">
        <f t="shared" si="2"/>
        <v>48.080400631941494</v>
      </c>
      <c r="Z28" s="9">
        <f t="shared" si="3"/>
        <v>4.1402000000000001E-3</v>
      </c>
      <c r="AA28" s="10">
        <f t="shared" si="4"/>
        <v>1.36</v>
      </c>
    </row>
    <row r="29" spans="2:27" x14ac:dyDescent="0.2">
      <c r="B29">
        <v>5</v>
      </c>
      <c r="C29">
        <v>0.81</v>
      </c>
      <c r="D29">
        <v>20</v>
      </c>
      <c r="E29">
        <v>0.85199999999999998</v>
      </c>
      <c r="G29">
        <v>1.1599999999999999</v>
      </c>
      <c r="H29">
        <v>1.4E-3</v>
      </c>
      <c r="M29">
        <f>B42</f>
        <v>11.5</v>
      </c>
      <c r="N29">
        <f>C42</f>
        <v>0.97199999999999998</v>
      </c>
      <c r="O29" t="b">
        <f t="shared" si="5"/>
        <v>1</v>
      </c>
      <c r="P29">
        <f t="shared" si="6"/>
        <v>11.5</v>
      </c>
      <c r="Q29">
        <f t="shared" si="7"/>
        <v>3.5052000000000003</v>
      </c>
      <c r="R29">
        <f t="shared" si="8"/>
        <v>5.6388000000000002E-3</v>
      </c>
      <c r="S29">
        <f t="shared" si="9"/>
        <v>4.1402000000000001E-3</v>
      </c>
      <c r="T29">
        <f t="shared" si="10"/>
        <v>1.36</v>
      </c>
      <c r="U29">
        <f t="shared" si="11"/>
        <v>48.080400631941494</v>
      </c>
      <c r="X29" s="8">
        <f t="shared" si="1"/>
        <v>3.81</v>
      </c>
      <c r="Y29" s="9">
        <f t="shared" si="2"/>
        <v>48.203905589153251</v>
      </c>
      <c r="Z29" s="9">
        <f t="shared" si="3"/>
        <v>4.1148000000000001E-3</v>
      </c>
      <c r="AA29" s="10">
        <f t="shared" si="4"/>
        <v>1.36</v>
      </c>
    </row>
    <row r="30" spans="2:27" x14ac:dyDescent="0.2">
      <c r="B30">
        <v>5.5</v>
      </c>
      <c r="C30">
        <v>0.86099999999999999</v>
      </c>
      <c r="D30">
        <v>20.5</v>
      </c>
      <c r="E30">
        <v>0.81299999999999994</v>
      </c>
      <c r="G30">
        <v>1.36</v>
      </c>
      <c r="H30">
        <v>6.7000000000000002E-4</v>
      </c>
      <c r="M30">
        <f>B44</f>
        <v>12.5</v>
      </c>
      <c r="N30">
        <f>C44</f>
        <v>0.97699999999999998</v>
      </c>
      <c r="O30" t="b">
        <f t="shared" si="5"/>
        <v>1</v>
      </c>
      <c r="P30">
        <f t="shared" si="6"/>
        <v>12.5</v>
      </c>
      <c r="Q30">
        <f t="shared" si="7"/>
        <v>3.81</v>
      </c>
      <c r="R30">
        <f t="shared" si="8"/>
        <v>5.5880000000000001E-3</v>
      </c>
      <c r="S30">
        <f t="shared" si="9"/>
        <v>4.1148000000000001E-3</v>
      </c>
      <c r="T30">
        <f t="shared" si="10"/>
        <v>1.36</v>
      </c>
      <c r="U30">
        <f t="shared" si="11"/>
        <v>48.203905589153251</v>
      </c>
      <c r="X30" s="8">
        <f t="shared" si="1"/>
        <v>4.1147999999999998</v>
      </c>
      <c r="Y30" s="9">
        <f t="shared" si="2"/>
        <v>48.277856906867775</v>
      </c>
      <c r="Z30" s="9">
        <f t="shared" si="3"/>
        <v>4.2672000000000005E-3</v>
      </c>
      <c r="AA30" s="10">
        <f t="shared" si="4"/>
        <v>1.39</v>
      </c>
    </row>
    <row r="31" spans="2:27" x14ac:dyDescent="0.2">
      <c r="B31">
        <v>6</v>
      </c>
      <c r="C31">
        <v>0.89400000000000002</v>
      </c>
      <c r="D31">
        <v>21</v>
      </c>
      <c r="E31">
        <v>0.77700000000000002</v>
      </c>
      <c r="G31">
        <v>1.56</v>
      </c>
      <c r="H31">
        <v>2.5999999999999998E-4</v>
      </c>
      <c r="M31">
        <f>D16</f>
        <v>13.5</v>
      </c>
      <c r="N31">
        <f>E16</f>
        <v>0.98</v>
      </c>
      <c r="O31" t="b">
        <f t="shared" si="5"/>
        <v>1</v>
      </c>
      <c r="P31">
        <f t="shared" si="6"/>
        <v>13.5</v>
      </c>
      <c r="Q31">
        <f t="shared" si="7"/>
        <v>4.1147999999999998</v>
      </c>
      <c r="R31">
        <f t="shared" si="8"/>
        <v>5.9436000000000003E-3</v>
      </c>
      <c r="S31">
        <f t="shared" si="9"/>
        <v>4.2672000000000005E-3</v>
      </c>
      <c r="T31">
        <f t="shared" si="10"/>
        <v>1.39</v>
      </c>
      <c r="U31">
        <f t="shared" si="11"/>
        <v>48.277856906867775</v>
      </c>
      <c r="X31" s="8">
        <f t="shared" si="1"/>
        <v>4.4196</v>
      </c>
      <c r="Y31" s="9">
        <f t="shared" si="2"/>
        <v>48.572536287577158</v>
      </c>
      <c r="Z31" s="9">
        <f t="shared" si="3"/>
        <v>4.8767999999999997E-3</v>
      </c>
      <c r="AA31" s="10">
        <f t="shared" si="4"/>
        <v>1.33</v>
      </c>
    </row>
    <row r="32" spans="2:27" x14ac:dyDescent="0.2">
      <c r="B32">
        <v>6.5</v>
      </c>
      <c r="C32">
        <v>0.92300000000000004</v>
      </c>
      <c r="D32">
        <v>21.5</v>
      </c>
      <c r="E32">
        <v>0.74</v>
      </c>
      <c r="G32">
        <v>1.76</v>
      </c>
      <c r="H32">
        <v>6.0000000000000002E-5</v>
      </c>
      <c r="M32">
        <f>D18</f>
        <v>14.5</v>
      </c>
      <c r="N32">
        <f>E18</f>
        <v>0.99199999999999999</v>
      </c>
      <c r="O32" t="b">
        <f t="shared" si="5"/>
        <v>1</v>
      </c>
      <c r="P32">
        <f t="shared" si="6"/>
        <v>14.5</v>
      </c>
      <c r="Q32">
        <f t="shared" si="7"/>
        <v>4.4196</v>
      </c>
      <c r="R32">
        <f t="shared" si="8"/>
        <v>6.4770000000000001E-3</v>
      </c>
      <c r="S32">
        <f t="shared" si="9"/>
        <v>4.8767999999999997E-3</v>
      </c>
      <c r="T32">
        <f t="shared" si="10"/>
        <v>1.33</v>
      </c>
      <c r="U32">
        <f t="shared" si="11"/>
        <v>48.572536287577158</v>
      </c>
      <c r="X32" s="8">
        <f t="shared" si="1"/>
        <v>4.7244000000000002</v>
      </c>
      <c r="Y32" s="9">
        <f t="shared" si="2"/>
        <v>48.474508869219086</v>
      </c>
      <c r="Z32" s="9">
        <f t="shared" si="3"/>
        <v>5.2831999999999992E-3</v>
      </c>
      <c r="AA32" s="10">
        <f t="shared" si="4"/>
        <v>1.38</v>
      </c>
    </row>
    <row r="33" spans="2:27" x14ac:dyDescent="0.2">
      <c r="B33">
        <v>7</v>
      </c>
      <c r="C33">
        <v>0.93</v>
      </c>
      <c r="D33">
        <v>22</v>
      </c>
      <c r="E33">
        <v>0.69699999999999995</v>
      </c>
      <c r="G33">
        <v>1.96</v>
      </c>
      <c r="H33">
        <v>2.0000000000000002E-5</v>
      </c>
      <c r="M33">
        <f>D20</f>
        <v>15.5</v>
      </c>
      <c r="N33">
        <f>E20</f>
        <v>0.98799999999999999</v>
      </c>
      <c r="O33" t="b">
        <f t="shared" si="5"/>
        <v>1</v>
      </c>
      <c r="P33">
        <f t="shared" si="6"/>
        <v>15.5</v>
      </c>
      <c r="Q33">
        <f t="shared" si="7"/>
        <v>4.7244000000000002</v>
      </c>
      <c r="R33">
        <f t="shared" si="8"/>
        <v>7.3151999999999991E-3</v>
      </c>
      <c r="S33">
        <f t="shared" si="9"/>
        <v>5.2831999999999992E-3</v>
      </c>
      <c r="T33">
        <f t="shared" si="10"/>
        <v>1.38</v>
      </c>
      <c r="U33">
        <f t="shared" si="11"/>
        <v>48.474508869219086</v>
      </c>
      <c r="X33" s="8">
        <f t="shared" si="1"/>
        <v>5.0292000000000003</v>
      </c>
      <c r="Y33" s="9">
        <f t="shared" si="2"/>
        <v>48.548047989430017</v>
      </c>
      <c r="Z33" s="9">
        <f t="shared" si="3"/>
        <v>5.7403999999999997E-3</v>
      </c>
      <c r="AA33" s="10">
        <f t="shared" si="4"/>
        <v>1.34</v>
      </c>
    </row>
    <row r="34" spans="2:27" x14ac:dyDescent="0.2">
      <c r="B34">
        <v>7.5</v>
      </c>
      <c r="C34">
        <v>0.96199999999999997</v>
      </c>
      <c r="D34">
        <v>22.5</v>
      </c>
      <c r="E34">
        <v>0.65900000000000003</v>
      </c>
      <c r="G34">
        <v>2.06</v>
      </c>
      <c r="H34">
        <v>1.0000000000000001E-5</v>
      </c>
      <c r="M34">
        <f>D22</f>
        <v>16.5</v>
      </c>
      <c r="N34">
        <f>E22</f>
        <v>0.99099999999999999</v>
      </c>
      <c r="O34" t="b">
        <f t="shared" si="5"/>
        <v>1</v>
      </c>
      <c r="P34">
        <f t="shared" si="6"/>
        <v>16.5</v>
      </c>
      <c r="Q34">
        <f t="shared" si="7"/>
        <v>5.0292000000000003</v>
      </c>
      <c r="R34">
        <f t="shared" si="8"/>
        <v>7.6707999999999993E-3</v>
      </c>
      <c r="S34">
        <f t="shared" si="9"/>
        <v>5.7403999999999997E-3</v>
      </c>
      <c r="T34">
        <f t="shared" si="10"/>
        <v>1.34</v>
      </c>
      <c r="U34">
        <f t="shared" si="11"/>
        <v>48.548047989430017</v>
      </c>
      <c r="X34" s="8">
        <f t="shared" si="1"/>
        <v>5.3340000000000005</v>
      </c>
      <c r="Y34" s="9">
        <f t="shared" si="2"/>
        <v>48.768000000000001</v>
      </c>
      <c r="Z34" s="9">
        <f t="shared" si="3"/>
        <v>5.7149999999999996E-3</v>
      </c>
      <c r="AA34" s="10">
        <f t="shared" si="4"/>
        <v>1.35</v>
      </c>
    </row>
    <row r="35" spans="2:27" x14ac:dyDescent="0.2">
      <c r="B35">
        <v>8</v>
      </c>
      <c r="C35">
        <v>0.95099999999999996</v>
      </c>
      <c r="D35">
        <v>23</v>
      </c>
      <c r="E35">
        <v>0.625</v>
      </c>
      <c r="G35">
        <v>2.2599999999999998</v>
      </c>
      <c r="H35">
        <v>0</v>
      </c>
      <c r="M35">
        <f t="shared" ref="M35:M50" si="12">D24</f>
        <v>17.5</v>
      </c>
      <c r="N35">
        <f t="shared" ref="N35:N50" si="13">E24</f>
        <v>1</v>
      </c>
      <c r="O35" t="b">
        <f t="shared" si="5"/>
        <v>1</v>
      </c>
      <c r="P35">
        <f t="shared" si="6"/>
        <v>17.5</v>
      </c>
      <c r="Q35">
        <f t="shared" si="7"/>
        <v>5.3340000000000005</v>
      </c>
      <c r="R35">
        <f t="shared" si="8"/>
        <v>7.6961999999999994E-3</v>
      </c>
      <c r="S35">
        <f t="shared" si="9"/>
        <v>5.7149999999999996E-3</v>
      </c>
      <c r="T35">
        <f t="shared" si="10"/>
        <v>1.35</v>
      </c>
      <c r="U35">
        <f t="shared" si="11"/>
        <v>48.768000000000001</v>
      </c>
      <c r="X35" s="8">
        <f t="shared" si="1"/>
        <v>5.4864000000000006</v>
      </c>
      <c r="Y35" s="9">
        <f t="shared" si="2"/>
        <v>48.474508869219086</v>
      </c>
      <c r="Z35" s="9">
        <f t="shared" si="3"/>
        <v>5.8165999999999999E-3</v>
      </c>
      <c r="AA35" s="10">
        <f t="shared" si="4"/>
        <v>1.37</v>
      </c>
    </row>
    <row r="36" spans="2:27" x14ac:dyDescent="0.2">
      <c r="B36">
        <v>8.5</v>
      </c>
      <c r="C36">
        <v>0.96</v>
      </c>
      <c r="D36">
        <v>23.5</v>
      </c>
      <c r="E36">
        <v>0.58899999999999997</v>
      </c>
      <c r="M36">
        <f t="shared" si="12"/>
        <v>18</v>
      </c>
      <c r="N36">
        <f t="shared" si="13"/>
        <v>0.98799999999999999</v>
      </c>
      <c r="O36" t="b">
        <f t="shared" si="5"/>
        <v>1</v>
      </c>
      <c r="P36">
        <f t="shared" si="6"/>
        <v>18</v>
      </c>
      <c r="Q36">
        <f t="shared" si="7"/>
        <v>5.4864000000000006</v>
      </c>
      <c r="R36">
        <f t="shared" si="8"/>
        <v>7.9501999999999993E-3</v>
      </c>
      <c r="S36">
        <f t="shared" si="9"/>
        <v>5.8165999999999999E-3</v>
      </c>
      <c r="T36">
        <f t="shared" si="10"/>
        <v>1.37</v>
      </c>
      <c r="U36">
        <f t="shared" si="11"/>
        <v>48.474508869219086</v>
      </c>
      <c r="X36" s="8">
        <f t="shared" si="1"/>
        <v>5.6388000000000007</v>
      </c>
      <c r="Y36" s="9">
        <f t="shared" si="2"/>
        <v>47.931774617512339</v>
      </c>
      <c r="Z36" s="9">
        <f t="shared" si="3"/>
        <v>6.6293999999999997E-3</v>
      </c>
      <c r="AA36" s="10">
        <f t="shared" si="4"/>
        <v>1.31</v>
      </c>
    </row>
    <row r="37" spans="2:27" x14ac:dyDescent="0.2">
      <c r="B37">
        <v>9</v>
      </c>
      <c r="C37">
        <v>0.95399999999999996</v>
      </c>
      <c r="D37">
        <v>24</v>
      </c>
      <c r="E37">
        <v>0.55800000000000005</v>
      </c>
      <c r="M37">
        <f t="shared" si="12"/>
        <v>18.5</v>
      </c>
      <c r="N37">
        <f t="shared" si="13"/>
        <v>0.96599999999999997</v>
      </c>
      <c r="O37" t="b">
        <f t="shared" si="5"/>
        <v>1</v>
      </c>
      <c r="P37">
        <f t="shared" si="6"/>
        <v>18.5</v>
      </c>
      <c r="Q37">
        <f t="shared" si="7"/>
        <v>5.6388000000000007</v>
      </c>
      <c r="R37">
        <f t="shared" si="8"/>
        <v>8.6613999999999997E-3</v>
      </c>
      <c r="S37">
        <f t="shared" si="9"/>
        <v>6.6293999999999997E-3</v>
      </c>
      <c r="T37">
        <f t="shared" si="10"/>
        <v>1.31</v>
      </c>
      <c r="U37">
        <f t="shared" si="11"/>
        <v>47.931774617512339</v>
      </c>
      <c r="X37" s="8">
        <f t="shared" si="1"/>
        <v>5.7911999999999999</v>
      </c>
      <c r="Y37" s="9">
        <f t="shared" si="2"/>
        <v>46.954239668511299</v>
      </c>
      <c r="Z37" s="9">
        <f t="shared" si="3"/>
        <v>7.1627999999999987E-3</v>
      </c>
      <c r="AA37" s="10">
        <f t="shared" si="4"/>
        <v>1.37</v>
      </c>
    </row>
    <row r="38" spans="2:27" x14ac:dyDescent="0.2">
      <c r="B38">
        <v>9.5</v>
      </c>
      <c r="C38">
        <v>0.95799999999999996</v>
      </c>
      <c r="D38">
        <v>24.5</v>
      </c>
      <c r="E38">
        <v>0.52900000000000003</v>
      </c>
      <c r="G38" t="s">
        <v>26</v>
      </c>
      <c r="M38">
        <f t="shared" si="12"/>
        <v>19</v>
      </c>
      <c r="N38">
        <f t="shared" si="13"/>
        <v>0.92700000000000005</v>
      </c>
      <c r="O38" t="b">
        <f t="shared" si="5"/>
        <v>1</v>
      </c>
      <c r="P38">
        <f t="shared" si="6"/>
        <v>19</v>
      </c>
      <c r="Q38">
        <f t="shared" si="7"/>
        <v>5.7911999999999999</v>
      </c>
      <c r="R38">
        <f t="shared" si="8"/>
        <v>9.7789999999999995E-3</v>
      </c>
      <c r="S38">
        <f t="shared" si="9"/>
        <v>7.1627999999999987E-3</v>
      </c>
      <c r="T38">
        <f t="shared" si="10"/>
        <v>1.37</v>
      </c>
      <c r="U38">
        <f t="shared" si="11"/>
        <v>46.954239668511299</v>
      </c>
      <c r="X38" s="8">
        <f t="shared" si="1"/>
        <v>5.9436</v>
      </c>
      <c r="Y38" s="9">
        <f t="shared" si="2"/>
        <v>46.007639184813648</v>
      </c>
      <c r="Z38" s="9">
        <f t="shared" si="3"/>
        <v>7.7977999999999997E-3</v>
      </c>
      <c r="AA38" s="10">
        <f t="shared" si="4"/>
        <v>1.33</v>
      </c>
    </row>
    <row r="39" spans="2:27" x14ac:dyDescent="0.2">
      <c r="B39">
        <v>10</v>
      </c>
      <c r="C39">
        <v>0.97399999999999998</v>
      </c>
      <c r="D39">
        <v>25</v>
      </c>
      <c r="E39">
        <v>0.50700000000000001</v>
      </c>
      <c r="G39" s="37" t="s">
        <v>149</v>
      </c>
      <c r="H39" s="37"/>
      <c r="I39" s="37"/>
      <c r="J39" s="37"/>
      <c r="K39" s="37"/>
      <c r="L39" s="2"/>
      <c r="M39">
        <f t="shared" si="12"/>
        <v>19.5</v>
      </c>
      <c r="N39">
        <f t="shared" si="13"/>
        <v>0.89</v>
      </c>
      <c r="O39" t="b">
        <f t="shared" si="5"/>
        <v>1</v>
      </c>
      <c r="P39">
        <f t="shared" si="6"/>
        <v>19.5</v>
      </c>
      <c r="Q39">
        <f t="shared" si="7"/>
        <v>5.9436</v>
      </c>
      <c r="R39">
        <f t="shared" si="8"/>
        <v>1.0337799999999999E-2</v>
      </c>
      <c r="S39">
        <f t="shared" si="9"/>
        <v>7.7977999999999997E-3</v>
      </c>
      <c r="T39">
        <f t="shared" si="10"/>
        <v>1.33</v>
      </c>
      <c r="U39">
        <f t="shared" si="11"/>
        <v>46.007639184813648</v>
      </c>
      <c r="X39" s="8">
        <f t="shared" si="1"/>
        <v>6.0960000000000001</v>
      </c>
      <c r="Y39" s="9">
        <f t="shared" si="2"/>
        <v>45.014739653229142</v>
      </c>
      <c r="Z39" s="9">
        <f t="shared" si="3"/>
        <v>8.1025999999999997E-3</v>
      </c>
      <c r="AA39" s="10">
        <f t="shared" si="4"/>
        <v>1.4</v>
      </c>
    </row>
    <row r="40" spans="2:27" x14ac:dyDescent="0.2">
      <c r="B40">
        <v>10.5</v>
      </c>
      <c r="C40">
        <v>0.97599999999999998</v>
      </c>
      <c r="D40">
        <v>25.5</v>
      </c>
      <c r="E40">
        <v>0.49299999999999999</v>
      </c>
      <c r="G40" s="37"/>
      <c r="H40" s="37"/>
      <c r="I40" s="37"/>
      <c r="J40" s="37"/>
      <c r="K40" s="37"/>
      <c r="L40" s="2"/>
      <c r="M40">
        <f t="shared" si="12"/>
        <v>20</v>
      </c>
      <c r="N40">
        <f t="shared" si="13"/>
        <v>0.85199999999999998</v>
      </c>
      <c r="O40" t="b">
        <f t="shared" si="5"/>
        <v>1</v>
      </c>
      <c r="P40">
        <f t="shared" si="6"/>
        <v>20</v>
      </c>
      <c r="Q40">
        <f t="shared" si="7"/>
        <v>6.0960000000000001</v>
      </c>
      <c r="R40">
        <f t="shared" si="8"/>
        <v>1.1328399999999999E-2</v>
      </c>
      <c r="S40">
        <f t="shared" si="9"/>
        <v>8.1025999999999997E-3</v>
      </c>
      <c r="T40">
        <f t="shared" si="10"/>
        <v>1.4</v>
      </c>
      <c r="U40">
        <f t="shared" si="11"/>
        <v>45.014739653229142</v>
      </c>
      <c r="X40" s="8">
        <f t="shared" si="1"/>
        <v>6.2484000000000002</v>
      </c>
      <c r="Y40" s="9">
        <f t="shared" si="2"/>
        <v>43.972404879787959</v>
      </c>
      <c r="Z40" s="9">
        <f t="shared" si="3"/>
        <v>9.0677999999999991E-3</v>
      </c>
      <c r="AA40" s="10">
        <f t="shared" si="4"/>
        <v>1.45</v>
      </c>
    </row>
    <row r="41" spans="2:27" x14ac:dyDescent="0.2">
      <c r="B41">
        <v>11</v>
      </c>
      <c r="C41">
        <v>0.96599999999999997</v>
      </c>
      <c r="D41">
        <v>26</v>
      </c>
      <c r="E41">
        <v>0.48399999999999999</v>
      </c>
      <c r="G41" s="37"/>
      <c r="H41" s="37"/>
      <c r="I41" s="37"/>
      <c r="J41" s="37"/>
      <c r="K41" s="37"/>
      <c r="L41" s="2"/>
      <c r="M41">
        <f t="shared" si="12"/>
        <v>20.5</v>
      </c>
      <c r="N41">
        <f t="shared" si="13"/>
        <v>0.81299999999999994</v>
      </c>
      <c r="O41" t="b">
        <f t="shared" si="5"/>
        <v>1</v>
      </c>
      <c r="P41">
        <f t="shared" si="6"/>
        <v>20.5</v>
      </c>
      <c r="Q41">
        <f t="shared" si="7"/>
        <v>6.2484000000000002</v>
      </c>
      <c r="R41">
        <f t="shared" si="8"/>
        <v>1.3131799999999999E-2</v>
      </c>
      <c r="S41">
        <f t="shared" si="9"/>
        <v>9.0677999999999991E-3</v>
      </c>
      <c r="T41">
        <f t="shared" si="10"/>
        <v>1.45</v>
      </c>
      <c r="U41">
        <f t="shared" si="11"/>
        <v>43.972404879787959</v>
      </c>
      <c r="X41" s="8">
        <f t="shared" si="1"/>
        <v>6.4008000000000003</v>
      </c>
      <c r="Y41" s="9">
        <f t="shared" si="2"/>
        <v>42.987823267153225</v>
      </c>
      <c r="Z41" s="9">
        <f t="shared" si="3"/>
        <v>9.9059999999999999E-3</v>
      </c>
      <c r="AA41" s="10">
        <f t="shared" si="4"/>
        <v>1.49</v>
      </c>
    </row>
    <row r="42" spans="2:27" x14ac:dyDescent="0.2">
      <c r="B42">
        <v>11.5</v>
      </c>
      <c r="C42">
        <v>0.97199999999999998</v>
      </c>
      <c r="D42">
        <v>26.5</v>
      </c>
      <c r="E42">
        <v>0.47799999999999998</v>
      </c>
      <c r="G42" s="37"/>
      <c r="H42" s="37"/>
      <c r="I42" s="37"/>
      <c r="J42" s="37"/>
      <c r="K42" s="37"/>
      <c r="L42" s="2"/>
      <c r="M42">
        <f t="shared" si="12"/>
        <v>21</v>
      </c>
      <c r="N42">
        <f t="shared" si="13"/>
        <v>0.77700000000000002</v>
      </c>
      <c r="O42" t="b">
        <f t="shared" si="5"/>
        <v>1</v>
      </c>
      <c r="P42">
        <f t="shared" si="6"/>
        <v>21</v>
      </c>
      <c r="Q42">
        <f t="shared" si="7"/>
        <v>6.4008000000000003</v>
      </c>
      <c r="R42">
        <f t="shared" si="8"/>
        <v>1.4757399999999999E-2</v>
      </c>
      <c r="S42">
        <f t="shared" si="9"/>
        <v>9.9059999999999999E-3</v>
      </c>
      <c r="T42">
        <f t="shared" si="10"/>
        <v>1.49</v>
      </c>
      <c r="U42">
        <f t="shared" si="11"/>
        <v>42.987823267153225</v>
      </c>
      <c r="X42" s="8">
        <f t="shared" si="1"/>
        <v>6.5532000000000004</v>
      </c>
      <c r="Y42" s="9">
        <f t="shared" si="2"/>
        <v>41.951819862313478</v>
      </c>
      <c r="Z42" s="9">
        <f t="shared" si="3"/>
        <v>1.12522E-2</v>
      </c>
      <c r="AA42" s="10">
        <f t="shared" si="4"/>
        <v>1.47</v>
      </c>
    </row>
    <row r="43" spans="2:27" x14ac:dyDescent="0.2">
      <c r="B43">
        <v>12</v>
      </c>
      <c r="C43">
        <v>0.97199999999999998</v>
      </c>
      <c r="D43">
        <v>27</v>
      </c>
      <c r="E43">
        <v>0.47499999999999998</v>
      </c>
      <c r="M43">
        <f t="shared" si="12"/>
        <v>21.5</v>
      </c>
      <c r="N43">
        <f t="shared" si="13"/>
        <v>0.74</v>
      </c>
      <c r="O43" t="b">
        <f t="shared" si="5"/>
        <v>1</v>
      </c>
      <c r="P43">
        <f t="shared" si="6"/>
        <v>21.5</v>
      </c>
      <c r="Q43">
        <f t="shared" si="7"/>
        <v>6.5532000000000004</v>
      </c>
      <c r="R43">
        <f t="shared" si="8"/>
        <v>1.651E-2</v>
      </c>
      <c r="S43">
        <f t="shared" si="9"/>
        <v>1.12522E-2</v>
      </c>
      <c r="T43">
        <f t="shared" si="10"/>
        <v>1.47</v>
      </c>
      <c r="U43">
        <f t="shared" si="11"/>
        <v>41.951819862313478</v>
      </c>
      <c r="X43" s="8">
        <f t="shared" si="1"/>
        <v>6.7056000000000004</v>
      </c>
      <c r="Y43" s="9">
        <f t="shared" si="2"/>
        <v>40.714708930901132</v>
      </c>
      <c r="Z43" s="9">
        <f t="shared" si="3"/>
        <v>1.27254E-2</v>
      </c>
      <c r="AA43" s="10">
        <f t="shared" si="4"/>
        <v>1.54</v>
      </c>
    </row>
    <row r="44" spans="2:27" x14ac:dyDescent="0.2">
      <c r="B44">
        <v>12.5</v>
      </c>
      <c r="C44">
        <v>0.97699999999999998</v>
      </c>
      <c r="D44">
        <v>27.5</v>
      </c>
      <c r="E44">
        <v>0.47199999999999998</v>
      </c>
      <c r="M44">
        <f t="shared" si="12"/>
        <v>22</v>
      </c>
      <c r="N44">
        <f t="shared" si="13"/>
        <v>0.69699999999999995</v>
      </c>
      <c r="O44" t="b">
        <f t="shared" si="5"/>
        <v>1</v>
      </c>
      <c r="P44">
        <f t="shared" si="6"/>
        <v>22</v>
      </c>
      <c r="Q44">
        <f t="shared" si="7"/>
        <v>6.7056000000000004</v>
      </c>
      <c r="R44">
        <f t="shared" si="8"/>
        <v>1.9557999999999999E-2</v>
      </c>
      <c r="S44">
        <f t="shared" si="9"/>
        <v>1.27254E-2</v>
      </c>
      <c r="T44">
        <f t="shared" si="10"/>
        <v>1.54</v>
      </c>
      <c r="U44">
        <f t="shared" si="11"/>
        <v>40.714708930901132</v>
      </c>
      <c r="X44" s="8">
        <f t="shared" si="1"/>
        <v>6.8580000000000005</v>
      </c>
      <c r="Y44" s="9">
        <f t="shared" si="2"/>
        <v>39.589284484769365</v>
      </c>
      <c r="Z44" s="9">
        <f t="shared" si="3"/>
        <v>1.5747999999999998E-2</v>
      </c>
      <c r="AA44" s="10">
        <f t="shared" si="4"/>
        <v>1.6</v>
      </c>
    </row>
    <row r="45" spans="2:27" x14ac:dyDescent="0.2">
      <c r="G45" t="s">
        <v>0</v>
      </c>
      <c r="H45" t="s">
        <v>2</v>
      </c>
      <c r="M45">
        <f t="shared" si="12"/>
        <v>22.5</v>
      </c>
      <c r="N45">
        <f t="shared" si="13"/>
        <v>0.65900000000000003</v>
      </c>
      <c r="O45" t="b">
        <f t="shared" si="5"/>
        <v>1</v>
      </c>
      <c r="P45">
        <f t="shared" si="6"/>
        <v>22.5</v>
      </c>
      <c r="Q45">
        <f t="shared" si="7"/>
        <v>6.8580000000000005</v>
      </c>
      <c r="R45">
        <f t="shared" si="8"/>
        <v>2.5145999999999998E-2</v>
      </c>
      <c r="S45">
        <f t="shared" si="9"/>
        <v>1.5747999999999998E-2</v>
      </c>
      <c r="T45">
        <f t="shared" si="10"/>
        <v>1.6</v>
      </c>
      <c r="U45">
        <f t="shared" si="11"/>
        <v>39.589284484769365</v>
      </c>
      <c r="X45" s="8">
        <f t="shared" si="1"/>
        <v>7.0104000000000006</v>
      </c>
      <c r="Y45" s="9">
        <f t="shared" si="2"/>
        <v>38.55448923277288</v>
      </c>
      <c r="Z45" s="9">
        <f t="shared" si="3"/>
        <v>1.6764000000000001E-2</v>
      </c>
      <c r="AA45" s="10">
        <f t="shared" si="4"/>
        <v>1.65</v>
      </c>
    </row>
    <row r="46" spans="2:27" x14ac:dyDescent="0.2">
      <c r="B46" t="s">
        <v>0</v>
      </c>
      <c r="C46" t="s">
        <v>34</v>
      </c>
      <c r="D46" t="s">
        <v>4</v>
      </c>
      <c r="E46" t="s">
        <v>5</v>
      </c>
      <c r="F46" t="s">
        <v>5</v>
      </c>
      <c r="G46" t="s">
        <v>1</v>
      </c>
      <c r="H46" t="s">
        <v>3</v>
      </c>
      <c r="M46">
        <f t="shared" si="12"/>
        <v>23</v>
      </c>
      <c r="N46">
        <f t="shared" si="13"/>
        <v>0.625</v>
      </c>
      <c r="O46" t="b">
        <f t="shared" si="5"/>
        <v>1</v>
      </c>
      <c r="P46">
        <f t="shared" si="6"/>
        <v>23</v>
      </c>
      <c r="Q46">
        <f t="shared" si="7"/>
        <v>7.0104000000000006</v>
      </c>
      <c r="R46">
        <f t="shared" si="8"/>
        <v>2.7686000000000002E-2</v>
      </c>
      <c r="S46">
        <f t="shared" si="9"/>
        <v>1.6764000000000001E-2</v>
      </c>
      <c r="T46">
        <f t="shared" si="10"/>
        <v>1.65</v>
      </c>
      <c r="U46">
        <f t="shared" si="11"/>
        <v>38.55448923277288</v>
      </c>
      <c r="X46" s="8">
        <f t="shared" si="1"/>
        <v>7.1628000000000007</v>
      </c>
      <c r="Y46" s="9">
        <f t="shared" si="2"/>
        <v>37.427652856357426</v>
      </c>
      <c r="Z46" s="9">
        <f t="shared" si="3"/>
        <v>1.8033999999999998E-2</v>
      </c>
      <c r="AA46" s="10">
        <f t="shared" si="4"/>
        <v>1.75</v>
      </c>
    </row>
    <row r="47" spans="2:27" x14ac:dyDescent="0.2">
      <c r="B47" t="s">
        <v>1</v>
      </c>
      <c r="C47" t="s">
        <v>6</v>
      </c>
      <c r="D47" t="s">
        <v>6</v>
      </c>
      <c r="E47" t="s">
        <v>3</v>
      </c>
      <c r="F47" t="s">
        <v>160</v>
      </c>
      <c r="G47">
        <f>B84</f>
        <v>25.4</v>
      </c>
      <c r="H47">
        <f>(G47-D39)/(D40-D39)*(E40-E39)+E39</f>
        <v>0.49580000000000002</v>
      </c>
      <c r="M47">
        <f t="shared" si="12"/>
        <v>23.5</v>
      </c>
      <c r="N47">
        <f t="shared" si="13"/>
        <v>0.58899999999999997</v>
      </c>
      <c r="O47" t="b">
        <f t="shared" si="5"/>
        <v>1</v>
      </c>
      <c r="P47">
        <f t="shared" si="6"/>
        <v>23.5</v>
      </c>
      <c r="Q47">
        <f t="shared" si="7"/>
        <v>7.1628000000000007</v>
      </c>
      <c r="R47">
        <f t="shared" si="8"/>
        <v>3.1495999999999996E-2</v>
      </c>
      <c r="S47">
        <f t="shared" si="9"/>
        <v>1.8033999999999998E-2</v>
      </c>
      <c r="T47">
        <f t="shared" si="10"/>
        <v>1.75</v>
      </c>
      <c r="U47">
        <f t="shared" si="11"/>
        <v>37.427652856357426</v>
      </c>
      <c r="X47" s="8">
        <f t="shared" si="1"/>
        <v>7.3152000000000008</v>
      </c>
      <c r="Y47" s="9">
        <f t="shared" si="2"/>
        <v>36.42940221568287</v>
      </c>
      <c r="Z47" s="9">
        <f t="shared" si="3"/>
        <v>2.1843999999999999E-2</v>
      </c>
      <c r="AA47" s="10">
        <f t="shared" si="4"/>
        <v>1.87</v>
      </c>
    </row>
    <row r="48" spans="2:27" x14ac:dyDescent="0.2">
      <c r="B48">
        <v>0.5</v>
      </c>
      <c r="C48">
        <v>3.9E-2</v>
      </c>
      <c r="D48">
        <v>2.5999999999999999E-2</v>
      </c>
      <c r="E48">
        <v>1.5</v>
      </c>
      <c r="F48">
        <f t="shared" ref="F48:F85" si="14">C48/D48</f>
        <v>1.5</v>
      </c>
      <c r="G48">
        <f>B85</f>
        <v>25.77</v>
      </c>
      <c r="H48">
        <f>(G48-D40)/(D41-D40)*(E41-E40)+E40</f>
        <v>0.48814000000000002</v>
      </c>
      <c r="M48">
        <f t="shared" si="12"/>
        <v>24</v>
      </c>
      <c r="N48">
        <f t="shared" si="13"/>
        <v>0.55800000000000005</v>
      </c>
      <c r="O48" t="b">
        <f t="shared" si="5"/>
        <v>1</v>
      </c>
      <c r="P48">
        <f t="shared" si="6"/>
        <v>24</v>
      </c>
      <c r="Q48">
        <f t="shared" si="7"/>
        <v>7.3152000000000008</v>
      </c>
      <c r="R48">
        <f t="shared" si="8"/>
        <v>4.0894E-2</v>
      </c>
      <c r="S48">
        <f t="shared" si="9"/>
        <v>2.1843999999999999E-2</v>
      </c>
      <c r="T48">
        <f t="shared" si="10"/>
        <v>1.87</v>
      </c>
      <c r="U48">
        <f t="shared" si="11"/>
        <v>36.42940221568287</v>
      </c>
      <c r="X48" s="8">
        <f t="shared" si="1"/>
        <v>7.4676</v>
      </c>
      <c r="Y48" s="9">
        <f t="shared" si="2"/>
        <v>35.470130094151052</v>
      </c>
      <c r="Z48" s="9">
        <f t="shared" si="3"/>
        <v>2.4129999999999999E-2</v>
      </c>
      <c r="AA48" s="10">
        <f t="shared" si="4"/>
        <v>1.99</v>
      </c>
    </row>
    <row r="49" spans="2:27" x14ac:dyDescent="0.2">
      <c r="B49">
        <v>1</v>
      </c>
      <c r="C49">
        <v>4.2999999999999997E-2</v>
      </c>
      <c r="D49">
        <v>3.2000000000000001E-2</v>
      </c>
      <c r="E49">
        <v>1.35</v>
      </c>
      <c r="F49">
        <f t="shared" si="14"/>
        <v>1.3437499999999998</v>
      </c>
      <c r="M49">
        <f t="shared" si="12"/>
        <v>24.5</v>
      </c>
      <c r="N49">
        <f t="shared" si="13"/>
        <v>0.52900000000000003</v>
      </c>
      <c r="O49" t="b">
        <f t="shared" si="5"/>
        <v>1</v>
      </c>
      <c r="P49">
        <f t="shared" si="6"/>
        <v>24.5</v>
      </c>
      <c r="Q49">
        <f t="shared" si="7"/>
        <v>7.4676</v>
      </c>
      <c r="R49">
        <f t="shared" si="8"/>
        <v>4.8005999999999993E-2</v>
      </c>
      <c r="S49">
        <f t="shared" si="9"/>
        <v>2.4129999999999999E-2</v>
      </c>
      <c r="T49">
        <f t="shared" si="10"/>
        <v>1.99</v>
      </c>
      <c r="U49">
        <f t="shared" si="11"/>
        <v>35.470130094151052</v>
      </c>
      <c r="X49" s="8">
        <f t="shared" si="1"/>
        <v>7.62</v>
      </c>
      <c r="Y49" s="9">
        <f t="shared" si="2"/>
        <v>34.724733789735524</v>
      </c>
      <c r="Z49" s="9">
        <f t="shared" si="3"/>
        <v>2.9463999999999997E-2</v>
      </c>
      <c r="AA49" s="10">
        <f t="shared" si="4"/>
        <v>2.2200000000000002</v>
      </c>
    </row>
    <row r="50" spans="2:27" x14ac:dyDescent="0.2">
      <c r="B50">
        <v>1.5</v>
      </c>
      <c r="C50">
        <v>5.0999999999999997E-2</v>
      </c>
      <c r="D50">
        <v>3.6999999999999998E-2</v>
      </c>
      <c r="E50">
        <v>1.38</v>
      </c>
      <c r="F50">
        <f t="shared" si="14"/>
        <v>1.3783783783783783</v>
      </c>
      <c r="M50">
        <f t="shared" si="12"/>
        <v>25</v>
      </c>
      <c r="N50">
        <f t="shared" si="13"/>
        <v>0.50700000000000001</v>
      </c>
      <c r="O50" t="b">
        <f t="shared" si="5"/>
        <v>1</v>
      </c>
      <c r="P50">
        <f t="shared" si="6"/>
        <v>25</v>
      </c>
      <c r="Q50">
        <f t="shared" si="7"/>
        <v>7.62</v>
      </c>
      <c r="R50">
        <f t="shared" si="8"/>
        <v>6.5277999999999989E-2</v>
      </c>
      <c r="S50">
        <f t="shared" si="9"/>
        <v>2.9463999999999997E-2</v>
      </c>
      <c r="T50">
        <f t="shared" si="10"/>
        <v>2.2200000000000002</v>
      </c>
      <c r="U50">
        <f t="shared" si="11"/>
        <v>34.724733789735524</v>
      </c>
      <c r="X50" s="8">
        <f t="shared" si="1"/>
        <v>7.7419200000000004</v>
      </c>
      <c r="Y50" s="9">
        <f t="shared" si="2"/>
        <v>34.339044499508141</v>
      </c>
      <c r="Z50" s="9">
        <f t="shared" si="3"/>
        <v>3.0225999999999996E-2</v>
      </c>
      <c r="AA50" s="10">
        <f t="shared" si="4"/>
        <v>2.39</v>
      </c>
    </row>
    <row r="51" spans="2:27" x14ac:dyDescent="0.2">
      <c r="B51">
        <v>2</v>
      </c>
      <c r="C51">
        <v>5.8000000000000003E-2</v>
      </c>
      <c r="D51">
        <v>4.2000000000000003E-2</v>
      </c>
      <c r="E51">
        <v>1.38</v>
      </c>
      <c r="F51">
        <f t="shared" si="14"/>
        <v>1.3809523809523809</v>
      </c>
      <c r="M51">
        <f>G47</f>
        <v>25.4</v>
      </c>
      <c r="N51">
        <f>H47</f>
        <v>0.49580000000000002</v>
      </c>
      <c r="O51" t="b">
        <f t="shared" si="5"/>
        <v>1</v>
      </c>
      <c r="P51">
        <f t="shared" si="6"/>
        <v>25.4</v>
      </c>
      <c r="Q51">
        <f t="shared" si="7"/>
        <v>7.7419200000000004</v>
      </c>
      <c r="R51">
        <f t="shared" si="8"/>
        <v>7.2389999999999996E-2</v>
      </c>
      <c r="S51">
        <f t="shared" si="9"/>
        <v>3.0225999999999996E-2</v>
      </c>
      <c r="T51">
        <f t="shared" si="10"/>
        <v>2.39</v>
      </c>
      <c r="U51">
        <f t="shared" si="11"/>
        <v>34.339044499508141</v>
      </c>
      <c r="X51" s="11">
        <f t="shared" si="1"/>
        <v>7.8546960000000006</v>
      </c>
      <c r="Y51" s="12">
        <f t="shared" si="2"/>
        <v>34.072746625526975</v>
      </c>
      <c r="Z51" s="12">
        <f t="shared" si="3"/>
        <v>3.4543999999999998E-2</v>
      </c>
      <c r="AA51" s="13">
        <f t="shared" si="4"/>
        <v>2.8</v>
      </c>
    </row>
    <row r="52" spans="2:27" x14ac:dyDescent="0.2">
      <c r="B52">
        <v>2.5</v>
      </c>
      <c r="C52">
        <v>6.3E-2</v>
      </c>
      <c r="D52">
        <v>4.7E-2</v>
      </c>
      <c r="E52">
        <v>1.34</v>
      </c>
      <c r="F52">
        <f t="shared" si="14"/>
        <v>1.3404255319148937</v>
      </c>
      <c r="M52">
        <f>G48</f>
        <v>25.77</v>
      </c>
      <c r="N52">
        <f>H48</f>
        <v>0.48814000000000002</v>
      </c>
      <c r="O52" t="b">
        <f t="shared" si="5"/>
        <v>1</v>
      </c>
      <c r="P52">
        <f t="shared" si="6"/>
        <v>25.77</v>
      </c>
      <c r="Q52">
        <f t="shared" si="7"/>
        <v>7.8546960000000006</v>
      </c>
      <c r="R52">
        <f t="shared" si="8"/>
        <v>9.6773999999999999E-2</v>
      </c>
      <c r="S52">
        <f t="shared" si="9"/>
        <v>3.4543999999999998E-2</v>
      </c>
      <c r="T52">
        <f t="shared" si="10"/>
        <v>2.8</v>
      </c>
      <c r="U52">
        <f t="shared" si="11"/>
        <v>34.072746625526975</v>
      </c>
    </row>
    <row r="53" spans="2:27" x14ac:dyDescent="0.2">
      <c r="B53">
        <v>3</v>
      </c>
      <c r="C53">
        <v>6.7000000000000004E-2</v>
      </c>
      <c r="D53">
        <v>4.8000000000000001E-2</v>
      </c>
      <c r="E53">
        <v>1.4</v>
      </c>
      <c r="F53">
        <f t="shared" si="14"/>
        <v>1.3958333333333335</v>
      </c>
    </row>
    <row r="54" spans="2:27" x14ac:dyDescent="0.2">
      <c r="B54">
        <v>3.5</v>
      </c>
      <c r="C54">
        <v>7.5999999999999998E-2</v>
      </c>
      <c r="D54">
        <v>5.5E-2</v>
      </c>
      <c r="E54">
        <v>1.38</v>
      </c>
      <c r="F54">
        <f t="shared" si="14"/>
        <v>1.3818181818181818</v>
      </c>
    </row>
    <row r="55" spans="2:27" x14ac:dyDescent="0.2">
      <c r="B55">
        <v>4.5</v>
      </c>
      <c r="C55">
        <v>7.4999999999999997E-2</v>
      </c>
      <c r="D55">
        <v>5.3999999999999999E-2</v>
      </c>
      <c r="E55">
        <v>1.39</v>
      </c>
      <c r="F55">
        <f t="shared" si="14"/>
        <v>1.3888888888888888</v>
      </c>
    </row>
    <row r="56" spans="2:27" x14ac:dyDescent="0.2">
      <c r="B56">
        <v>5.5</v>
      </c>
      <c r="C56">
        <v>8.6999999999999994E-2</v>
      </c>
      <c r="D56">
        <v>6.4000000000000001E-2</v>
      </c>
      <c r="E56">
        <v>1.36</v>
      </c>
      <c r="F56">
        <f t="shared" si="14"/>
        <v>1.3593749999999998</v>
      </c>
    </row>
    <row r="57" spans="2:27" x14ac:dyDescent="0.2">
      <c r="B57">
        <v>6.5</v>
      </c>
      <c r="C57">
        <v>9.7000000000000003E-2</v>
      </c>
      <c r="D57">
        <v>7.1999999999999995E-2</v>
      </c>
      <c r="E57">
        <v>1.35</v>
      </c>
      <c r="F57">
        <f t="shared" si="14"/>
        <v>1.3472222222222223</v>
      </c>
    </row>
    <row r="58" spans="2:27" x14ac:dyDescent="0.2">
      <c r="B58">
        <v>7.5</v>
      </c>
      <c r="C58">
        <v>0.127</v>
      </c>
      <c r="D58">
        <v>9.2999999999999999E-2</v>
      </c>
      <c r="E58">
        <v>1.37</v>
      </c>
      <c r="F58">
        <f t="shared" si="14"/>
        <v>1.3655913978494625</v>
      </c>
    </row>
    <row r="59" spans="2:27" x14ac:dyDescent="0.2">
      <c r="B59">
        <v>8.5</v>
      </c>
      <c r="C59">
        <v>0.13600000000000001</v>
      </c>
      <c r="D59">
        <v>9.9000000000000005E-2</v>
      </c>
      <c r="E59">
        <v>1.37</v>
      </c>
      <c r="F59">
        <f t="shared" si="14"/>
        <v>1.3737373737373737</v>
      </c>
    </row>
    <row r="60" spans="2:27" x14ac:dyDescent="0.2">
      <c r="B60">
        <v>9.5</v>
      </c>
      <c r="C60">
        <v>0.17</v>
      </c>
      <c r="D60">
        <v>0.123</v>
      </c>
      <c r="E60">
        <v>1.38</v>
      </c>
      <c r="F60">
        <f t="shared" si="14"/>
        <v>1.3821138211382116</v>
      </c>
    </row>
    <row r="61" spans="2:27" x14ac:dyDescent="0.2">
      <c r="B61">
        <v>10.5</v>
      </c>
      <c r="C61">
        <v>0.18</v>
      </c>
      <c r="D61">
        <v>0.13300000000000001</v>
      </c>
      <c r="E61">
        <v>1.35</v>
      </c>
      <c r="F61">
        <f t="shared" si="14"/>
        <v>1.3533834586466165</v>
      </c>
    </row>
    <row r="62" spans="2:27" x14ac:dyDescent="0.2">
      <c r="B62">
        <v>11.5</v>
      </c>
      <c r="C62">
        <v>0.222</v>
      </c>
      <c r="D62">
        <v>0.16300000000000001</v>
      </c>
      <c r="E62">
        <v>1.36</v>
      </c>
      <c r="F62">
        <f t="shared" si="14"/>
        <v>1.361963190184049</v>
      </c>
    </row>
    <row r="63" spans="2:27" x14ac:dyDescent="0.2">
      <c r="B63">
        <v>12.5</v>
      </c>
      <c r="C63">
        <v>0.22</v>
      </c>
      <c r="D63">
        <v>0.16200000000000001</v>
      </c>
      <c r="E63">
        <v>1.36</v>
      </c>
      <c r="F63">
        <f t="shared" si="14"/>
        <v>1.3580246913580247</v>
      </c>
    </row>
    <row r="64" spans="2:27" x14ac:dyDescent="0.2">
      <c r="B64">
        <v>13.5</v>
      </c>
      <c r="C64">
        <v>0.23400000000000001</v>
      </c>
      <c r="D64">
        <v>0.16800000000000001</v>
      </c>
      <c r="E64">
        <v>1.39</v>
      </c>
      <c r="F64">
        <f t="shared" si="14"/>
        <v>1.3928571428571428</v>
      </c>
    </row>
    <row r="65" spans="2:6" x14ac:dyDescent="0.2">
      <c r="B65">
        <v>14.5</v>
      </c>
      <c r="C65">
        <v>0.255</v>
      </c>
      <c r="D65">
        <v>0.192</v>
      </c>
      <c r="E65">
        <v>1.33</v>
      </c>
      <c r="F65">
        <f t="shared" si="14"/>
        <v>1.328125</v>
      </c>
    </row>
    <row r="66" spans="2:6" x14ac:dyDescent="0.2">
      <c r="B66">
        <v>15.5</v>
      </c>
      <c r="C66">
        <v>0.28799999999999998</v>
      </c>
      <c r="D66">
        <v>0.20799999999999999</v>
      </c>
      <c r="E66">
        <v>1.38</v>
      </c>
      <c r="F66">
        <f t="shared" si="14"/>
        <v>1.3846153846153846</v>
      </c>
    </row>
    <row r="67" spans="2:6" x14ac:dyDescent="0.2">
      <c r="B67">
        <v>16.5</v>
      </c>
      <c r="C67">
        <v>0.30199999999999999</v>
      </c>
      <c r="D67">
        <v>0.22600000000000001</v>
      </c>
      <c r="E67">
        <v>1.34</v>
      </c>
      <c r="F67">
        <f t="shared" si="14"/>
        <v>1.3362831858407078</v>
      </c>
    </row>
    <row r="68" spans="2:6" x14ac:dyDescent="0.2">
      <c r="B68">
        <v>17.5</v>
      </c>
      <c r="C68">
        <v>0.30299999999999999</v>
      </c>
      <c r="D68">
        <v>0.22500000000000001</v>
      </c>
      <c r="E68">
        <v>1.35</v>
      </c>
      <c r="F68">
        <f t="shared" si="14"/>
        <v>1.3466666666666667</v>
      </c>
    </row>
    <row r="69" spans="2:6" x14ac:dyDescent="0.2">
      <c r="B69">
        <v>18</v>
      </c>
      <c r="C69">
        <v>0.313</v>
      </c>
      <c r="D69">
        <v>0.22900000000000001</v>
      </c>
      <c r="E69">
        <v>1.37</v>
      </c>
      <c r="F69">
        <f t="shared" si="14"/>
        <v>1.3668122270742358</v>
      </c>
    </row>
    <row r="70" spans="2:6" x14ac:dyDescent="0.2">
      <c r="B70">
        <v>18.5</v>
      </c>
      <c r="C70">
        <v>0.34100000000000003</v>
      </c>
      <c r="D70">
        <v>0.26100000000000001</v>
      </c>
      <c r="E70">
        <v>1.31</v>
      </c>
      <c r="F70">
        <f t="shared" si="14"/>
        <v>1.306513409961686</v>
      </c>
    </row>
    <row r="71" spans="2:6" x14ac:dyDescent="0.2">
      <c r="B71">
        <v>19</v>
      </c>
      <c r="C71">
        <v>0.38500000000000001</v>
      </c>
      <c r="D71">
        <v>0.28199999999999997</v>
      </c>
      <c r="E71">
        <v>1.37</v>
      </c>
      <c r="F71">
        <f t="shared" si="14"/>
        <v>1.3652482269503547</v>
      </c>
    </row>
    <row r="72" spans="2:6" x14ac:dyDescent="0.2">
      <c r="B72">
        <v>19.5</v>
      </c>
      <c r="C72">
        <v>0.40699999999999997</v>
      </c>
      <c r="D72">
        <v>0.307</v>
      </c>
      <c r="E72">
        <v>1.33</v>
      </c>
      <c r="F72">
        <f t="shared" si="14"/>
        <v>1.3257328990228012</v>
      </c>
    </row>
    <row r="73" spans="2:6" x14ac:dyDescent="0.2">
      <c r="B73">
        <v>20</v>
      </c>
      <c r="C73">
        <v>0.44600000000000001</v>
      </c>
      <c r="D73">
        <v>0.31900000000000001</v>
      </c>
      <c r="E73">
        <v>1.4</v>
      </c>
      <c r="F73">
        <f t="shared" si="14"/>
        <v>1.3981191222570533</v>
      </c>
    </row>
    <row r="74" spans="2:6" x14ac:dyDescent="0.2">
      <c r="B74">
        <v>20.5</v>
      </c>
      <c r="C74">
        <v>0.51700000000000002</v>
      </c>
      <c r="D74">
        <v>0.35699999999999998</v>
      </c>
      <c r="E74">
        <v>1.45</v>
      </c>
      <c r="F74">
        <f t="shared" si="14"/>
        <v>1.4481792717086837</v>
      </c>
    </row>
    <row r="75" spans="2:6" x14ac:dyDescent="0.2">
      <c r="B75">
        <v>21</v>
      </c>
      <c r="C75">
        <v>0.58099999999999996</v>
      </c>
      <c r="D75">
        <v>0.39</v>
      </c>
      <c r="E75">
        <v>1.49</v>
      </c>
      <c r="F75">
        <f t="shared" si="14"/>
        <v>1.4897435897435896</v>
      </c>
    </row>
    <row r="76" spans="2:6" x14ac:dyDescent="0.2">
      <c r="B76">
        <v>21.5</v>
      </c>
      <c r="C76">
        <v>0.65</v>
      </c>
      <c r="D76">
        <v>0.443</v>
      </c>
      <c r="E76">
        <v>1.47</v>
      </c>
      <c r="F76">
        <f t="shared" si="14"/>
        <v>1.4672686230248306</v>
      </c>
    </row>
    <row r="77" spans="2:6" x14ac:dyDescent="0.2">
      <c r="B77">
        <v>22</v>
      </c>
      <c r="C77">
        <v>0.77</v>
      </c>
      <c r="D77">
        <v>0.501</v>
      </c>
      <c r="E77">
        <v>1.54</v>
      </c>
      <c r="F77">
        <f t="shared" si="14"/>
        <v>1.5369261477045908</v>
      </c>
    </row>
    <row r="78" spans="2:6" x14ac:dyDescent="0.2">
      <c r="B78">
        <v>22.5</v>
      </c>
      <c r="C78">
        <v>0.99</v>
      </c>
      <c r="D78">
        <v>0.62</v>
      </c>
      <c r="E78">
        <v>1.6</v>
      </c>
      <c r="F78">
        <f t="shared" si="14"/>
        <v>1.596774193548387</v>
      </c>
    </row>
    <row r="79" spans="2:6" x14ac:dyDescent="0.2">
      <c r="B79">
        <v>23</v>
      </c>
      <c r="C79">
        <v>1.0900000000000001</v>
      </c>
      <c r="D79">
        <v>0.66</v>
      </c>
      <c r="E79">
        <v>1.65</v>
      </c>
      <c r="F79">
        <f t="shared" si="14"/>
        <v>1.6515151515151516</v>
      </c>
    </row>
    <row r="80" spans="2:6" x14ac:dyDescent="0.2">
      <c r="B80">
        <v>23.5</v>
      </c>
      <c r="C80">
        <v>1.24</v>
      </c>
      <c r="D80">
        <v>0.71</v>
      </c>
      <c r="E80">
        <v>1.75</v>
      </c>
      <c r="F80">
        <f t="shared" si="14"/>
        <v>1.7464788732394367</v>
      </c>
    </row>
    <row r="81" spans="2:6" x14ac:dyDescent="0.2">
      <c r="B81">
        <v>24</v>
      </c>
      <c r="C81">
        <v>1.61</v>
      </c>
      <c r="D81">
        <v>0.86</v>
      </c>
      <c r="E81">
        <v>1.87</v>
      </c>
      <c r="F81">
        <f t="shared" si="14"/>
        <v>1.8720930232558142</v>
      </c>
    </row>
    <row r="82" spans="2:6" x14ac:dyDescent="0.2">
      <c r="B82">
        <v>24.5</v>
      </c>
      <c r="C82">
        <v>1.89</v>
      </c>
      <c r="D82">
        <v>0.95</v>
      </c>
      <c r="E82">
        <v>1.99</v>
      </c>
      <c r="F82">
        <f t="shared" si="14"/>
        <v>1.9894736842105263</v>
      </c>
    </row>
    <row r="83" spans="2:6" x14ac:dyDescent="0.2">
      <c r="B83">
        <v>25</v>
      </c>
      <c r="C83">
        <v>2.57</v>
      </c>
      <c r="D83">
        <v>1.1599999999999999</v>
      </c>
      <c r="E83">
        <v>2.2200000000000002</v>
      </c>
      <c r="F83">
        <f t="shared" si="14"/>
        <v>2.2155172413793105</v>
      </c>
    </row>
    <row r="84" spans="2:6" x14ac:dyDescent="0.2">
      <c r="B84">
        <v>25.4</v>
      </c>
      <c r="C84">
        <v>2.85</v>
      </c>
      <c r="D84">
        <v>1.19</v>
      </c>
      <c r="E84">
        <v>2.39</v>
      </c>
      <c r="F84">
        <f t="shared" si="14"/>
        <v>2.3949579831932777</v>
      </c>
    </row>
    <row r="85" spans="2:6" x14ac:dyDescent="0.2">
      <c r="B85">
        <v>25.77</v>
      </c>
      <c r="C85">
        <v>3.81</v>
      </c>
      <c r="D85">
        <v>1.36</v>
      </c>
      <c r="E85">
        <v>2.8</v>
      </c>
      <c r="F85">
        <f t="shared" si="14"/>
        <v>2.8014705882352939</v>
      </c>
    </row>
  </sheetData>
  <mergeCells count="3">
    <mergeCell ref="G39:K42"/>
    <mergeCell ref="M12:P12"/>
    <mergeCell ref="X10:AA12"/>
  </mergeCells>
  <pageMargins left="0.7" right="0.7" top="0.75" bottom="0.75" header="0.3" footer="0.3"/>
  <ignoredErrors>
    <ignoredError sqref="Y51 Y15:Y50"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2"/>
  <sheetViews>
    <sheetView topLeftCell="A7" zoomScale="115" workbookViewId="0">
      <selection activeCell="C11" sqref="C11:D18"/>
    </sheetView>
  </sheetViews>
  <sheetFormatPr baseColWidth="10" defaultRowHeight="16" x14ac:dyDescent="0.2"/>
  <cols>
    <col min="2" max="2" width="24.6640625" customWidth="1"/>
  </cols>
  <sheetData>
    <row r="2" spans="2:8" ht="31" x14ac:dyDescent="0.35">
      <c r="B2" s="1" t="s">
        <v>139</v>
      </c>
    </row>
    <row r="6" spans="2:8" x14ac:dyDescent="0.2">
      <c r="B6" s="45" t="s">
        <v>139</v>
      </c>
      <c r="C6" s="46"/>
      <c r="D6" s="47"/>
      <c r="F6" s="45" t="s">
        <v>140</v>
      </c>
      <c r="G6" s="46"/>
      <c r="H6" s="47"/>
    </row>
    <row r="7" spans="2:8" x14ac:dyDescent="0.2">
      <c r="B7" s="39"/>
      <c r="C7" s="40"/>
      <c r="D7" s="41"/>
      <c r="F7" s="39"/>
      <c r="G7" s="40"/>
      <c r="H7" s="41"/>
    </row>
    <row r="8" spans="2:8" x14ac:dyDescent="0.2">
      <c r="B8" s="39"/>
      <c r="C8" s="40"/>
      <c r="D8" s="41"/>
      <c r="F8" s="39"/>
      <c r="G8" s="40"/>
      <c r="H8" s="41"/>
    </row>
    <row r="9" spans="2:8" x14ac:dyDescent="0.2">
      <c r="B9" s="8" t="s">
        <v>91</v>
      </c>
      <c r="C9" s="9" t="s">
        <v>64</v>
      </c>
      <c r="D9" s="10" t="s">
        <v>39</v>
      </c>
      <c r="F9" s="8" t="s">
        <v>141</v>
      </c>
      <c r="G9" s="9">
        <v>6.75</v>
      </c>
      <c r="H9" s="10"/>
    </row>
    <row r="10" spans="2:8" x14ac:dyDescent="0.2">
      <c r="B10" s="8" t="s">
        <v>95</v>
      </c>
      <c r="C10" s="9" t="s">
        <v>78</v>
      </c>
      <c r="D10" s="10" t="s">
        <v>78</v>
      </c>
      <c r="F10" s="8" t="s">
        <v>107</v>
      </c>
      <c r="G10" s="9">
        <v>0.83</v>
      </c>
      <c r="H10" s="10"/>
    </row>
    <row r="11" spans="2:8" x14ac:dyDescent="0.2">
      <c r="B11" s="8" t="str">
        <f>BradshawFerriss!W15</f>
        <v>RM3575A</v>
      </c>
      <c r="C11" s="9">
        <f>BradshawFerriss!X15</f>
        <v>8.2200000000000006</v>
      </c>
      <c r="D11" s="10">
        <f>BradshawFerriss!Y15</f>
        <v>0.36399999999999999</v>
      </c>
      <c r="F11" s="8" t="s">
        <v>91</v>
      </c>
      <c r="G11" s="9" t="s">
        <v>64</v>
      </c>
      <c r="H11" s="10" t="s">
        <v>39</v>
      </c>
    </row>
    <row r="12" spans="2:8" x14ac:dyDescent="0.2">
      <c r="B12" s="8" t="str">
        <f>BradshawFerriss!W16</f>
        <v>RM3575A</v>
      </c>
      <c r="C12" s="9">
        <f>BradshawFerriss!X16</f>
        <v>8.1</v>
      </c>
      <c r="D12" s="10">
        <f>BradshawFerriss!Y16</f>
        <v>0.54</v>
      </c>
      <c r="F12" s="8" t="s">
        <v>142</v>
      </c>
      <c r="G12" s="9">
        <f>$G$9*SQRT(1+$G$10*H12)</f>
        <v>6.75</v>
      </c>
      <c r="H12" s="10">
        <v>0</v>
      </c>
    </row>
    <row r="13" spans="2:8" x14ac:dyDescent="0.2">
      <c r="B13" s="8" t="str">
        <f>BradshawFerriss!W17</f>
        <v>RM3575A</v>
      </c>
      <c r="C13" s="9">
        <f>BradshawFerriss!X17</f>
        <v>9.2200000000000006</v>
      </c>
      <c r="D13" s="10">
        <f>BradshawFerriss!Y17</f>
        <v>0.95</v>
      </c>
      <c r="F13" s="8" t="s">
        <v>142</v>
      </c>
      <c r="G13" s="9">
        <f>$G$9*SQRT(1+$G$10*H13)</f>
        <v>7.0245418000037549</v>
      </c>
      <c r="H13" s="10">
        <f t="shared" ref="H13:H42" si="0">H12+0.1</f>
        <v>0.1</v>
      </c>
    </row>
    <row r="14" spans="2:8" x14ac:dyDescent="0.2">
      <c r="B14" s="8" t="str">
        <f>BradshawFerriss!W18</f>
        <v>RM3575A</v>
      </c>
      <c r="C14" s="9">
        <f>BradshawFerriss!X18</f>
        <v>10.199999999999999</v>
      </c>
      <c r="D14" s="10">
        <f>BradshawFerriss!Y18</f>
        <v>1.08</v>
      </c>
      <c r="F14" s="8" t="s">
        <v>142</v>
      </c>
      <c r="G14" s="9">
        <f>$G$9*SQRT(1+$G$10*H14)</f>
        <v>7.2887498928142671</v>
      </c>
      <c r="H14" s="10">
        <f t="shared" si="0"/>
        <v>0.2</v>
      </c>
    </row>
    <row r="15" spans="2:8" x14ac:dyDescent="0.2">
      <c r="B15" s="8" t="str">
        <f>BradshawFerriss!W19</f>
        <v>RM3575A</v>
      </c>
      <c r="C15" s="9">
        <f>BradshawFerriss!X19</f>
        <v>10.4</v>
      </c>
      <c r="D15" s="10">
        <f>BradshawFerriss!Y19</f>
        <v>1.08</v>
      </c>
      <c r="F15" s="8" t="s">
        <v>142</v>
      </c>
      <c r="G15" s="9">
        <f>$G$9*SQRT(1+$G$10*H15)</f>
        <v>7.5437101283121963</v>
      </c>
      <c r="H15" s="10">
        <f t="shared" si="0"/>
        <v>0.30000000000000004</v>
      </c>
    </row>
    <row r="16" spans="2:8" x14ac:dyDescent="0.2">
      <c r="B16" s="8" t="str">
        <f>BradshawFerriss!W20</f>
        <v>RM3575A</v>
      </c>
      <c r="C16" s="9">
        <f>BradshawFerriss!X20</f>
        <v>10.199999999999999</v>
      </c>
      <c r="D16" s="10">
        <f>BradshawFerriss!Y20</f>
        <v>1.19</v>
      </c>
      <c r="F16" s="8" t="s">
        <v>142</v>
      </c>
      <c r="G16" s="9">
        <f t="shared" ref="G16:G79" si="1">$G$9*SQRT(1+$G$10*H16)</f>
        <v>7.7903305449768947</v>
      </c>
      <c r="H16" s="10">
        <f t="shared" si="0"/>
        <v>0.4</v>
      </c>
    </row>
    <row r="17" spans="2:8" x14ac:dyDescent="0.2">
      <c r="B17" s="8" t="str">
        <f>BradshawFerriss!W21</f>
        <v>RM3575A</v>
      </c>
      <c r="C17" s="9">
        <f>BradshawFerriss!X21</f>
        <v>10.5</v>
      </c>
      <c r="D17" s="10">
        <f>BradshawFerriss!Y21</f>
        <v>1.34</v>
      </c>
      <c r="F17" s="8" t="s">
        <v>142</v>
      </c>
      <c r="G17" s="9">
        <f t="shared" si="1"/>
        <v>8.0293796460249656</v>
      </c>
      <c r="H17" s="10">
        <f t="shared" si="0"/>
        <v>0.5</v>
      </c>
    </row>
    <row r="18" spans="2:8" x14ac:dyDescent="0.2">
      <c r="B18" s="8" t="str">
        <f>BradshawFerriss!W22</f>
        <v>RM3575A</v>
      </c>
      <c r="C18" s="9">
        <f>BradshawFerriss!X22</f>
        <v>10.9</v>
      </c>
      <c r="D18" s="10">
        <f>BradshawFerriss!Y22</f>
        <v>1.44</v>
      </c>
      <c r="F18" s="8" t="s">
        <v>142</v>
      </c>
      <c r="G18" s="9">
        <f t="shared" si="1"/>
        <v>8.2615146916288911</v>
      </c>
      <c r="H18" s="10">
        <f t="shared" si="0"/>
        <v>0.6</v>
      </c>
    </row>
    <row r="19" spans="2:8" x14ac:dyDescent="0.2">
      <c r="B19" s="8" t="str">
        <f>BradshawFerriss!W23</f>
        <v>RM3575B</v>
      </c>
      <c r="C19" s="9">
        <f>BradshawFerriss!X23</f>
        <v>8.0500000000000007</v>
      </c>
      <c r="D19" s="10">
        <f>BradshawFerriss!Y23</f>
        <v>0.64</v>
      </c>
      <c r="F19" s="8" t="s">
        <v>142</v>
      </c>
      <c r="G19" s="9">
        <f t="shared" si="1"/>
        <v>8.4873030168599488</v>
      </c>
      <c r="H19" s="10">
        <f t="shared" si="0"/>
        <v>0.7</v>
      </c>
    </row>
    <row r="20" spans="2:8" x14ac:dyDescent="0.2">
      <c r="B20" s="8" t="str">
        <f>BradshawFerriss!W24</f>
        <v>RM3575B</v>
      </c>
      <c r="C20" s="9">
        <f>BradshawFerriss!X24</f>
        <v>8.33</v>
      </c>
      <c r="D20" s="10">
        <f>BradshawFerriss!Y24</f>
        <v>1.1399999999999999</v>
      </c>
      <c r="F20" s="8" t="s">
        <v>142</v>
      </c>
      <c r="G20" s="9">
        <f t="shared" si="1"/>
        <v>8.7072383681624341</v>
      </c>
      <c r="H20" s="10">
        <f t="shared" si="0"/>
        <v>0.79999999999999993</v>
      </c>
    </row>
    <row r="21" spans="2:8" x14ac:dyDescent="0.2">
      <c r="B21" s="8" t="str">
        <f>BradshawFerriss!W25</f>
        <v>RM3575B</v>
      </c>
      <c r="C21" s="9">
        <f>BradshawFerriss!X25</f>
        <v>9.82</v>
      </c>
      <c r="D21" s="10">
        <f>BradshawFerriss!Y25</f>
        <v>1.37</v>
      </c>
      <c r="F21" s="8" t="s">
        <v>142</v>
      </c>
      <c r="G21" s="9">
        <f t="shared" si="1"/>
        <v>8.9217536112582696</v>
      </c>
      <c r="H21" s="10">
        <f t="shared" si="0"/>
        <v>0.89999999999999991</v>
      </c>
    </row>
    <row r="22" spans="2:8" x14ac:dyDescent="0.2">
      <c r="B22" s="8" t="str">
        <f>BradshawFerriss!W26</f>
        <v>RM3575B</v>
      </c>
      <c r="C22" s="9">
        <f>BradshawFerriss!X26</f>
        <v>10.5</v>
      </c>
      <c r="D22" s="10">
        <f>BradshawFerriss!Y26</f>
        <v>1.556</v>
      </c>
      <c r="F22" s="8" t="s">
        <v>142</v>
      </c>
      <c r="G22" s="9">
        <f t="shared" si="1"/>
        <v>9.1312307494663596</v>
      </c>
      <c r="H22" s="10">
        <f t="shared" si="0"/>
        <v>0.99999999999999989</v>
      </c>
    </row>
    <row r="23" spans="2:8" x14ac:dyDescent="0.2">
      <c r="B23" s="8" t="str">
        <f>BradshawFerriss!W27</f>
        <v>RM3575B</v>
      </c>
      <c r="C23" s="9">
        <f>BradshawFerriss!X27</f>
        <v>10.38</v>
      </c>
      <c r="D23" s="10">
        <f>BradshawFerriss!Y27</f>
        <v>1.617</v>
      </c>
      <c r="F23" s="8" t="s">
        <v>142</v>
      </c>
      <c r="G23" s="9">
        <f t="shared" si="1"/>
        <v>9.3360089170908562</v>
      </c>
      <c r="H23" s="10">
        <f t="shared" si="0"/>
        <v>1.0999999999999999</v>
      </c>
    </row>
    <row r="24" spans="2:8" x14ac:dyDescent="0.2">
      <c r="B24" s="8" t="str">
        <f>BradshawFerriss!W28</f>
        <v>RM3575B</v>
      </c>
      <c r="C24" s="9">
        <f>BradshawFerriss!X28</f>
        <v>10.89</v>
      </c>
      <c r="D24" s="10">
        <f>BradshawFerriss!Y28</f>
        <v>1.8420000000000001</v>
      </c>
      <c r="F24" s="8" t="s">
        <v>142</v>
      </c>
      <c r="G24" s="9">
        <f t="shared" si="1"/>
        <v>9.5363908267226538</v>
      </c>
      <c r="H24" s="10">
        <f t="shared" si="0"/>
        <v>1.2</v>
      </c>
    </row>
    <row r="25" spans="2:8" x14ac:dyDescent="0.2">
      <c r="B25" s="8" t="str">
        <f>BradshawFerriss!W29</f>
        <v>RM3575B</v>
      </c>
      <c r="C25" s="9">
        <f>BradshawFerriss!X29</f>
        <v>11.42</v>
      </c>
      <c r="D25" s="10">
        <f>BradshawFerriss!Y29</f>
        <v>2.012</v>
      </c>
      <c r="F25" s="8" t="s">
        <v>142</v>
      </c>
      <c r="G25" s="9">
        <f t="shared" si="1"/>
        <v>9.7326480209653106</v>
      </c>
      <c r="H25" s="10">
        <f t="shared" si="0"/>
        <v>1.3</v>
      </c>
    </row>
    <row r="26" spans="2:8" x14ac:dyDescent="0.2">
      <c r="B26" s="8" t="str">
        <f>BradshawFerriss!W30</f>
        <v>RM3575B</v>
      </c>
      <c r="C26" s="9">
        <f>BradshawFerriss!X30</f>
        <v>11.8</v>
      </c>
      <c r="D26" s="10">
        <f>BradshawFerriss!Y30</f>
        <v>2.0339999999999998</v>
      </c>
      <c r="F26" s="8" t="s">
        <v>142</v>
      </c>
      <c r="G26" s="9">
        <f t="shared" si="1"/>
        <v>9.9250251888849128</v>
      </c>
      <c r="H26" s="10">
        <f t="shared" si="0"/>
        <v>1.4000000000000001</v>
      </c>
    </row>
    <row r="27" spans="2:8" x14ac:dyDescent="0.2">
      <c r="B27" s="8" t="str">
        <f>BradshawFerriss!W31</f>
        <v>RM3575C</v>
      </c>
      <c r="C27" s="9">
        <f>BradshawFerriss!X31</f>
        <v>7.5</v>
      </c>
      <c r="D27" s="10">
        <f>BradshawFerriss!Y31</f>
        <v>0.94199999999999995</v>
      </c>
      <c r="F27" s="8" t="s">
        <v>142</v>
      </c>
      <c r="G27" s="9">
        <f t="shared" si="1"/>
        <v>10.113743743045895</v>
      </c>
      <c r="H27" s="10">
        <f t="shared" si="0"/>
        <v>1.5000000000000002</v>
      </c>
    </row>
    <row r="28" spans="2:8" x14ac:dyDescent="0.2">
      <c r="B28" s="8" t="str">
        <f>BradshawFerriss!W32</f>
        <v>RM3575C</v>
      </c>
      <c r="C28" s="9">
        <f>BradshawFerriss!X32</f>
        <v>8.56</v>
      </c>
      <c r="D28" s="10">
        <f>BradshawFerriss!Y32</f>
        <v>1.6319999999999999</v>
      </c>
      <c r="F28" s="8" t="s">
        <v>142</v>
      </c>
      <c r="G28" s="9">
        <f t="shared" si="1"/>
        <v>10.299004806290752</v>
      </c>
      <c r="H28" s="10">
        <f t="shared" si="0"/>
        <v>1.6000000000000003</v>
      </c>
    </row>
    <row r="29" spans="2:8" x14ac:dyDescent="0.2">
      <c r="B29" s="8" t="str">
        <f>BradshawFerriss!W33</f>
        <v>RM3575C</v>
      </c>
      <c r="C29" s="9">
        <f>BradshawFerriss!X33</f>
        <v>8.5399999999999991</v>
      </c>
      <c r="D29" s="10">
        <f>BradshawFerriss!Y33</f>
        <v>1.9279999999999999</v>
      </c>
      <c r="F29" s="8" t="s">
        <v>142</v>
      </c>
      <c r="G29" s="9">
        <f t="shared" si="1"/>
        <v>10.480991723114755</v>
      </c>
      <c r="H29" s="10">
        <f t="shared" si="0"/>
        <v>1.7000000000000004</v>
      </c>
    </row>
    <row r="30" spans="2:8" x14ac:dyDescent="0.2">
      <c r="B30" s="8" t="str">
        <f>BradshawFerriss!W34</f>
        <v>RM3575C</v>
      </c>
      <c r="C30" s="9">
        <f>BradshawFerriss!X34</f>
        <v>10.39</v>
      </c>
      <c r="D30" s="10">
        <f>BradshawFerriss!Y34</f>
        <v>2.1549999999999998</v>
      </c>
      <c r="F30" s="8" t="s">
        <v>142</v>
      </c>
      <c r="G30" s="9">
        <f t="shared" si="1"/>
        <v>10.659872184974828</v>
      </c>
      <c r="H30" s="10">
        <f t="shared" si="0"/>
        <v>1.8000000000000005</v>
      </c>
    </row>
    <row r="31" spans="2:8" x14ac:dyDescent="0.2">
      <c r="B31" s="8" t="str">
        <f>BradshawFerriss!W35</f>
        <v>RM3575C</v>
      </c>
      <c r="C31" s="9">
        <f>BradshawFerriss!X35</f>
        <v>10.36</v>
      </c>
      <c r="D31" s="10">
        <f>BradshawFerriss!Y35</f>
        <v>2.2189999999999999</v>
      </c>
      <c r="F31" s="8" t="s">
        <v>142</v>
      </c>
      <c r="G31" s="9">
        <f t="shared" si="1"/>
        <v>10.835800039683274</v>
      </c>
      <c r="H31" s="10">
        <f t="shared" si="0"/>
        <v>1.9000000000000006</v>
      </c>
    </row>
    <row r="32" spans="2:8" x14ac:dyDescent="0.2">
      <c r="B32" s="8" t="str">
        <f>BradshawFerriss!W36</f>
        <v>RM3575C</v>
      </c>
      <c r="C32" s="9">
        <f>BradshawFerriss!X36</f>
        <v>11.21</v>
      </c>
      <c r="D32" s="10">
        <f>BradshawFerriss!Y36</f>
        <v>2.4950000000000001</v>
      </c>
      <c r="F32" s="8" t="s">
        <v>142</v>
      </c>
      <c r="G32" s="9">
        <f t="shared" si="1"/>
        <v>11.008916840452562</v>
      </c>
      <c r="H32" s="10">
        <f t="shared" si="0"/>
        <v>2.0000000000000004</v>
      </c>
    </row>
    <row r="33" spans="2:8" x14ac:dyDescent="0.2">
      <c r="B33" s="8" t="str">
        <f>BradshawFerriss!W37</f>
        <v>RM3575C</v>
      </c>
      <c r="C33" s="9">
        <f>BradshawFerriss!X37</f>
        <v>12.58</v>
      </c>
      <c r="D33" s="10">
        <f>BradshawFerriss!Y37</f>
        <v>2.8069999999999999</v>
      </c>
      <c r="F33" s="8" t="s">
        <v>142</v>
      </c>
      <c r="G33" s="9">
        <f t="shared" si="1"/>
        <v>11.179353178963442</v>
      </c>
      <c r="H33" s="10">
        <f t="shared" si="0"/>
        <v>2.1000000000000005</v>
      </c>
    </row>
    <row r="34" spans="2:8" x14ac:dyDescent="0.2">
      <c r="B34" s="8" t="str">
        <f>BradshawFerriss!W38</f>
        <v>RM3575C</v>
      </c>
      <c r="C34" s="9">
        <f>BradshawFerriss!X38</f>
        <v>12.98</v>
      </c>
      <c r="D34" s="10">
        <f>BradshawFerriss!Y38</f>
        <v>2.8759999999999999</v>
      </c>
      <c r="F34" s="8" t="s">
        <v>142</v>
      </c>
      <c r="G34" s="9">
        <f t="shared" si="1"/>
        <v>11.347229838158739</v>
      </c>
      <c r="H34" s="10">
        <f t="shared" si="0"/>
        <v>2.2000000000000006</v>
      </c>
    </row>
    <row r="35" spans="2:8" x14ac:dyDescent="0.2">
      <c r="B35" s="8" t="str">
        <f>SkareKrogstad!S15</f>
        <v>SKARE1994</v>
      </c>
      <c r="C35" s="9">
        <f>SkareKrogstad!T15</f>
        <v>20.8</v>
      </c>
      <c r="D35" s="10">
        <f>SkareKrogstad!U15</f>
        <v>12.2</v>
      </c>
      <c r="F35" s="8" t="s">
        <v>142</v>
      </c>
      <c r="G35" s="9">
        <f t="shared" si="1"/>
        <v>11.512658793693143</v>
      </c>
      <c r="H35" s="10">
        <f t="shared" si="0"/>
        <v>2.3000000000000007</v>
      </c>
    </row>
    <row r="36" spans="2:8" x14ac:dyDescent="0.2">
      <c r="B36" s="8" t="str">
        <f>SkareKrogstad!S16</f>
        <v>SKARE1994</v>
      </c>
      <c r="C36" s="9">
        <f>SkareKrogstad!T16</f>
        <v>22.9</v>
      </c>
      <c r="D36" s="10">
        <f>SkareKrogstad!U16</f>
        <v>14</v>
      </c>
      <c r="F36" s="8" t="s">
        <v>142</v>
      </c>
      <c r="G36" s="9">
        <f t="shared" si="1"/>
        <v>11.675744087637414</v>
      </c>
      <c r="H36" s="10">
        <f t="shared" si="0"/>
        <v>2.4000000000000008</v>
      </c>
    </row>
    <row r="37" spans="2:8" x14ac:dyDescent="0.2">
      <c r="B37" s="8" t="str">
        <f>SkareKrogstad!S17</f>
        <v>SKARE1994</v>
      </c>
      <c r="C37" s="9">
        <f>SkareKrogstad!T17</f>
        <v>24.8</v>
      </c>
      <c r="D37" s="10">
        <f>SkareKrogstad!U17</f>
        <v>15.7</v>
      </c>
      <c r="F37" s="8" t="s">
        <v>142</v>
      </c>
      <c r="G37" s="9">
        <f t="shared" si="1"/>
        <v>11.836582593806373</v>
      </c>
      <c r="H37" s="10">
        <f t="shared" si="0"/>
        <v>2.5000000000000009</v>
      </c>
    </row>
    <row r="38" spans="2:8" x14ac:dyDescent="0.2">
      <c r="B38" s="8" t="str">
        <f>SkareKrogstad!S18</f>
        <v>SKARE1994</v>
      </c>
      <c r="C38" s="9">
        <f>SkareKrogstad!T18</f>
        <v>26.4</v>
      </c>
      <c r="D38" s="10">
        <f>SkareKrogstad!U18</f>
        <v>16.899999999999999</v>
      </c>
      <c r="F38" s="8" t="s">
        <v>142</v>
      </c>
      <c r="G38" s="9">
        <f t="shared" si="1"/>
        <v>11.995264690701912</v>
      </c>
      <c r="H38" s="10">
        <f t="shared" si="0"/>
        <v>2.600000000000001</v>
      </c>
    </row>
    <row r="39" spans="2:8" x14ac:dyDescent="0.2">
      <c r="B39" s="8" t="str">
        <f>SkareKrogstad!S19</f>
        <v>SKARE1994</v>
      </c>
      <c r="C39" s="9">
        <f>SkareKrogstad!T19</f>
        <v>27</v>
      </c>
      <c r="D39" s="10">
        <f>SkareKrogstad!U19</f>
        <v>17.3</v>
      </c>
      <c r="F39" s="8" t="s">
        <v>142</v>
      </c>
      <c r="G39" s="9">
        <f t="shared" si="1"/>
        <v>12.151874855346398</v>
      </c>
      <c r="H39" s="10">
        <f t="shared" si="0"/>
        <v>2.7000000000000011</v>
      </c>
    </row>
    <row r="40" spans="2:8" x14ac:dyDescent="0.2">
      <c r="B40" s="8" t="str">
        <f>SkareKrogstad!S20</f>
        <v>SKARE1994</v>
      </c>
      <c r="C40" s="9">
        <f>SkareKrogstad!T20</f>
        <v>29.2</v>
      </c>
      <c r="D40" s="10">
        <f>SkareKrogstad!U20</f>
        <v>19.899999999999999</v>
      </c>
      <c r="F40" s="8" t="s">
        <v>142</v>
      </c>
      <c r="G40" s="9">
        <f t="shared" si="1"/>
        <v>12.30649218908459</v>
      </c>
      <c r="H40" s="10">
        <f t="shared" si="0"/>
        <v>2.8000000000000012</v>
      </c>
    </row>
    <row r="41" spans="2:8" x14ac:dyDescent="0.2">
      <c r="B41" s="8" t="str">
        <f>SkareKrogstad!S21</f>
        <v>SKARE1994</v>
      </c>
      <c r="C41" s="9">
        <f>SkareKrogstad!T21</f>
        <v>29.3</v>
      </c>
      <c r="D41" s="10">
        <f>SkareKrogstad!U21</f>
        <v>20</v>
      </c>
      <c r="F41" s="8" t="s">
        <v>142</v>
      </c>
      <c r="G41" s="9">
        <f t="shared" si="1"/>
        <v>12.459190884644157</v>
      </c>
      <c r="H41" s="10">
        <f t="shared" si="0"/>
        <v>2.9000000000000012</v>
      </c>
    </row>
    <row r="42" spans="2:8" x14ac:dyDescent="0.2">
      <c r="B42" s="8" t="str">
        <f>SkareKrogstad!S22</f>
        <v>SKARE1994</v>
      </c>
      <c r="C42" s="9">
        <f>SkareKrogstad!T22</f>
        <v>29.1</v>
      </c>
      <c r="D42" s="10">
        <f>SkareKrogstad!U22</f>
        <v>19.600000000000001</v>
      </c>
      <c r="F42" s="8" t="s">
        <v>142</v>
      </c>
      <c r="G42" s="9">
        <f t="shared" si="1"/>
        <v>12.610040642281851</v>
      </c>
      <c r="H42" s="10">
        <f t="shared" si="0"/>
        <v>3.0000000000000013</v>
      </c>
    </row>
    <row r="43" spans="2:8" x14ac:dyDescent="0.2">
      <c r="B43" s="8" t="str">
        <f>SkareKrogstad!S23</f>
        <v>SKARE1994</v>
      </c>
      <c r="C43" s="9">
        <f>SkareKrogstad!T23</f>
        <v>29.6</v>
      </c>
      <c r="D43" s="10">
        <f>SkareKrogstad!U23</f>
        <v>20.100000000000001</v>
      </c>
      <c r="F43" s="8" t="s">
        <v>142</v>
      </c>
      <c r="G43" s="9">
        <f t="shared" si="1"/>
        <v>13.338724170624417</v>
      </c>
      <c r="H43" s="10">
        <f>H42+0.5</f>
        <v>3.5000000000000013</v>
      </c>
    </row>
    <row r="44" spans="2:8" x14ac:dyDescent="0.2">
      <c r="B44" s="8" t="str">
        <f>SkareKrogstad!S24</f>
        <v>SKARE1994</v>
      </c>
      <c r="C44" s="9">
        <f>SkareKrogstad!T24</f>
        <v>29.6</v>
      </c>
      <c r="D44" s="10">
        <f>SkareKrogstad!U24</f>
        <v>20.2</v>
      </c>
      <c r="F44" s="8" t="s">
        <v>142</v>
      </c>
      <c r="G44" s="9">
        <f t="shared" si="1"/>
        <v>14.029611541307908</v>
      </c>
      <c r="H44" s="10">
        <f t="shared" ref="H44:H92" si="2">H43+0.5</f>
        <v>4.0000000000000018</v>
      </c>
    </row>
    <row r="45" spans="2:8" x14ac:dyDescent="0.2">
      <c r="B45" s="8" t="str">
        <f>SkareKrogstad!S25</f>
        <v>SKARE1994</v>
      </c>
      <c r="C45" s="9">
        <f>SkareKrogstad!T25</f>
        <v>30.2</v>
      </c>
      <c r="D45" s="10">
        <f>SkareKrogstad!U25</f>
        <v>21.2</v>
      </c>
      <c r="F45" s="8" t="s">
        <v>142</v>
      </c>
      <c r="G45" s="9">
        <f t="shared" si="1"/>
        <v>14.688037224217538</v>
      </c>
      <c r="H45" s="10">
        <f t="shared" si="2"/>
        <v>4.5000000000000018</v>
      </c>
    </row>
    <row r="46" spans="2:8" x14ac:dyDescent="0.2">
      <c r="B46" s="8" t="str">
        <f>SkareKrogstad!S26</f>
        <v>SKARE1994</v>
      </c>
      <c r="C46" s="9">
        <f>SkareKrogstad!T26</f>
        <v>30.2</v>
      </c>
      <c r="D46" s="10">
        <f>SkareKrogstad!U26</f>
        <v>21.4</v>
      </c>
      <c r="F46" s="8" t="s">
        <v>142</v>
      </c>
      <c r="G46" s="9">
        <f t="shared" si="1"/>
        <v>15.318187719178795</v>
      </c>
      <c r="H46" s="10">
        <f t="shared" si="2"/>
        <v>5.0000000000000018</v>
      </c>
    </row>
    <row r="47" spans="2:8" x14ac:dyDescent="0.2">
      <c r="B47" s="8" t="str">
        <f>'Lee and Sung'!I11</f>
        <v>LEE2008</v>
      </c>
      <c r="C47" s="9">
        <f>'Lee and Sung'!J11</f>
        <v>12.4</v>
      </c>
      <c r="D47" s="10">
        <f>'Lee and Sung'!K11</f>
        <v>1.68</v>
      </c>
      <c r="F47" s="8" t="s">
        <v>142</v>
      </c>
      <c r="G47" s="9">
        <f t="shared" si="1"/>
        <v>15.923420251315358</v>
      </c>
      <c r="H47" s="10">
        <f t="shared" si="2"/>
        <v>5.5000000000000018</v>
      </c>
    </row>
    <row r="48" spans="2:8" x14ac:dyDescent="0.2">
      <c r="B48" s="8" t="str">
        <f>'Lee and Sung'!I12</f>
        <v>LEE2008</v>
      </c>
      <c r="C48" s="9">
        <f>'Lee and Sung'!J12</f>
        <v>9.6999999999999993</v>
      </c>
      <c r="D48" s="10">
        <f>'Lee and Sung'!K12</f>
        <v>0.73</v>
      </c>
      <c r="F48" s="8" t="s">
        <v>142</v>
      </c>
      <c r="G48" s="9">
        <f t="shared" si="1"/>
        <v>16.506476001860605</v>
      </c>
      <c r="H48" s="10">
        <f t="shared" si="2"/>
        <v>6.0000000000000018</v>
      </c>
    </row>
    <row r="49" spans="2:8" x14ac:dyDescent="0.2">
      <c r="B49" s="8" t="str">
        <f>'Lee and Sung'!I13</f>
        <v>LEE2008</v>
      </c>
      <c r="C49" s="9">
        <f>'Lee and Sung'!J13</f>
        <v>8.1300000000000008</v>
      </c>
      <c r="D49" s="10">
        <f>'Lee and Sung'!K13</f>
        <v>0.25</v>
      </c>
      <c r="F49" s="8" t="s">
        <v>142</v>
      </c>
      <c r="G49" s="9">
        <f t="shared" si="1"/>
        <v>17.069627632142421</v>
      </c>
      <c r="H49" s="10">
        <f t="shared" si="2"/>
        <v>6.5000000000000018</v>
      </c>
    </row>
    <row r="50" spans="2:8" x14ac:dyDescent="0.2">
      <c r="B50" s="8" t="str">
        <f>KaysAndMoffat!U18</f>
        <v>ANDERSEN1972A</v>
      </c>
      <c r="C50" s="9">
        <f>KaysAndMoffat!V18</f>
        <v>7.0019999999999998</v>
      </c>
      <c r="D50" s="10">
        <f>KaysAndMoffat!W18</f>
        <v>0</v>
      </c>
      <c r="F50" s="8" t="s">
        <v>142</v>
      </c>
      <c r="G50" s="9">
        <f t="shared" si="1"/>
        <v>17.614784273444851</v>
      </c>
      <c r="H50" s="10">
        <f t="shared" si="2"/>
        <v>7.0000000000000018</v>
      </c>
    </row>
    <row r="51" spans="2:8" x14ac:dyDescent="0.2">
      <c r="B51" s="8" t="str">
        <f>KaysAndMoffat!U19</f>
        <v>ANDERSEN1972A</v>
      </c>
      <c r="C51" s="9">
        <f>KaysAndMoffat!V19</f>
        <v>6.91</v>
      </c>
      <c r="D51" s="10">
        <f>KaysAndMoffat!W19</f>
        <v>-1E-3</v>
      </c>
      <c r="F51" s="8" t="s">
        <v>142</v>
      </c>
      <c r="G51" s="9">
        <f t="shared" si="1"/>
        <v>18.143568075216077</v>
      </c>
      <c r="H51" s="10">
        <f t="shared" si="2"/>
        <v>7.5000000000000018</v>
      </c>
    </row>
    <row r="52" spans="2:8" x14ac:dyDescent="0.2">
      <c r="B52" s="8" t="str">
        <f>KaysAndMoffat!U20</f>
        <v>ANDERSEN1972A</v>
      </c>
      <c r="C52" s="9">
        <f>KaysAndMoffat!V20</f>
        <v>7.2</v>
      </c>
      <c r="D52" s="10">
        <f>KaysAndMoffat!W20</f>
        <v>-1E-3</v>
      </c>
      <c r="F52" s="8" t="s">
        <v>142</v>
      </c>
      <c r="G52" s="9">
        <f t="shared" si="1"/>
        <v>18.657371197465093</v>
      </c>
      <c r="H52" s="10">
        <f t="shared" si="2"/>
        <v>8.0000000000000018</v>
      </c>
    </row>
    <row r="53" spans="2:8" x14ac:dyDescent="0.2">
      <c r="B53" s="8" t="str">
        <f>KaysAndMoffat!U21</f>
        <v>ANDERSEN1972A</v>
      </c>
      <c r="C53" s="9">
        <f>KaysAndMoffat!V21</f>
        <v>7.07</v>
      </c>
      <c r="D53" s="10">
        <f>KaysAndMoffat!W21</f>
        <v>-1E-3</v>
      </c>
      <c r="F53" s="8" t="s">
        <v>142</v>
      </c>
      <c r="G53" s="9">
        <f t="shared" si="1"/>
        <v>19.157399027529809</v>
      </c>
      <c r="H53" s="10">
        <f t="shared" si="2"/>
        <v>8.5000000000000018</v>
      </c>
    </row>
    <row r="54" spans="2:8" x14ac:dyDescent="0.2">
      <c r="B54" s="8" t="str">
        <f>KaysAndMoffat!U22</f>
        <v>ANDERSEN1972A</v>
      </c>
      <c r="C54" s="9">
        <f>KaysAndMoffat!V22</f>
        <v>7.2</v>
      </c>
      <c r="D54" s="10">
        <f>KaysAndMoffat!W22</f>
        <v>0</v>
      </c>
      <c r="F54" s="8" t="s">
        <v>142</v>
      </c>
      <c r="G54" s="9">
        <f t="shared" si="1"/>
        <v>19.644703484654588</v>
      </c>
      <c r="H54" s="10">
        <f t="shared" si="2"/>
        <v>9.0000000000000018</v>
      </c>
    </row>
    <row r="55" spans="2:8" x14ac:dyDescent="0.2">
      <c r="B55" s="8" t="str">
        <f>KaysAndMoffat!U23</f>
        <v>ANDERSEN1972A</v>
      </c>
      <c r="C55" s="9">
        <f>KaysAndMoffat!V23</f>
        <v>7.22</v>
      </c>
      <c r="D55" s="10">
        <f>KaysAndMoffat!W23</f>
        <v>1E-3</v>
      </c>
      <c r="F55" s="8" t="s">
        <v>142</v>
      </c>
      <c r="G55" s="9">
        <f t="shared" si="1"/>
        <v>20.12020905706499</v>
      </c>
      <c r="H55" s="10">
        <f t="shared" si="2"/>
        <v>9.5000000000000018</v>
      </c>
    </row>
    <row r="56" spans="2:8" x14ac:dyDescent="0.2">
      <c r="B56" s="8" t="str">
        <f>KaysAndMoffat!U24</f>
        <v>ANDERSEN1972A</v>
      </c>
      <c r="C56" s="9">
        <f>KaysAndMoffat!V24</f>
        <v>7.25</v>
      </c>
      <c r="D56" s="10">
        <f>KaysAndMoffat!W24</f>
        <v>2E-3</v>
      </c>
      <c r="F56" s="8" t="s">
        <v>142</v>
      </c>
      <c r="G56" s="9">
        <f t="shared" si="1"/>
        <v>20.584733420668826</v>
      </c>
      <c r="H56" s="10">
        <f t="shared" si="2"/>
        <v>10.000000000000002</v>
      </c>
    </row>
    <row r="57" spans="2:8" x14ac:dyDescent="0.2">
      <c r="B57" s="8" t="str">
        <f>KaysAndMoffat!U25</f>
        <v>ANDERSEN1972A</v>
      </c>
      <c r="C57" s="9">
        <f>KaysAndMoffat!V25</f>
        <v>7.22</v>
      </c>
      <c r="D57" s="10">
        <f>KaysAndMoffat!W25</f>
        <v>4.0000000000000001E-3</v>
      </c>
      <c r="F57" s="8" t="s">
        <v>142</v>
      </c>
      <c r="G57" s="9">
        <f t="shared" si="1"/>
        <v>21.039003956936746</v>
      </c>
      <c r="H57" s="10">
        <f t="shared" si="2"/>
        <v>10.500000000000002</v>
      </c>
    </row>
    <row r="58" spans="2:8" x14ac:dyDescent="0.2">
      <c r="B58" s="8" t="str">
        <f>KaysAndMoffat!U26</f>
        <v>ANDERSEN1972A</v>
      </c>
      <c r="C58" s="9">
        <f>KaysAndMoffat!V26</f>
        <v>7.17</v>
      </c>
      <c r="D58" s="10">
        <f>KaysAndMoffat!W26</f>
        <v>5.0000000000000001E-3</v>
      </c>
      <c r="F58" s="8" t="s">
        <v>142</v>
      </c>
      <c r="G58" s="9">
        <f t="shared" si="1"/>
        <v>21.483671124833393</v>
      </c>
      <c r="H58" s="10">
        <f t="shared" si="2"/>
        <v>11.000000000000002</v>
      </c>
    </row>
    <row r="59" spans="2:8" x14ac:dyDescent="0.2">
      <c r="B59" s="8" t="str">
        <f>KaysAndMoffat!U27</f>
        <v>ANDERSEN1972B</v>
      </c>
      <c r="C59" s="9">
        <f>KaysAndMoffat!V27</f>
        <v>6.89</v>
      </c>
      <c r="D59" s="10">
        <f>KaysAndMoffat!W27</f>
        <v>0.14099999999999999</v>
      </c>
      <c r="F59" s="8" t="s">
        <v>142</v>
      </c>
      <c r="G59" s="9">
        <f t="shared" si="1"/>
        <v>21.919319389524851</v>
      </c>
      <c r="H59" s="10">
        <f t="shared" si="2"/>
        <v>11.500000000000002</v>
      </c>
    </row>
    <row r="60" spans="2:8" x14ac:dyDescent="0.2">
      <c r="B60" s="8" t="str">
        <f>KaysAndMoffat!U28</f>
        <v>ANDERSEN1972B</v>
      </c>
      <c r="C60" s="9">
        <f>KaysAndMoffat!V28</f>
        <v>8.2899999999999991</v>
      </c>
      <c r="D60" s="10">
        <f>KaysAndMoffat!W28</f>
        <v>0.67400000000000004</v>
      </c>
      <c r="F60" s="8" t="s">
        <v>142</v>
      </c>
      <c r="G60" s="9">
        <f t="shared" si="1"/>
        <v>22.346476232283244</v>
      </c>
      <c r="H60" s="10">
        <f t="shared" si="2"/>
        <v>12.000000000000002</v>
      </c>
    </row>
    <row r="61" spans="2:8" x14ac:dyDescent="0.2">
      <c r="B61" s="8" t="str">
        <f>KaysAndMoffat!U29</f>
        <v>ANDERSEN1972B</v>
      </c>
      <c r="C61" s="9">
        <f>KaysAndMoffat!V29</f>
        <v>8.77</v>
      </c>
      <c r="D61" s="10">
        <f>KaysAndMoffat!W29</f>
        <v>0.68600000000000005</v>
      </c>
      <c r="F61" s="8" t="s">
        <v>142</v>
      </c>
      <c r="G61" s="9">
        <f t="shared" si="1"/>
        <v>22.765619637954071</v>
      </c>
      <c r="H61" s="10">
        <f t="shared" si="2"/>
        <v>12.500000000000002</v>
      </c>
    </row>
    <row r="62" spans="2:8" x14ac:dyDescent="0.2">
      <c r="B62" s="8" t="str">
        <f>KaysAndMoffat!U30</f>
        <v>ANDERSEN1972B</v>
      </c>
      <c r="C62" s="9">
        <f>KaysAndMoffat!V30</f>
        <v>8.9600000000000009</v>
      </c>
      <c r="D62" s="10">
        <f>KaysAndMoffat!W30</f>
        <v>0.69599999999999995</v>
      </c>
      <c r="F62" s="8" t="s">
        <v>142</v>
      </c>
      <c r="G62" s="9">
        <f t="shared" si="1"/>
        <v>23.177184363075686</v>
      </c>
      <c r="H62" s="10">
        <f t="shared" si="2"/>
        <v>13.000000000000002</v>
      </c>
    </row>
    <row r="63" spans="2:8" x14ac:dyDescent="0.2">
      <c r="B63" s="8" t="str">
        <f>KaysAndMoffat!U31</f>
        <v>ANDERSEN1972B</v>
      </c>
      <c r="C63" s="9">
        <f>KaysAndMoffat!V31</f>
        <v>9.23</v>
      </c>
      <c r="D63" s="10">
        <f>KaysAndMoffat!W31</f>
        <v>0.70799999999999996</v>
      </c>
      <c r="F63" s="8" t="s">
        <v>142</v>
      </c>
      <c r="G63" s="9">
        <f t="shared" si="1"/>
        <v>23.581567218910621</v>
      </c>
      <c r="H63" s="10">
        <f t="shared" si="2"/>
        <v>13.500000000000002</v>
      </c>
    </row>
    <row r="64" spans="2:8" x14ac:dyDescent="0.2">
      <c r="B64" s="8" t="str">
        <f>KaysAndMoffat!U32</f>
        <v>ANDERSEN1972B</v>
      </c>
      <c r="C64" s="9">
        <f>KaysAndMoffat!V32</f>
        <v>9.1</v>
      </c>
      <c r="D64" s="10">
        <f>KaysAndMoffat!W32</f>
        <v>0.68500000000000005</v>
      </c>
      <c r="F64" s="8" t="s">
        <v>142</v>
      </c>
      <c r="G64" s="9">
        <f t="shared" si="1"/>
        <v>23.979131552247676</v>
      </c>
      <c r="H64" s="10">
        <f t="shared" si="2"/>
        <v>14.000000000000002</v>
      </c>
    </row>
    <row r="65" spans="2:8" x14ac:dyDescent="0.2">
      <c r="B65" s="8" t="str">
        <f>KaysAndMoffat!U33</f>
        <v>ANDERSEN1972B</v>
      </c>
      <c r="C65" s="9">
        <f>KaysAndMoffat!V33</f>
        <v>9.19</v>
      </c>
      <c r="D65" s="10">
        <f>KaysAndMoffat!W33</f>
        <v>0.69299999999999995</v>
      </c>
      <c r="F65" s="8" t="s">
        <v>142</v>
      </c>
      <c r="G65" s="9">
        <f t="shared" si="1"/>
        <v>24.370211068023188</v>
      </c>
      <c r="H65" s="10">
        <f t="shared" si="2"/>
        <v>14.500000000000002</v>
      </c>
    </row>
    <row r="66" spans="2:8" x14ac:dyDescent="0.2">
      <c r="B66" s="8" t="str">
        <f>KaysAndMoffat!U34</f>
        <v>ANDERSEN1972B</v>
      </c>
      <c r="C66" s="9">
        <f>KaysAndMoffat!V34</f>
        <v>9.08</v>
      </c>
      <c r="D66" s="10">
        <f>KaysAndMoffat!W34</f>
        <v>0.68500000000000005</v>
      </c>
      <c r="F66" s="8" t="s">
        <v>142</v>
      </c>
      <c r="G66" s="9">
        <f t="shared" si="1"/>
        <v>24.755113108204537</v>
      </c>
      <c r="H66" s="10">
        <f t="shared" si="2"/>
        <v>15.000000000000002</v>
      </c>
    </row>
    <row r="67" spans="2:8" x14ac:dyDescent="0.2">
      <c r="B67" s="8" t="str">
        <f>KaysAndMoffat!U35</f>
        <v>ANDERSEN1972B</v>
      </c>
      <c r="C67" s="9">
        <f>KaysAndMoffat!V35</f>
        <v>9.09</v>
      </c>
      <c r="D67" s="10">
        <f>KaysAndMoffat!W35</f>
        <v>0.71199999999999997</v>
      </c>
      <c r="F67" s="8" t="s">
        <v>142</v>
      </c>
      <c r="G67" s="9">
        <f t="shared" si="1"/>
        <v>25.134121478579672</v>
      </c>
      <c r="H67" s="10">
        <f t="shared" si="2"/>
        <v>15.500000000000002</v>
      </c>
    </row>
    <row r="68" spans="2:8" x14ac:dyDescent="0.2">
      <c r="B68" s="8" t="str">
        <f>KaysAndMoffat!U36</f>
        <v>ANDERSEN1972C</v>
      </c>
      <c r="C68" s="9">
        <f>KaysAndMoffat!V36</f>
        <v>6.93</v>
      </c>
      <c r="D68" s="10">
        <f>KaysAndMoffat!W36</f>
        <v>0.219</v>
      </c>
      <c r="F68" s="8" t="s">
        <v>142</v>
      </c>
      <c r="G68" s="9">
        <f t="shared" si="1"/>
        <v>25.507498897383098</v>
      </c>
      <c r="H68" s="10">
        <f t="shared" si="2"/>
        <v>16</v>
      </c>
    </row>
    <row r="69" spans="2:8" x14ac:dyDescent="0.2">
      <c r="B69" s="8" t="str">
        <f>KaysAndMoffat!U37</f>
        <v>ANDERSEN1972C</v>
      </c>
      <c r="C69" s="9">
        <f>KaysAndMoffat!V37</f>
        <v>9.0500000000000007</v>
      </c>
      <c r="D69" s="10">
        <f>KaysAndMoffat!W37</f>
        <v>1.2010000000000001</v>
      </c>
      <c r="F69" s="8" t="s">
        <v>142</v>
      </c>
      <c r="G69" s="9">
        <f t="shared" si="1"/>
        <v>25.875489125811708</v>
      </c>
      <c r="H69" s="10">
        <f t="shared" si="2"/>
        <v>16.5</v>
      </c>
    </row>
    <row r="70" spans="2:8" x14ac:dyDescent="0.2">
      <c r="B70" s="8" t="str">
        <f>KaysAndMoffat!U38</f>
        <v>ANDERSEN1972C</v>
      </c>
      <c r="C70" s="9">
        <f>KaysAndMoffat!V38</f>
        <v>11.05</v>
      </c>
      <c r="D70" s="10">
        <f>KaysAndMoffat!W38</f>
        <v>1.5589999999999999</v>
      </c>
      <c r="F70" s="8" t="s">
        <v>142</v>
      </c>
      <c r="G70" s="9">
        <f t="shared" si="1"/>
        <v>26.238318829528694</v>
      </c>
      <c r="H70" s="10">
        <f t="shared" si="2"/>
        <v>17</v>
      </c>
    </row>
    <row r="71" spans="2:8" x14ac:dyDescent="0.2">
      <c r="B71" s="8" t="str">
        <f>KaysAndMoffat!U39</f>
        <v>ANDERSEN1972C</v>
      </c>
      <c r="C71" s="9">
        <f>KaysAndMoffat!V39</f>
        <v>11.43</v>
      </c>
      <c r="D71" s="10">
        <f>KaysAndMoffat!W39</f>
        <v>1.6259999999999999</v>
      </c>
      <c r="F71" s="8" t="s">
        <v>142</v>
      </c>
      <c r="G71" s="9">
        <f t="shared" si="1"/>
        <v>26.596199211541485</v>
      </c>
      <c r="H71" s="10">
        <f t="shared" si="2"/>
        <v>17.5</v>
      </c>
    </row>
    <row r="72" spans="2:8" x14ac:dyDescent="0.2">
      <c r="B72" s="8" t="str">
        <f>KaysAndMoffat!U40</f>
        <v>ANDERSEN1972C</v>
      </c>
      <c r="C72" s="9">
        <f>KaysAndMoffat!V40</f>
        <v>11.62</v>
      </c>
      <c r="D72" s="10">
        <f>KaysAndMoffat!W40</f>
        <v>1.63</v>
      </c>
      <c r="F72" s="8" t="s">
        <v>142</v>
      </c>
      <c r="G72" s="9">
        <f t="shared" si="1"/>
        <v>26.949327449864125</v>
      </c>
      <c r="H72" s="10">
        <f t="shared" si="2"/>
        <v>18</v>
      </c>
    </row>
    <row r="73" spans="2:8" x14ac:dyDescent="0.2">
      <c r="B73" s="8" t="str">
        <f>KaysAndMoffat!U41</f>
        <v>ANDERSEN1972C</v>
      </c>
      <c r="C73" s="9">
        <f>KaysAndMoffat!V41</f>
        <v>11.48</v>
      </c>
      <c r="D73" s="10">
        <f>KaysAndMoffat!W41</f>
        <v>1.577</v>
      </c>
      <c r="F73" s="8" t="s">
        <v>142</v>
      </c>
      <c r="G73" s="9">
        <f t="shared" si="1"/>
        <v>27.297887967753109</v>
      </c>
      <c r="H73" s="10">
        <f t="shared" si="2"/>
        <v>18.5</v>
      </c>
    </row>
    <row r="74" spans="2:8" x14ac:dyDescent="0.2">
      <c r="B74" s="8" t="str">
        <f>KaysAndMoffat!U42</f>
        <v>ANDERSEN1972C</v>
      </c>
      <c r="C74" s="9">
        <f>KaysAndMoffat!V42</f>
        <v>11.39</v>
      </c>
      <c r="D74" s="10">
        <f>KaysAndMoffat!W42</f>
        <v>1.5469999999999999</v>
      </c>
      <c r="F74" s="8" t="s">
        <v>142</v>
      </c>
      <c r="G74" s="9">
        <f t="shared" si="1"/>
        <v>27.642053559748415</v>
      </c>
      <c r="H74" s="10">
        <f t="shared" si="2"/>
        <v>19</v>
      </c>
    </row>
    <row r="75" spans="2:8" x14ac:dyDescent="0.2">
      <c r="B75" s="8" t="str">
        <f>KaysAndMoffat!U43</f>
        <v>ANDERSEN1972C</v>
      </c>
      <c r="C75" s="9">
        <f>KaysAndMoffat!V43</f>
        <v>11.43</v>
      </c>
      <c r="D75" s="10">
        <f>KaysAndMoffat!W43</f>
        <v>1.575</v>
      </c>
      <c r="F75" s="8" t="s">
        <v>142</v>
      </c>
      <c r="G75" s="9">
        <f t="shared" si="1"/>
        <v>27.981986393035072</v>
      </c>
      <c r="H75" s="10">
        <f t="shared" si="2"/>
        <v>19.5</v>
      </c>
    </row>
    <row r="76" spans="2:8" x14ac:dyDescent="0.2">
      <c r="B76" s="11" t="str">
        <f>KaysAndMoffat!U44</f>
        <v>ANDERSEN1972C</v>
      </c>
      <c r="C76" s="12">
        <f>KaysAndMoffat!V44</f>
        <v>11.72</v>
      </c>
      <c r="D76" s="13">
        <f>KaysAndMoffat!W44</f>
        <v>1.75</v>
      </c>
      <c r="F76" s="8" t="s">
        <v>142</v>
      </c>
      <c r="G76" s="9">
        <f t="shared" si="1"/>
        <v>28.317838900594086</v>
      </c>
      <c r="H76" s="10">
        <f t="shared" si="2"/>
        <v>20</v>
      </c>
    </row>
    <row r="77" spans="2:8" x14ac:dyDescent="0.2">
      <c r="F77" s="8" t="s">
        <v>142</v>
      </c>
      <c r="G77" s="9">
        <f t="shared" si="1"/>
        <v>28.649754580100684</v>
      </c>
      <c r="H77" s="10">
        <f t="shared" si="2"/>
        <v>20.5</v>
      </c>
    </row>
    <row r="78" spans="2:8" x14ac:dyDescent="0.2">
      <c r="F78" s="8" t="s">
        <v>142</v>
      </c>
      <c r="G78" s="9">
        <f t="shared" si="1"/>
        <v>28.977868710448668</v>
      </c>
      <c r="H78" s="10">
        <f t="shared" si="2"/>
        <v>21</v>
      </c>
    </row>
    <row r="79" spans="2:8" x14ac:dyDescent="0.2">
      <c r="F79" s="8" t="s">
        <v>142</v>
      </c>
      <c r="G79" s="9">
        <f t="shared" si="1"/>
        <v>29.302308996050119</v>
      </c>
      <c r="H79" s="10">
        <f t="shared" si="2"/>
        <v>21.5</v>
      </c>
    </row>
    <row r="80" spans="2:8" x14ac:dyDescent="0.2">
      <c r="F80" s="8" t="s">
        <v>142</v>
      </c>
      <c r="G80" s="9">
        <f t="shared" ref="G80:G92" si="3">$G$9*SQRT(1+$G$10*H80)</f>
        <v>29.623196147613779</v>
      </c>
      <c r="H80" s="10">
        <f t="shared" si="2"/>
        <v>22</v>
      </c>
    </row>
    <row r="81" spans="6:8" x14ac:dyDescent="0.2">
      <c r="F81" s="8" t="s">
        <v>142</v>
      </c>
      <c r="G81" s="9">
        <f t="shared" si="3"/>
        <v>29.940644406892783</v>
      </c>
      <c r="H81" s="10">
        <f t="shared" si="2"/>
        <v>22.5</v>
      </c>
    </row>
    <row r="82" spans="6:8" x14ac:dyDescent="0.2">
      <c r="F82" s="8" t="s">
        <v>142</v>
      </c>
      <c r="G82" s="9">
        <f t="shared" si="3"/>
        <v>30.254762021870214</v>
      </c>
      <c r="H82" s="10">
        <f t="shared" si="2"/>
        <v>23</v>
      </c>
    </row>
    <row r="83" spans="6:8" x14ac:dyDescent="0.2">
      <c r="F83" s="8" t="s">
        <v>142</v>
      </c>
      <c r="G83" s="9">
        <f t="shared" si="3"/>
        <v>30.565651677986512</v>
      </c>
      <c r="H83" s="10">
        <f t="shared" si="2"/>
        <v>23.5</v>
      </c>
    </row>
    <row r="84" spans="6:8" x14ac:dyDescent="0.2">
      <c r="F84" s="8" t="s">
        <v>142</v>
      </c>
      <c r="G84" s="9">
        <f t="shared" si="3"/>
        <v>30.873410890279033</v>
      </c>
      <c r="H84" s="10">
        <f t="shared" si="2"/>
        <v>24</v>
      </c>
    </row>
    <row r="85" spans="6:8" x14ac:dyDescent="0.2">
      <c r="F85" s="8" t="s">
        <v>142</v>
      </c>
      <c r="G85" s="9">
        <f t="shared" si="3"/>
        <v>31.178132360678696</v>
      </c>
      <c r="H85" s="10">
        <f t="shared" si="2"/>
        <v>24.5</v>
      </c>
    </row>
    <row r="86" spans="6:8" x14ac:dyDescent="0.2">
      <c r="F86" s="8" t="s">
        <v>142</v>
      </c>
      <c r="G86" s="9">
        <f t="shared" si="3"/>
        <v>31.479904304174752</v>
      </c>
      <c r="H86" s="10">
        <f t="shared" si="2"/>
        <v>25</v>
      </c>
    </row>
    <row r="87" spans="6:8" x14ac:dyDescent="0.2">
      <c r="F87" s="8" t="s">
        <v>142</v>
      </c>
      <c r="G87" s="9">
        <f t="shared" si="3"/>
        <v>31.778810747100025</v>
      </c>
      <c r="H87" s="10">
        <f t="shared" si="2"/>
        <v>25.5</v>
      </c>
    </row>
    <row r="88" spans="6:8" x14ac:dyDescent="0.2">
      <c r="F88" s="8" t="s">
        <v>142</v>
      </c>
      <c r="G88" s="9">
        <f t="shared" si="3"/>
        <v>32.074931800395149</v>
      </c>
      <c r="H88" s="10">
        <f t="shared" si="2"/>
        <v>26</v>
      </c>
    </row>
    <row r="89" spans="6:8" x14ac:dyDescent="0.2">
      <c r="F89" s="8" t="s">
        <v>142</v>
      </c>
      <c r="G89" s="9">
        <f t="shared" si="3"/>
        <v>32.368343910370207</v>
      </c>
      <c r="H89" s="10">
        <f t="shared" si="2"/>
        <v>26.5</v>
      </c>
    </row>
    <row r="90" spans="6:8" x14ac:dyDescent="0.2">
      <c r="F90" s="8" t="s">
        <v>142</v>
      </c>
      <c r="G90" s="9">
        <f t="shared" si="3"/>
        <v>32.659120089187951</v>
      </c>
      <c r="H90" s="10">
        <f t="shared" si="2"/>
        <v>27</v>
      </c>
    </row>
    <row r="91" spans="6:8" x14ac:dyDescent="0.2">
      <c r="F91" s="8" t="s">
        <v>142</v>
      </c>
      <c r="G91" s="9">
        <f t="shared" si="3"/>
        <v>32.947330127037603</v>
      </c>
      <c r="H91" s="10">
        <f t="shared" si="2"/>
        <v>27.5</v>
      </c>
    </row>
    <row r="92" spans="6:8" x14ac:dyDescent="0.2">
      <c r="F92" s="11" t="s">
        <v>142</v>
      </c>
      <c r="G92" s="12">
        <f t="shared" si="3"/>
        <v>33.233040787746162</v>
      </c>
      <c r="H92" s="13">
        <f t="shared" si="2"/>
        <v>28</v>
      </c>
    </row>
  </sheetData>
  <mergeCells count="2">
    <mergeCell ref="B6:D8"/>
    <mergeCell ref="F6:H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8"/>
  <sheetViews>
    <sheetView topLeftCell="A15" zoomScale="102" workbookViewId="0">
      <selection activeCell="AM30" sqref="AM30"/>
    </sheetView>
  </sheetViews>
  <sheetFormatPr baseColWidth="10" defaultRowHeight="16" x14ac:dyDescent="0.2"/>
  <cols>
    <col min="23" max="23" width="12" bestFit="1" customWidth="1"/>
    <col min="33" max="33" width="15.5" customWidth="1"/>
  </cols>
  <sheetData>
    <row r="2" spans="2:45" ht="31" x14ac:dyDescent="0.35">
      <c r="B2" s="1" t="s">
        <v>175</v>
      </c>
    </row>
    <row r="5" spans="2:45" x14ac:dyDescent="0.2">
      <c r="C5">
        <f>C6/C7</f>
        <v>1.8190805034965035E-5</v>
      </c>
      <c r="H5">
        <f>H6/H7</f>
        <v>1.4730619280685075E-5</v>
      </c>
      <c r="M5">
        <f>M6/M7</f>
        <v>1.4449602124145472E-5</v>
      </c>
      <c r="R5">
        <f>R6/R7</f>
        <v>1.4512535276437804E-5</v>
      </c>
      <c r="W5">
        <f>W6/W7</f>
        <v>1.5392948257787546E-5</v>
      </c>
      <c r="AB5">
        <f>AB6/AB7</f>
        <v>1.5334019493964066E-5</v>
      </c>
      <c r="AG5">
        <f>AG6/AG7</f>
        <v>1.4771583360000002E-5</v>
      </c>
      <c r="AL5">
        <f>AL6/AL7</f>
        <v>1.5459065856000001E-5</v>
      </c>
      <c r="AQ5">
        <f>AQ6/AQ7</f>
        <v>1.4957389440000002E-5</v>
      </c>
    </row>
    <row r="6" spans="2:45" x14ac:dyDescent="0.2">
      <c r="B6" s="15" t="s">
        <v>161</v>
      </c>
      <c r="C6" s="14">
        <f>'Schubauer and Klebanoff'!Y7</f>
        <v>48.768000000000001</v>
      </c>
      <c r="D6" s="14" t="s">
        <v>32</v>
      </c>
      <c r="E6" s="16"/>
      <c r="G6" s="15" t="s">
        <v>161</v>
      </c>
      <c r="H6" s="14">
        <f>BradshawFerriss!N8</f>
        <v>36.576000000000001</v>
      </c>
      <c r="I6" s="14" t="s">
        <v>32</v>
      </c>
      <c r="J6" s="16"/>
      <c r="L6" s="15" t="s">
        <v>161</v>
      </c>
      <c r="M6" s="14">
        <f>BradshawFerriss!N24</f>
        <v>36.576000000000001</v>
      </c>
      <c r="N6" s="14" t="s">
        <v>32</v>
      </c>
      <c r="O6" s="16"/>
      <c r="Q6" s="15" t="s">
        <v>161</v>
      </c>
      <c r="R6" s="14">
        <f>BradshawFerriss!N40</f>
        <v>36.576000000000001</v>
      </c>
      <c r="S6" s="14" t="s">
        <v>32</v>
      </c>
      <c r="T6" s="16"/>
      <c r="V6" s="15" t="s">
        <v>161</v>
      </c>
      <c r="W6" s="14">
        <f>AubertineEaton!N6</f>
        <v>20.48</v>
      </c>
      <c r="X6" s="14" t="s">
        <v>32</v>
      </c>
      <c r="Y6" s="16"/>
      <c r="AA6" s="15" t="s">
        <v>161</v>
      </c>
      <c r="AB6" s="14">
        <f>SkareKrogstad!O7</f>
        <v>22.35</v>
      </c>
      <c r="AC6" s="14" t="s">
        <v>32</v>
      </c>
      <c r="AD6" s="16"/>
      <c r="AF6" s="15" t="s">
        <v>161</v>
      </c>
      <c r="AG6" s="14">
        <f>KaysAndMoffat!Q10</f>
        <v>9.5128080000000015</v>
      </c>
      <c r="AH6" s="14" t="s">
        <v>32</v>
      </c>
      <c r="AI6" s="16"/>
      <c r="AK6" s="15" t="s">
        <v>161</v>
      </c>
      <c r="AL6" s="14">
        <f>KaysAndMoffat!Q31</f>
        <v>9.049512</v>
      </c>
      <c r="AM6" s="14" t="s">
        <v>32</v>
      </c>
      <c r="AN6" s="16"/>
      <c r="AP6" s="15" t="s">
        <v>161</v>
      </c>
      <c r="AQ6" s="14">
        <f>KaysAndMoffat!Q52</f>
        <v>8.8788239999999998</v>
      </c>
      <c r="AR6" s="14" t="s">
        <v>32</v>
      </c>
      <c r="AS6" s="16"/>
    </row>
    <row r="7" spans="2:45" x14ac:dyDescent="0.2">
      <c r="B7" s="8" t="s">
        <v>162</v>
      </c>
      <c r="C7" s="9">
        <f>'Schubauer and Klebanoff'!Y8</f>
        <v>2680914.885639295</v>
      </c>
      <c r="D7" s="9" t="s">
        <v>164</v>
      </c>
      <c r="E7" s="10"/>
      <c r="G7" s="8" t="s">
        <v>162</v>
      </c>
      <c r="H7" s="9">
        <f>BradshawFerriss!N9</f>
        <v>2482991.3327512844</v>
      </c>
      <c r="I7" s="9" t="s">
        <v>164</v>
      </c>
      <c r="J7" s="10"/>
      <c r="L7" s="8" t="s">
        <v>162</v>
      </c>
      <c r="M7" s="9">
        <f>BradshawFerriss!N25</f>
        <v>2531280.7706228141</v>
      </c>
      <c r="N7" s="9" t="s">
        <v>164</v>
      </c>
      <c r="O7" s="10"/>
      <c r="Q7" s="8" t="s">
        <v>162</v>
      </c>
      <c r="R7" s="9">
        <f>BradshawFerriss!N41</f>
        <v>2520303.9512595637</v>
      </c>
      <c r="S7" s="9" t="s">
        <v>164</v>
      </c>
      <c r="T7" s="10"/>
      <c r="V7" s="8" t="s">
        <v>162</v>
      </c>
      <c r="W7" s="9">
        <f>AubertineEaton!N7</f>
        <v>1330479.3634733898</v>
      </c>
      <c r="X7" s="9" t="s">
        <v>164</v>
      </c>
      <c r="Y7" s="10"/>
      <c r="AA7" s="8" t="s">
        <v>162</v>
      </c>
      <c r="AB7" s="9">
        <f>SkareKrogstad!O8</f>
        <v>1457543.4711555985</v>
      </c>
      <c r="AC7" s="9" t="s">
        <v>164</v>
      </c>
      <c r="AD7" s="10"/>
      <c r="AF7" s="8" t="s">
        <v>162</v>
      </c>
      <c r="AG7" s="34">
        <f>KaysAndMoffat!Q11</f>
        <v>643993.79322867666</v>
      </c>
      <c r="AH7" s="9" t="s">
        <v>164</v>
      </c>
      <c r="AI7" s="10"/>
      <c r="AK7" s="8" t="s">
        <v>162</v>
      </c>
      <c r="AL7" s="9">
        <f>KaysAndMoffat!Q32</f>
        <v>585385.4355945891</v>
      </c>
      <c r="AM7" s="9" t="s">
        <v>164</v>
      </c>
      <c r="AN7" s="10"/>
      <c r="AP7" s="8" t="s">
        <v>162</v>
      </c>
      <c r="AQ7" s="9">
        <f>KaysAndMoffat!Q53</f>
        <v>593607.86423436191</v>
      </c>
      <c r="AR7" s="9" t="s">
        <v>164</v>
      </c>
      <c r="AS7" s="10"/>
    </row>
    <row r="8" spans="2:45" x14ac:dyDescent="0.2">
      <c r="B8" s="8" t="s">
        <v>93</v>
      </c>
      <c r="C8" s="9" t="str">
        <f>'Schubauer and Klebanoff'!Y9</f>
        <v>TN2133</v>
      </c>
      <c r="D8" s="9"/>
      <c r="E8" s="10"/>
      <c r="G8" s="8" t="s">
        <v>93</v>
      </c>
      <c r="H8" s="9" t="str">
        <f>BradshawFerriss!N10</f>
        <v>RM3575A</v>
      </c>
      <c r="I8" s="9"/>
      <c r="J8" s="10"/>
      <c r="L8" s="8" t="s">
        <v>93</v>
      </c>
      <c r="M8" s="9" t="str">
        <f>BradshawFerriss!N26</f>
        <v>RM3575B</v>
      </c>
      <c r="N8" s="9"/>
      <c r="O8" s="10"/>
      <c r="Q8" s="8" t="s">
        <v>93</v>
      </c>
      <c r="R8" s="9" t="str">
        <f>BradshawFerriss!N42</f>
        <v>RM3575C</v>
      </c>
      <c r="S8" s="9"/>
      <c r="T8" s="10"/>
      <c r="V8" s="8" t="s">
        <v>93</v>
      </c>
      <c r="W8" s="9" t="str">
        <f>AubertineEaton!N8</f>
        <v>AUBERTINE2005</v>
      </c>
      <c r="X8" s="9"/>
      <c r="Y8" s="10"/>
      <c r="AA8" s="8" t="s">
        <v>93</v>
      </c>
      <c r="AB8" s="9" t="str">
        <f>SkareKrogstad!O9</f>
        <v>SKARE1994</v>
      </c>
      <c r="AC8" s="9"/>
      <c r="AD8" s="10"/>
      <c r="AF8" s="8" t="s">
        <v>93</v>
      </c>
      <c r="AG8" s="9" t="str">
        <f>KaysAndMoffat!Q12</f>
        <v>ANDERSEN1972A</v>
      </c>
      <c r="AH8" s="9"/>
      <c r="AI8" s="10"/>
      <c r="AK8" s="8" t="s">
        <v>93</v>
      </c>
      <c r="AL8" s="9" t="str">
        <f>KaysAndMoffat!Q33</f>
        <v>ANDERSEN1972B</v>
      </c>
      <c r="AM8" s="9"/>
      <c r="AN8" s="10"/>
      <c r="AP8" s="8" t="s">
        <v>93</v>
      </c>
      <c r="AQ8" s="9" t="str">
        <f>KaysAndMoffat!Q54</f>
        <v>ANDERSEN1972C</v>
      </c>
      <c r="AR8" s="9"/>
      <c r="AS8" s="10"/>
    </row>
    <row r="9" spans="2:45" x14ac:dyDescent="0.2">
      <c r="B9" s="39" t="s">
        <v>165</v>
      </c>
      <c r="C9" s="40"/>
      <c r="D9" s="40"/>
      <c r="E9" s="41"/>
      <c r="G9" s="39" t="s">
        <v>165</v>
      </c>
      <c r="H9" s="40"/>
      <c r="I9" s="40"/>
      <c r="J9" s="41"/>
      <c r="L9" s="39" t="s">
        <v>165</v>
      </c>
      <c r="M9" s="40"/>
      <c r="N9" s="40"/>
      <c r="O9" s="41"/>
      <c r="Q9" s="39" t="s">
        <v>165</v>
      </c>
      <c r="R9" s="40"/>
      <c r="S9" s="40"/>
      <c r="T9" s="41"/>
      <c r="V9" s="39" t="s">
        <v>165</v>
      </c>
      <c r="W9" s="40"/>
      <c r="X9" s="40"/>
      <c r="Y9" s="41"/>
      <c r="AA9" s="39" t="s">
        <v>165</v>
      </c>
      <c r="AB9" s="40"/>
      <c r="AC9" s="40"/>
      <c r="AD9" s="41"/>
      <c r="AF9" s="39" t="s">
        <v>165</v>
      </c>
      <c r="AG9" s="40"/>
      <c r="AH9" s="40"/>
      <c r="AI9" s="41"/>
      <c r="AK9" s="39" t="s">
        <v>165</v>
      </c>
      <c r="AL9" s="40"/>
      <c r="AM9" s="40"/>
      <c r="AN9" s="41"/>
      <c r="AP9" s="39" t="s">
        <v>165</v>
      </c>
      <c r="AQ9" s="40"/>
      <c r="AR9" s="40"/>
      <c r="AS9" s="41"/>
    </row>
    <row r="10" spans="2:45" x14ac:dyDescent="0.2">
      <c r="B10" s="39"/>
      <c r="C10" s="40"/>
      <c r="D10" s="40"/>
      <c r="E10" s="41"/>
      <c r="G10" s="39"/>
      <c r="H10" s="40"/>
      <c r="I10" s="40"/>
      <c r="J10" s="41"/>
      <c r="L10" s="39"/>
      <c r="M10" s="40"/>
      <c r="N10" s="40"/>
      <c r="O10" s="41"/>
      <c r="Q10" s="39"/>
      <c r="R10" s="40"/>
      <c r="S10" s="40"/>
      <c r="T10" s="41"/>
      <c r="V10" s="39"/>
      <c r="W10" s="40"/>
      <c r="X10" s="40"/>
      <c r="Y10" s="41"/>
      <c r="AA10" s="39"/>
      <c r="AB10" s="40"/>
      <c r="AC10" s="40"/>
      <c r="AD10" s="41"/>
      <c r="AF10" s="39"/>
      <c r="AG10" s="40"/>
      <c r="AH10" s="40"/>
      <c r="AI10" s="41"/>
      <c r="AK10" s="39"/>
      <c r="AL10" s="40"/>
      <c r="AM10" s="40"/>
      <c r="AN10" s="41"/>
      <c r="AP10" s="39"/>
      <c r="AQ10" s="40"/>
      <c r="AR10" s="40"/>
      <c r="AS10" s="41"/>
    </row>
    <row r="11" spans="2:45" x14ac:dyDescent="0.2">
      <c r="B11" s="39"/>
      <c r="C11" s="40"/>
      <c r="D11" s="40"/>
      <c r="E11" s="41"/>
      <c r="G11" s="39"/>
      <c r="H11" s="40"/>
      <c r="I11" s="40"/>
      <c r="J11" s="41"/>
      <c r="L11" s="39"/>
      <c r="M11" s="40"/>
      <c r="N11" s="40"/>
      <c r="O11" s="41"/>
      <c r="Q11" s="39"/>
      <c r="R11" s="40"/>
      <c r="S11" s="40"/>
      <c r="T11" s="41"/>
      <c r="V11" s="39"/>
      <c r="W11" s="40"/>
      <c r="X11" s="40"/>
      <c r="Y11" s="41"/>
      <c r="AA11" s="39"/>
      <c r="AB11" s="40"/>
      <c r="AC11" s="40"/>
      <c r="AD11" s="41"/>
      <c r="AF11" s="39"/>
      <c r="AG11" s="40"/>
      <c r="AH11" s="40"/>
      <c r="AI11" s="41"/>
      <c r="AK11" s="39"/>
      <c r="AL11" s="40"/>
      <c r="AM11" s="40"/>
      <c r="AN11" s="41"/>
      <c r="AP11" s="39"/>
      <c r="AQ11" s="40"/>
      <c r="AR11" s="40"/>
      <c r="AS11" s="41"/>
    </row>
    <row r="12" spans="2:45" x14ac:dyDescent="0.2">
      <c r="B12" s="8" t="s">
        <v>0</v>
      </c>
      <c r="C12" s="9" t="s">
        <v>67</v>
      </c>
      <c r="D12" s="9" t="s">
        <v>152</v>
      </c>
      <c r="E12" s="10" t="s">
        <v>5</v>
      </c>
      <c r="G12" s="8" t="s">
        <v>0</v>
      </c>
      <c r="H12" s="9" t="s">
        <v>67</v>
      </c>
      <c r="I12" s="9" t="s">
        <v>152</v>
      </c>
      <c r="J12" s="10" t="s">
        <v>5</v>
      </c>
      <c r="L12" s="8" t="s">
        <v>0</v>
      </c>
      <c r="M12" s="9" t="s">
        <v>67</v>
      </c>
      <c r="N12" s="9" t="s">
        <v>152</v>
      </c>
      <c r="O12" s="10" t="s">
        <v>5</v>
      </c>
      <c r="Q12" s="8" t="s">
        <v>0</v>
      </c>
      <c r="R12" s="9" t="s">
        <v>67</v>
      </c>
      <c r="S12" s="9" t="s">
        <v>152</v>
      </c>
      <c r="T12" s="10" t="s">
        <v>5</v>
      </c>
      <c r="V12" s="8" t="s">
        <v>0</v>
      </c>
      <c r="W12" s="9" t="s">
        <v>67</v>
      </c>
      <c r="X12" s="9" t="s">
        <v>152</v>
      </c>
      <c r="Y12" s="10" t="s">
        <v>5</v>
      </c>
      <c r="AA12" s="8" t="s">
        <v>0</v>
      </c>
      <c r="AB12" s="9" t="s">
        <v>67</v>
      </c>
      <c r="AC12" s="9" t="s">
        <v>152</v>
      </c>
      <c r="AD12" s="10" t="s">
        <v>5</v>
      </c>
      <c r="AF12" s="8" t="s">
        <v>0</v>
      </c>
      <c r="AG12" s="9" t="s">
        <v>67</v>
      </c>
      <c r="AH12" s="9" t="s">
        <v>152</v>
      </c>
      <c r="AI12" s="10" t="s">
        <v>5</v>
      </c>
      <c r="AK12" s="8" t="s">
        <v>0</v>
      </c>
      <c r="AL12" s="9" t="s">
        <v>67</v>
      </c>
      <c r="AM12" s="9" t="s">
        <v>152</v>
      </c>
      <c r="AN12" s="10" t="s">
        <v>5</v>
      </c>
      <c r="AP12" s="8" t="s">
        <v>0</v>
      </c>
      <c r="AQ12" s="9" t="s">
        <v>67</v>
      </c>
      <c r="AR12" s="9" t="s">
        <v>152</v>
      </c>
      <c r="AS12" s="10" t="s">
        <v>5</v>
      </c>
    </row>
    <row r="13" spans="2:45" x14ac:dyDescent="0.2">
      <c r="B13" s="8" t="s">
        <v>66</v>
      </c>
      <c r="C13" s="9" t="s">
        <v>151</v>
      </c>
      <c r="D13" s="9" t="s">
        <v>66</v>
      </c>
      <c r="E13" s="10" t="s">
        <v>3</v>
      </c>
      <c r="G13" s="8" t="s">
        <v>66</v>
      </c>
      <c r="H13" s="9" t="s">
        <v>151</v>
      </c>
      <c r="I13" s="9" t="s">
        <v>66</v>
      </c>
      <c r="J13" s="10" t="s">
        <v>3</v>
      </c>
      <c r="L13" s="8" t="s">
        <v>66</v>
      </c>
      <c r="M13" s="9" t="s">
        <v>151</v>
      </c>
      <c r="N13" s="9" t="s">
        <v>66</v>
      </c>
      <c r="O13" s="10" t="s">
        <v>3</v>
      </c>
      <c r="Q13" s="8" t="s">
        <v>66</v>
      </c>
      <c r="R13" s="9" t="s">
        <v>151</v>
      </c>
      <c r="S13" s="9" t="s">
        <v>66</v>
      </c>
      <c r="T13" s="10" t="s">
        <v>3</v>
      </c>
      <c r="V13" s="8" t="s">
        <v>66</v>
      </c>
      <c r="W13" s="9" t="s">
        <v>151</v>
      </c>
      <c r="X13" s="9" t="s">
        <v>66</v>
      </c>
      <c r="Y13" s="10" t="s">
        <v>3</v>
      </c>
      <c r="AA13" s="8" t="s">
        <v>66</v>
      </c>
      <c r="AB13" s="9" t="s">
        <v>151</v>
      </c>
      <c r="AC13" s="9" t="s">
        <v>66</v>
      </c>
      <c r="AD13" s="10" t="s">
        <v>3</v>
      </c>
      <c r="AF13" s="8" t="s">
        <v>66</v>
      </c>
      <c r="AG13" s="9" t="s">
        <v>151</v>
      </c>
      <c r="AH13" s="9" t="s">
        <v>66</v>
      </c>
      <c r="AI13" s="10" t="s">
        <v>3</v>
      </c>
      <c r="AK13" s="8" t="s">
        <v>66</v>
      </c>
      <c r="AL13" s="9" t="s">
        <v>151</v>
      </c>
      <c r="AM13" s="9" t="s">
        <v>66</v>
      </c>
      <c r="AN13" s="10" t="s">
        <v>3</v>
      </c>
      <c r="AP13" s="8" t="s">
        <v>66</v>
      </c>
      <c r="AQ13" s="9" t="s">
        <v>151</v>
      </c>
      <c r="AR13" s="9" t="s">
        <v>66</v>
      </c>
      <c r="AS13" s="10" t="s">
        <v>3</v>
      </c>
    </row>
    <row r="14" spans="2:45" x14ac:dyDescent="0.2">
      <c r="B14" s="8">
        <f>'Schubauer and Klebanoff'!X15</f>
        <v>0.30480000000000002</v>
      </c>
      <c r="C14" s="9">
        <f>'Schubauer and Klebanoff'!Y15</f>
        <v>32.422468724759376</v>
      </c>
      <c r="D14" s="9">
        <f>'Schubauer and Klebanoff'!Z15</f>
        <v>8.1280000000000002E-4</v>
      </c>
      <c r="E14" s="10">
        <f>'Schubauer and Klebanoff'!AA15</f>
        <v>1.35</v>
      </c>
      <c r="G14" s="8">
        <f>BradshawFerriss!M15</f>
        <v>0.60959999999999992</v>
      </c>
      <c r="H14" s="9">
        <f>BradshawFerriss!N15</f>
        <v>38.291421212799087</v>
      </c>
      <c r="I14" s="9">
        <f>BradshawFerriss!O15</f>
        <v>1.40208E-3</v>
      </c>
      <c r="J14" s="10">
        <f>BradshawFerriss!P15</f>
        <v>1.46</v>
      </c>
      <c r="L14" s="8">
        <f>BradshawFerriss!M31</f>
        <v>0.60959999999999992</v>
      </c>
      <c r="M14" s="9">
        <f>BradshawFerriss!N31</f>
        <v>38.291421212799087</v>
      </c>
      <c r="N14" s="9">
        <f>BradshawFerriss!O31</f>
        <v>2.2453600000000001E-3</v>
      </c>
      <c r="O14" s="10">
        <f>BradshawFerriss!P31</f>
        <v>1.407</v>
      </c>
      <c r="Q14" s="8">
        <f>BradshawFerriss!M47</f>
        <v>0.60959999999999992</v>
      </c>
      <c r="R14" s="9">
        <f>BradshawFerriss!N47</f>
        <v>38.291421212799087</v>
      </c>
      <c r="S14" s="9">
        <f>BradshawFerriss!O47</f>
        <v>3.3019999999999998E-3</v>
      </c>
      <c r="T14" s="10">
        <f>BradshawFerriss!P47</f>
        <v>1.361</v>
      </c>
      <c r="V14" s="8">
        <f>AubertineEaton!M14</f>
        <v>-0.33</v>
      </c>
      <c r="W14" s="9">
        <f>AubertineEaton!N14</f>
        <v>20.48</v>
      </c>
      <c r="X14" s="9">
        <f>AubertineEaton!O14</f>
        <v>2.5099999999999996E-3</v>
      </c>
      <c r="Y14" s="10">
        <f>AubertineEaton!P14</f>
        <v>1.34</v>
      </c>
      <c r="AA14" s="8">
        <f>SkareKrogstad!N15</f>
        <v>3</v>
      </c>
      <c r="AB14" s="9">
        <f>SkareKrogstad!O15</f>
        <v>22.35</v>
      </c>
      <c r="AC14" s="9">
        <f>SkareKrogstad!P15</f>
        <v>1.7559999999999999E-2</v>
      </c>
      <c r="AD14" s="10">
        <f>SkareKrogstad!Q15</f>
        <v>1.7929999999999999</v>
      </c>
      <c r="AF14" s="8">
        <f>KaysAndMoffat!P18</f>
        <v>5.0799999999999998E-2</v>
      </c>
      <c r="AG14" s="9">
        <f>KaysAndMoffat!Q18</f>
        <v>9.5128080000000015</v>
      </c>
      <c r="AH14" s="9">
        <f>KaysAndMoffat!R18</f>
        <v>8.3312000000000002E-4</v>
      </c>
      <c r="AI14" s="10">
        <f>KaysAndMoffat!S18</f>
        <v>1.5365853658536583</v>
      </c>
      <c r="AK14" s="8">
        <f>KaysAndMoffat!P39</f>
        <v>5.0799999999999998E-2</v>
      </c>
      <c r="AL14" s="9">
        <f>KaysAndMoffat!Q39</f>
        <v>9.049512</v>
      </c>
      <c r="AM14" s="9">
        <f>KaysAndMoffat!R39</f>
        <v>9.0678000000000004E-4</v>
      </c>
      <c r="AN14" s="10">
        <f>KaysAndMoffat!S39</f>
        <v>1.5574229691876749</v>
      </c>
      <c r="AP14" s="8">
        <f>KaysAndMoffat!P60</f>
        <v>5.0799999999999998E-2</v>
      </c>
      <c r="AQ14" s="9">
        <f>KaysAndMoffat!Q60</f>
        <v>8.8788239999999998</v>
      </c>
      <c r="AR14" s="9">
        <f>KaysAndMoffat!R60</f>
        <v>9.1186000000000001E-4</v>
      </c>
      <c r="AS14" s="10">
        <f>KaysAndMoffat!S60</f>
        <v>1.5626740947075208</v>
      </c>
    </row>
    <row r="15" spans="2:45" x14ac:dyDescent="0.2">
      <c r="B15" s="8">
        <f>'Schubauer and Klebanoff'!X16</f>
        <v>0.45720000000000005</v>
      </c>
      <c r="C15" s="9">
        <f>'Schubauer and Klebanoff'!Y16</f>
        <v>34.067860192738848</v>
      </c>
      <c r="D15" s="9">
        <f>'Schubauer and Klebanoff'!Z16</f>
        <v>9.3979999999999997E-4</v>
      </c>
      <c r="E15" s="10">
        <f>'Schubauer and Klebanoff'!AA16</f>
        <v>1.38</v>
      </c>
      <c r="G15" s="8">
        <f>BradshawFerriss!M16</f>
        <v>0.76200000000000001</v>
      </c>
      <c r="H15" s="9">
        <f>BradshawFerriss!N16</f>
        <v>36.722012556612412</v>
      </c>
      <c r="I15" s="9">
        <f>BradshawFerriss!O16</f>
        <v>1.8973799999999999E-3</v>
      </c>
      <c r="J15" s="10">
        <f>BradshawFerriss!P16</f>
        <v>1.411</v>
      </c>
      <c r="L15" s="8">
        <f>BradshawFerriss!M32</f>
        <v>0.76200000000000001</v>
      </c>
      <c r="M15" s="9">
        <f>BradshawFerriss!N32</f>
        <v>36.722012556612412</v>
      </c>
      <c r="N15" s="9">
        <f>BradshawFerriss!O32</f>
        <v>2.8447999999999998E-3</v>
      </c>
      <c r="O15" s="10">
        <f>BradshawFerriss!P32</f>
        <v>1.4</v>
      </c>
      <c r="Q15" s="8">
        <f>BradshawFerriss!M48</f>
        <v>0.76200000000000001</v>
      </c>
      <c r="R15" s="9">
        <f>BradshawFerriss!N48</f>
        <v>36.722012556612412</v>
      </c>
      <c r="S15" s="9">
        <f>BradshawFerriss!O48</f>
        <v>3.9115999999999995E-3</v>
      </c>
      <c r="T15" s="10">
        <f>BradshawFerriss!P48</f>
        <v>1.403</v>
      </c>
      <c r="V15" s="8">
        <f>AubertineEaton!M15</f>
        <v>0</v>
      </c>
      <c r="W15" s="9">
        <f>AubertineEaton!N15</f>
        <v>20.62</v>
      </c>
      <c r="X15" s="9">
        <f>AubertineEaton!O15</f>
        <v>2.1700000000000001E-3</v>
      </c>
      <c r="Y15" s="10">
        <f>AubertineEaton!P15</f>
        <v>1.29</v>
      </c>
      <c r="AA15" s="8">
        <f>SkareKrogstad!N16</f>
        <v>3.2</v>
      </c>
      <c r="AB15" s="9">
        <f>SkareKrogstad!O16</f>
        <v>21.92</v>
      </c>
      <c r="AC15" s="9">
        <f>SkareKrogstad!P16</f>
        <v>2.0140000000000002E-2</v>
      </c>
      <c r="AD15" s="10">
        <f>SkareKrogstad!Q16</f>
        <v>1.84</v>
      </c>
      <c r="AF15" s="8">
        <f>KaysAndMoffat!P19</f>
        <v>0.254</v>
      </c>
      <c r="AG15" s="9">
        <f>KaysAndMoffat!Q19</f>
        <v>9.4884240000000002</v>
      </c>
      <c r="AH15" s="9">
        <f>KaysAndMoffat!R19</f>
        <v>1.3233399999999999E-3</v>
      </c>
      <c r="AI15" s="10">
        <f>KaysAndMoffat!S19</f>
        <v>1.4817658349328215</v>
      </c>
      <c r="AK15" s="8">
        <f>KaysAndMoffat!P40</f>
        <v>0.254</v>
      </c>
      <c r="AL15" s="9">
        <f>KaysAndMoffat!Q40</f>
        <v>8.2082639999999998</v>
      </c>
      <c r="AM15" s="9">
        <f>KaysAndMoffat!R40</f>
        <v>1.82372E-3</v>
      </c>
      <c r="AN15" s="10">
        <f>KaysAndMoffat!S40</f>
        <v>1.5849582172701948</v>
      </c>
      <c r="AP15" s="8">
        <f>KaysAndMoffat!P61</f>
        <v>0.254</v>
      </c>
      <c r="AQ15" s="9">
        <f>KaysAndMoffat!Q61</f>
        <v>7.8333599999999999</v>
      </c>
      <c r="AR15" s="9">
        <f>KaysAndMoffat!R61</f>
        <v>1.9557999999999997E-3</v>
      </c>
      <c r="AS15" s="10">
        <f>KaysAndMoffat!S61</f>
        <v>1.6064935064935066</v>
      </c>
    </row>
    <row r="16" spans="2:45" x14ac:dyDescent="0.2">
      <c r="B16" s="8">
        <f>'Schubauer and Klebanoff'!X17</f>
        <v>0.60960000000000003</v>
      </c>
      <c r="C16" s="9">
        <f>'Schubauer and Klebanoff'!Y17</f>
        <v>35.637364072220606</v>
      </c>
      <c r="D16" s="9">
        <f>'Schubauer and Klebanoff'!Z17</f>
        <v>1.0668000000000001E-3</v>
      </c>
      <c r="E16" s="10">
        <f>'Schubauer and Klebanoff'!AA17</f>
        <v>1.38</v>
      </c>
      <c r="G16" s="8">
        <f>BradshawFerriss!M17</f>
        <v>0.91439999999999999</v>
      </c>
      <c r="H16" s="9">
        <f>BradshawFerriss!N17</f>
        <v>35.00611744846892</v>
      </c>
      <c r="I16" s="9">
        <f>BradshawFerriss!O17</f>
        <v>2.6466799999999998E-3</v>
      </c>
      <c r="J16" s="10">
        <f>BradshawFerriss!P17</f>
        <v>1.4510000000000001</v>
      </c>
      <c r="L16" s="8">
        <f>BradshawFerriss!M33</f>
        <v>0.91439999999999999</v>
      </c>
      <c r="M16" s="9">
        <f>BradshawFerriss!N33</f>
        <v>35.00611744846892</v>
      </c>
      <c r="N16" s="9">
        <f>BradshawFerriss!O33</f>
        <v>3.4798000000000003E-3</v>
      </c>
      <c r="O16" s="10">
        <f>BradshawFerriss!P33</f>
        <v>1.462</v>
      </c>
      <c r="Q16" s="8">
        <f>BradshawFerriss!M49</f>
        <v>0.91439999999999999</v>
      </c>
      <c r="R16" s="9">
        <f>BradshawFerriss!N49</f>
        <v>35.00611744846892</v>
      </c>
      <c r="S16" s="9">
        <f>BradshawFerriss!O49</f>
        <v>5.0546000000000002E-3</v>
      </c>
      <c r="T16" s="10">
        <f>BradshawFerriss!P49</f>
        <v>1.37</v>
      </c>
      <c r="V16" s="8">
        <f>AubertineEaton!M16</f>
        <v>0.25</v>
      </c>
      <c r="W16" s="9">
        <f>AubertineEaton!N16</f>
        <v>19.87</v>
      </c>
      <c r="X16" s="9">
        <f>AubertineEaton!O16</f>
        <v>3.0999999999999999E-3</v>
      </c>
      <c r="Y16" s="10">
        <f>AubertineEaton!P16</f>
        <v>1.39</v>
      </c>
      <c r="AA16" s="8">
        <f>SkareKrogstad!N17</f>
        <v>3.4</v>
      </c>
      <c r="AB16" s="9">
        <f>SkareKrogstad!O17</f>
        <v>21.21</v>
      </c>
      <c r="AC16" s="9">
        <f>SkareKrogstad!P17</f>
        <v>2.2600000000000002E-2</v>
      </c>
      <c r="AD16" s="10">
        <f>SkareKrogstad!Q17</f>
        <v>1.901</v>
      </c>
      <c r="AF16" s="8">
        <f>KaysAndMoffat!P20</f>
        <v>0.55879999999999996</v>
      </c>
      <c r="AG16" s="9">
        <f>KaysAndMoffat!Q20</f>
        <v>9.4914719999999999</v>
      </c>
      <c r="AH16" s="9">
        <f>KaysAndMoffat!R20</f>
        <v>1.9507199999999998E-3</v>
      </c>
      <c r="AI16" s="10">
        <f>KaysAndMoffat!S20</f>
        <v>1.4778645833333335</v>
      </c>
      <c r="AK16" s="8">
        <f>KaysAndMoffat!P41</f>
        <v>0.55879999999999996</v>
      </c>
      <c r="AL16" s="9">
        <f>KaysAndMoffat!Q41</f>
        <v>7.4889360000000007</v>
      </c>
      <c r="AM16" s="9">
        <f>KaysAndMoffat!R41</f>
        <v>3.1445199999999996E-3</v>
      </c>
      <c r="AN16" s="10">
        <f>KaysAndMoffat!S41</f>
        <v>1.5638126009693054</v>
      </c>
      <c r="AP16" s="8">
        <f>KaysAndMoffat!P62</f>
        <v>0.55879999999999996</v>
      </c>
      <c r="AQ16" s="9">
        <f>KaysAndMoffat!Q62</f>
        <v>6.8000879999999997</v>
      </c>
      <c r="AR16" s="9">
        <f>KaysAndMoffat!R62</f>
        <v>3.7998400000000001E-3</v>
      </c>
      <c r="AS16" s="10">
        <f>KaysAndMoffat!S62</f>
        <v>1.6564171122994651</v>
      </c>
    </row>
    <row r="17" spans="2:45" x14ac:dyDescent="0.2">
      <c r="B17" s="8">
        <f>'Schubauer and Klebanoff'!X18</f>
        <v>0.76200000000000001</v>
      </c>
      <c r="C17" s="9">
        <f>'Schubauer and Klebanoff'!Y18</f>
        <v>37.012309663461963</v>
      </c>
      <c r="D17" s="9">
        <f>'Schubauer and Klebanoff'!Z18</f>
        <v>1.1937999999999999E-3</v>
      </c>
      <c r="E17" s="10">
        <f>'Schubauer and Klebanoff'!AA18</f>
        <v>1.34</v>
      </c>
      <c r="G17" s="8">
        <f>BradshawFerriss!M18</f>
        <v>1.0668</v>
      </c>
      <c r="H17" s="9">
        <f>BradshawFerriss!N18</f>
        <v>33.76105473992186</v>
      </c>
      <c r="I17" s="9">
        <f>BradshawFerriss!O18</f>
        <v>3.2283399999999997E-3</v>
      </c>
      <c r="J17" s="10">
        <f>BradshawFerriss!P18</f>
        <v>1.5</v>
      </c>
      <c r="L17" s="8">
        <f>BradshawFerriss!M34</f>
        <v>1.0668</v>
      </c>
      <c r="M17" s="9">
        <f>BradshawFerriss!N34</f>
        <v>33.76105473992186</v>
      </c>
      <c r="N17" s="9">
        <f>BradshawFerriss!O34</f>
        <v>4.2672000000000005E-3</v>
      </c>
      <c r="O17" s="10">
        <f>BradshawFerriss!P34</f>
        <v>1.488</v>
      </c>
      <c r="Q17" s="8">
        <f>BradshawFerriss!M50</f>
        <v>1.0668</v>
      </c>
      <c r="R17" s="9">
        <f>BradshawFerriss!N50</f>
        <v>33.76105473992186</v>
      </c>
      <c r="S17" s="9">
        <f>BradshawFerriss!O50</f>
        <v>5.7657999999999997E-3</v>
      </c>
      <c r="T17" s="10">
        <f>BradshawFerriss!P50</f>
        <v>1.466</v>
      </c>
      <c r="V17" s="8">
        <f>AubertineEaton!M17</f>
        <v>0.33</v>
      </c>
      <c r="W17" s="9">
        <f>AubertineEaton!N17</f>
        <v>19.600000000000001</v>
      </c>
      <c r="X17" s="9">
        <f>AubertineEaton!O17</f>
        <v>3.32E-3</v>
      </c>
      <c r="Y17" s="10">
        <f>AubertineEaton!P17</f>
        <v>1.39</v>
      </c>
      <c r="AA17" s="8">
        <f>SkareKrogstad!N18</f>
        <v>3.6</v>
      </c>
      <c r="AB17" s="9">
        <f>SkareKrogstad!O18</f>
        <v>20.53</v>
      </c>
      <c r="AC17" s="9">
        <f>SkareKrogstad!P18</f>
        <v>2.4840000000000001E-2</v>
      </c>
      <c r="AD17" s="10">
        <f>SkareKrogstad!Q18</f>
        <v>1.9359999999999999</v>
      </c>
      <c r="AF17" s="8">
        <f>KaysAndMoffat!P21</f>
        <v>0.86359999999999992</v>
      </c>
      <c r="AG17" s="9">
        <f>KaysAndMoffat!Q21</f>
        <v>9.4640400000000007</v>
      </c>
      <c r="AH17" s="9">
        <f>KaysAndMoffat!R21</f>
        <v>2.4815799999999997E-3</v>
      </c>
      <c r="AI17" s="10">
        <f>KaysAndMoffat!S21</f>
        <v>1.4452405322415558</v>
      </c>
      <c r="AK17" s="8">
        <f>KaysAndMoffat!P42</f>
        <v>0.86359999999999992</v>
      </c>
      <c r="AL17" s="9">
        <f>KaysAndMoffat!Q42</f>
        <v>7.0896480000000004</v>
      </c>
      <c r="AM17" s="9">
        <f>KaysAndMoffat!R42</f>
        <v>4.3179999999999998E-3</v>
      </c>
      <c r="AN17" s="10">
        <f>KaysAndMoffat!S42</f>
        <v>1.5388235294117647</v>
      </c>
      <c r="AP17" s="8">
        <f>KaysAndMoffat!P63</f>
        <v>0.86359999999999992</v>
      </c>
      <c r="AQ17" s="9">
        <f>KaysAndMoffat!Q63</f>
        <v>6.2575440000000011</v>
      </c>
      <c r="AR17" s="9">
        <f>KaysAndMoffat!R63</f>
        <v>5.5753E-3</v>
      </c>
      <c r="AS17" s="10">
        <f>KaysAndMoffat!S63</f>
        <v>1.6528473804100228</v>
      </c>
    </row>
    <row r="18" spans="2:45" x14ac:dyDescent="0.2">
      <c r="B18" s="8">
        <f>'Schubauer and Klebanoff'!X19</f>
        <v>0.9144000000000001</v>
      </c>
      <c r="C18" s="9">
        <f>'Schubauer and Klebanoff'!Y19</f>
        <v>38.461847154394441</v>
      </c>
      <c r="D18" s="9">
        <f>'Schubauer and Klebanoff'!Z19</f>
        <v>1.2191999999999999E-3</v>
      </c>
      <c r="E18" s="10">
        <f>'Schubauer and Klebanoff'!AA19</f>
        <v>1.4</v>
      </c>
      <c r="G18" s="8">
        <f>BradshawFerriss!M19</f>
        <v>1.2191999999999998</v>
      </c>
      <c r="H18" s="9">
        <f>BradshawFerriss!N19</f>
        <v>32.653171507098662</v>
      </c>
      <c r="I18" s="9">
        <f>BradshawFerriss!O19</f>
        <v>3.5687000000000002E-3</v>
      </c>
      <c r="J18" s="10">
        <f>BradshawFerriss!P19</f>
        <v>1.5</v>
      </c>
      <c r="L18" s="8">
        <f>BradshawFerriss!M35</f>
        <v>1.2191999999999998</v>
      </c>
      <c r="M18" s="9">
        <f>BradshawFerriss!N35</f>
        <v>32.653171507098662</v>
      </c>
      <c r="N18" s="9">
        <f>BradshawFerriss!O35</f>
        <v>4.9529999999999999E-3</v>
      </c>
      <c r="O18" s="10">
        <f>BradshawFerriss!P35</f>
        <v>1.4670000000000001</v>
      </c>
      <c r="Q18" s="8">
        <f>BradshawFerriss!M51</f>
        <v>1.2191999999999998</v>
      </c>
      <c r="R18" s="9">
        <f>BradshawFerriss!N51</f>
        <v>32.653171507098662</v>
      </c>
      <c r="S18" s="9">
        <f>BradshawFerriss!O51</f>
        <v>6.5785999999999996E-3</v>
      </c>
      <c r="T18" s="10">
        <f>BradshawFerriss!P51</f>
        <v>1.4510000000000001</v>
      </c>
      <c r="V18" s="8">
        <f>AubertineEaton!M18</f>
        <v>0.5</v>
      </c>
      <c r="W18" s="9">
        <f>AubertineEaton!N18</f>
        <v>19.2</v>
      </c>
      <c r="X18" s="9">
        <f>AubertineEaton!O18</f>
        <v>3.7799999999999999E-3</v>
      </c>
      <c r="Y18" s="10">
        <f>AubertineEaton!P18</f>
        <v>1.42</v>
      </c>
      <c r="AA18" s="8">
        <f>SkareKrogstad!N19</f>
        <v>3.8</v>
      </c>
      <c r="AB18" s="9">
        <f>SkareKrogstad!O19</f>
        <v>20.100000000000001</v>
      </c>
      <c r="AC18" s="9">
        <f>SkareKrogstad!P19</f>
        <v>2.7030000000000002E-2</v>
      </c>
      <c r="AD18" s="10">
        <f>SkareKrogstad!Q19</f>
        <v>1.9570000000000001</v>
      </c>
      <c r="AF18" s="8">
        <f>KaysAndMoffat!P22</f>
        <v>1.1683999999999999</v>
      </c>
      <c r="AG18" s="9">
        <f>KaysAndMoffat!Q22</f>
        <v>9.460992000000001</v>
      </c>
      <c r="AH18" s="9">
        <f>KaysAndMoffat!R22</f>
        <v>3.0098999999999998E-3</v>
      </c>
      <c r="AI18" s="10">
        <f>KaysAndMoffat!S22</f>
        <v>1.4421940928270043</v>
      </c>
      <c r="AK18" s="8">
        <f>KaysAndMoffat!P43</f>
        <v>1.1683999999999999</v>
      </c>
      <c r="AL18" s="9">
        <f>KaysAndMoffat!Q43</f>
        <v>6.7878959999999999</v>
      </c>
      <c r="AM18" s="9">
        <f>KaysAndMoffat!R43</f>
        <v>5.5270399999999996E-3</v>
      </c>
      <c r="AN18" s="10">
        <f>KaysAndMoffat!S43</f>
        <v>1.5422794117647061</v>
      </c>
      <c r="AP18" s="8">
        <f>KaysAndMoffat!P64</f>
        <v>1.1683999999999999</v>
      </c>
      <c r="AQ18" s="9">
        <f>KaysAndMoffat!Q64</f>
        <v>5.9100720000000004</v>
      </c>
      <c r="AR18" s="9">
        <f>KaysAndMoffat!R64</f>
        <v>7.2034400000000002E-3</v>
      </c>
      <c r="AS18" s="10">
        <f>KaysAndMoffat!S64</f>
        <v>1.6442172073342736</v>
      </c>
    </row>
    <row r="19" spans="2:45" x14ac:dyDescent="0.2">
      <c r="B19" s="8">
        <f>'Schubauer and Klebanoff'!X20</f>
        <v>1.0668</v>
      </c>
      <c r="C19" s="9">
        <f>'Schubauer and Klebanoff'!Y20</f>
        <v>39.858704274373999</v>
      </c>
      <c r="D19" s="9">
        <f>'Schubauer and Klebanoff'!Z20</f>
        <v>1.397E-3</v>
      </c>
      <c r="E19" s="10">
        <f>'Schubauer and Klebanoff'!AA20</f>
        <v>1.38</v>
      </c>
      <c r="G19" s="8">
        <f>BradshawFerriss!M20</f>
        <v>1.524</v>
      </c>
      <c r="H19" s="9">
        <f>BradshawFerriss!N20</f>
        <v>30.906178930175113</v>
      </c>
      <c r="I19" s="9">
        <f>BradshawFerriss!O20</f>
        <v>4.7371000000000002E-3</v>
      </c>
      <c r="J19" s="10">
        <f>BradshawFerriss!P20</f>
        <v>1.4650000000000001</v>
      </c>
      <c r="L19" s="8">
        <f>BradshawFerriss!M36</f>
        <v>1.524</v>
      </c>
      <c r="M19" s="9">
        <f>BradshawFerriss!N36</f>
        <v>30.906178930175113</v>
      </c>
      <c r="N19" s="9">
        <f>BradshawFerriss!O36</f>
        <v>6.4770000000000001E-3</v>
      </c>
      <c r="O19" s="10">
        <f>BradshawFerriss!P36</f>
        <v>1.4710000000000001</v>
      </c>
      <c r="Q19" s="8">
        <f>BradshawFerriss!M52</f>
        <v>1.524</v>
      </c>
      <c r="R19" s="9">
        <f>BradshawFerriss!N52</f>
        <v>30.906178930175113</v>
      </c>
      <c r="S19" s="9">
        <f>BradshawFerriss!O52</f>
        <v>8.3566000000000005E-3</v>
      </c>
      <c r="T19" s="10">
        <f>BradshawFerriss!P52</f>
        <v>1.4770000000000001</v>
      </c>
      <c r="V19" s="8">
        <f>AubertineEaton!M19</f>
        <v>0.67</v>
      </c>
      <c r="W19" s="9">
        <f>AubertineEaton!N19</f>
        <v>18.8</v>
      </c>
      <c r="X19" s="9">
        <f>AubertineEaton!O19</f>
        <v>4.2399999999999998E-3</v>
      </c>
      <c r="Y19" s="10">
        <f>AubertineEaton!P19</f>
        <v>1.46</v>
      </c>
      <c r="AA19" s="8">
        <f>SkareKrogstad!N20</f>
        <v>4</v>
      </c>
      <c r="AB19" s="9">
        <f>SkareKrogstad!O20</f>
        <v>19.809999999999999</v>
      </c>
      <c r="AC19" s="9">
        <f>SkareKrogstad!P20</f>
        <v>3.0130000000000001E-2</v>
      </c>
      <c r="AD19" s="10">
        <f>SkareKrogstad!Q20</f>
        <v>2.0059999999999998</v>
      </c>
      <c r="AF19" s="8">
        <f>KaysAndMoffat!P23</f>
        <v>1.4731999999999998</v>
      </c>
      <c r="AG19" s="9">
        <f>KaysAndMoffat!Q23</f>
        <v>9.4884240000000002</v>
      </c>
      <c r="AH19" s="9">
        <f>KaysAndMoffat!R23</f>
        <v>3.4924999999999999E-3</v>
      </c>
      <c r="AI19" s="10">
        <f>KaysAndMoffat!S23</f>
        <v>1.4312727272727273</v>
      </c>
      <c r="AK19" s="8">
        <f>KaysAndMoffat!P44</f>
        <v>1.4731999999999998</v>
      </c>
      <c r="AL19" s="9">
        <f>KaysAndMoffat!Q44</f>
        <v>6.5105279999999999</v>
      </c>
      <c r="AM19" s="9">
        <f>KaysAndMoffat!R44</f>
        <v>6.5836799999999997E-3</v>
      </c>
      <c r="AN19" s="10">
        <f>KaysAndMoffat!S44</f>
        <v>1.517746913580247</v>
      </c>
      <c r="AP19" s="8">
        <f>KaysAndMoffat!P65</f>
        <v>1.4731999999999998</v>
      </c>
      <c r="AQ19" s="9">
        <f>KaysAndMoffat!Q65</f>
        <v>5.6540400000000002</v>
      </c>
      <c r="AR19" s="9">
        <f>KaysAndMoffat!R65</f>
        <v>8.6512399999999993E-3</v>
      </c>
      <c r="AS19" s="10">
        <f>KaysAndMoffat!S65</f>
        <v>1.6139166177334114</v>
      </c>
    </row>
    <row r="20" spans="2:45" x14ac:dyDescent="0.2">
      <c r="B20" s="8">
        <f>'Schubauer and Klebanoff'!X21</f>
        <v>1.3716000000000002</v>
      </c>
      <c r="C20" s="9">
        <f>'Schubauer and Klebanoff'!Y21</f>
        <v>42.402927669489991</v>
      </c>
      <c r="D20" s="9">
        <f>'Schubauer and Klebanoff'!Z21</f>
        <v>1.3715999999999999E-3</v>
      </c>
      <c r="E20" s="10">
        <f>'Schubauer and Klebanoff'!AA21</f>
        <v>1.39</v>
      </c>
      <c r="G20" s="8">
        <f>BradshawFerriss!M21</f>
        <v>1.8288</v>
      </c>
      <c r="H20" s="9">
        <f>BradshawFerriss!N21</f>
        <v>29.511188694730684</v>
      </c>
      <c r="I20" s="9">
        <f>BradshawFerriss!O21</f>
        <v>6.1188599999999994E-3</v>
      </c>
      <c r="J20" s="10">
        <f>BradshawFerriss!P21</f>
        <v>1.472</v>
      </c>
      <c r="L20" s="8">
        <f>BradshawFerriss!M37</f>
        <v>1.8288</v>
      </c>
      <c r="M20" s="9">
        <f>BradshawFerriss!N37</f>
        <v>29.511188694730684</v>
      </c>
      <c r="N20" s="9">
        <f>BradshawFerriss!O37</f>
        <v>8.0009999999999994E-3</v>
      </c>
      <c r="O20" s="10">
        <f>BradshawFerriss!P37</f>
        <v>1.488</v>
      </c>
      <c r="Q20" s="8">
        <f>BradshawFerriss!M53</f>
        <v>1.8288</v>
      </c>
      <c r="R20" s="9">
        <f>BradshawFerriss!N53</f>
        <v>29.511188694730684</v>
      </c>
      <c r="S20" s="9">
        <f>BradshawFerriss!O53</f>
        <v>1.0033E-2</v>
      </c>
      <c r="T20" s="10">
        <f>BradshawFerriss!P53</f>
        <v>1.532</v>
      </c>
      <c r="V20" s="8">
        <f>AubertineEaton!M20</f>
        <v>0.75</v>
      </c>
      <c r="W20" s="9">
        <f>AubertineEaton!N20</f>
        <v>18.71</v>
      </c>
      <c r="X20" s="9">
        <f>AubertineEaton!O20</f>
        <v>4.5999999999999999E-3</v>
      </c>
      <c r="Y20" s="10">
        <f>AubertineEaton!P20</f>
        <v>1.48</v>
      </c>
      <c r="AA20" s="8">
        <f>SkareKrogstad!N21</f>
        <v>4.2</v>
      </c>
      <c r="AB20" s="9">
        <f>SkareKrogstad!O21</f>
        <v>19.420000000000002</v>
      </c>
      <c r="AC20" s="9">
        <f>SkareKrogstad!P21</f>
        <v>3.2539999999999999E-2</v>
      </c>
      <c r="AD20" s="10">
        <f>SkareKrogstad!Q21</f>
        <v>1.9990000000000001</v>
      </c>
      <c r="AF20" s="8">
        <f>KaysAndMoffat!P24</f>
        <v>1.778</v>
      </c>
      <c r="AG20" s="9">
        <f>KaysAndMoffat!Q24</f>
        <v>9.460992000000001</v>
      </c>
      <c r="AH20" s="9">
        <f>KaysAndMoffat!R24</f>
        <v>4.0233600000000001E-3</v>
      </c>
      <c r="AI20" s="10">
        <f>KaysAndMoffat!S24</f>
        <v>1.4236111111111109</v>
      </c>
      <c r="AK20" s="8">
        <f>KaysAndMoffat!P45</f>
        <v>1.778</v>
      </c>
      <c r="AL20" s="9">
        <f>KaysAndMoffat!Q45</f>
        <v>6.3215519999999996</v>
      </c>
      <c r="AM20" s="9">
        <f>KaysAndMoffat!R45</f>
        <v>7.7444599999999999E-3</v>
      </c>
      <c r="AN20" s="10">
        <f>KaysAndMoffat!S45</f>
        <v>1.5119711380780585</v>
      </c>
      <c r="AP20" s="8">
        <f>KaysAndMoffat!P66</f>
        <v>1.778</v>
      </c>
      <c r="AQ20" s="9">
        <f>KaysAndMoffat!Q66</f>
        <v>5.4772559999999997</v>
      </c>
      <c r="AR20" s="9">
        <f>KaysAndMoffat!R66</f>
        <v>1.0035539999999999E-2</v>
      </c>
      <c r="AS20" s="10">
        <f>KaysAndMoffat!S66</f>
        <v>1.5922551252847379</v>
      </c>
    </row>
    <row r="21" spans="2:45" x14ac:dyDescent="0.2">
      <c r="B21" s="8">
        <f>'Schubauer and Klebanoff'!X22</f>
        <v>1.6764000000000001</v>
      </c>
      <c r="C21" s="9">
        <f>'Schubauer and Klebanoff'!Y22</f>
        <v>45.25186898310389</v>
      </c>
      <c r="D21" s="9">
        <f>'Schubauer and Klebanoff'!Z22</f>
        <v>1.6256E-3</v>
      </c>
      <c r="E21" s="10">
        <f>'Schubauer and Klebanoff'!AA22</f>
        <v>1.36</v>
      </c>
      <c r="G21" s="11">
        <f>BradshawFerriss!M22</f>
        <v>2.1335999999999999</v>
      </c>
      <c r="H21" s="12">
        <f>BradshawFerriss!N22</f>
        <v>28.331647774176499</v>
      </c>
      <c r="I21" s="12">
        <f>BradshawFerriss!O22</f>
        <v>7.3964800000000004E-3</v>
      </c>
      <c r="J21" s="13">
        <f>BradshawFerriss!P22</f>
        <v>1.4950000000000001</v>
      </c>
      <c r="L21" s="11">
        <f>BradshawFerriss!M38</f>
        <v>2.1335999999999999</v>
      </c>
      <c r="M21" s="12">
        <f>BradshawFerriss!N38</f>
        <v>28.331647774176499</v>
      </c>
      <c r="N21" s="12">
        <f>BradshawFerriss!O38</f>
        <v>9.3217999999999999E-3</v>
      </c>
      <c r="O21" s="13">
        <f>BradshawFerriss!P38</f>
        <v>1.5149999999999999</v>
      </c>
      <c r="Q21" s="11">
        <f>BradshawFerriss!M54</f>
        <v>2.1335999999999999</v>
      </c>
      <c r="R21" s="12">
        <f>BradshawFerriss!N54</f>
        <v>28.331647774176499</v>
      </c>
      <c r="S21" s="12">
        <f>BradshawFerriss!O54</f>
        <v>1.1455399999999999E-2</v>
      </c>
      <c r="T21" s="13">
        <f>BradshawFerriss!P54</f>
        <v>1.5429999999999999</v>
      </c>
      <c r="V21" s="8">
        <f>AubertineEaton!M21</f>
        <v>1</v>
      </c>
      <c r="W21" s="9">
        <f>AubertineEaton!N21</f>
        <v>18.23</v>
      </c>
      <c r="X21" s="9">
        <f>AubertineEaton!O21</f>
        <v>5.6600000000000001E-3</v>
      </c>
      <c r="Y21" s="10">
        <f>AubertineEaton!P21</f>
        <v>1.56</v>
      </c>
      <c r="AA21" s="8">
        <f>SkareKrogstad!N22</f>
        <v>4.4000000000000004</v>
      </c>
      <c r="AB21" s="9">
        <f>SkareKrogstad!O22</f>
        <v>19.38</v>
      </c>
      <c r="AC21" s="9">
        <f>SkareKrogstad!P22</f>
        <v>3.483E-2</v>
      </c>
      <c r="AD21" s="10">
        <f>SkareKrogstad!Q22</f>
        <v>1.9890000000000001</v>
      </c>
      <c r="AF21" s="8">
        <f>KaysAndMoffat!P25</f>
        <v>2.0827999999999998</v>
      </c>
      <c r="AG21" s="9">
        <f>KaysAndMoffat!Q25</f>
        <v>9.4701360000000001</v>
      </c>
      <c r="AH21" s="9">
        <f>KaysAndMoffat!R25</f>
        <v>4.55676E-3</v>
      </c>
      <c r="AI21" s="10">
        <f>KaysAndMoffat!S25</f>
        <v>1.411928651059086</v>
      </c>
      <c r="AK21" s="8">
        <f>KaysAndMoffat!P46</f>
        <v>2.0827999999999998</v>
      </c>
      <c r="AL21" s="9">
        <f>KaysAndMoffat!Q46</f>
        <v>6.2026800000000009</v>
      </c>
      <c r="AM21" s="9">
        <f>KaysAndMoffat!R46</f>
        <v>8.6842599999999992E-3</v>
      </c>
      <c r="AN21" s="10">
        <f>KaysAndMoffat!S46</f>
        <v>1.4940040947645512</v>
      </c>
      <c r="AP21" s="8">
        <f>KaysAndMoffat!P67</f>
        <v>2.0827999999999998</v>
      </c>
      <c r="AQ21" s="9">
        <f>KaysAndMoffat!Q67</f>
        <v>5.309616000000001</v>
      </c>
      <c r="AR21" s="9">
        <f>KaysAndMoffat!R67</f>
        <v>1.166114E-2</v>
      </c>
      <c r="AS21" s="10">
        <f>KaysAndMoffat!S67</f>
        <v>1.5820082770638204</v>
      </c>
    </row>
    <row r="22" spans="2:45" x14ac:dyDescent="0.2">
      <c r="B22" s="8">
        <f>'Schubauer and Klebanoff'!X23</f>
        <v>1.9812000000000001</v>
      </c>
      <c r="C22" s="9">
        <f>'Schubauer and Klebanoff'!Y23</f>
        <v>46.852826505473502</v>
      </c>
      <c r="D22" s="9">
        <f>'Schubauer and Klebanoff'!Z23</f>
        <v>1.8287999999999998E-3</v>
      </c>
      <c r="E22" s="10">
        <f>'Schubauer and Klebanoff'!AA23</f>
        <v>1.35</v>
      </c>
      <c r="V22" s="8">
        <f>AubertineEaton!M22</f>
        <v>1.33</v>
      </c>
      <c r="W22" s="9">
        <f>AubertineEaton!N22</f>
        <v>18.260000000000002</v>
      </c>
      <c r="X22" s="9">
        <f>AubertineEaton!O22</f>
        <v>5.3699999999999998E-3</v>
      </c>
      <c r="Y22" s="10">
        <f>AubertineEaton!P22</f>
        <v>1.47</v>
      </c>
      <c r="AA22" s="8">
        <f>SkareKrogstad!N23</f>
        <v>4.5999999999999996</v>
      </c>
      <c r="AB22" s="9">
        <f>SkareKrogstad!O23</f>
        <v>18.84</v>
      </c>
      <c r="AC22" s="9">
        <f>SkareKrogstad!P23</f>
        <v>3.7350000000000001E-2</v>
      </c>
      <c r="AD22" s="10">
        <f>SkareKrogstad!Q23</f>
        <v>1.998</v>
      </c>
      <c r="AF22" s="11">
        <f>KaysAndMoffat!P26</f>
        <v>2.286</v>
      </c>
      <c r="AG22" s="12">
        <f>KaysAndMoffat!Q26</f>
        <v>9.4670880000000004</v>
      </c>
      <c r="AH22" s="12">
        <f>KaysAndMoffat!R26</f>
        <v>4.8310799999999997E-3</v>
      </c>
      <c r="AI22" s="13">
        <f>KaysAndMoffat!S26</f>
        <v>1.4037854889589905</v>
      </c>
      <c r="AK22" s="11">
        <f>KaysAndMoffat!P47</f>
        <v>2.286</v>
      </c>
      <c r="AL22" s="12">
        <f>KaysAndMoffat!Q47</f>
        <v>6.1112400000000004</v>
      </c>
      <c r="AM22" s="12">
        <f>KaysAndMoffat!R47</f>
        <v>9.2862399999999994E-3</v>
      </c>
      <c r="AN22" s="13">
        <f>KaysAndMoffat!S47</f>
        <v>1.490426695842451</v>
      </c>
      <c r="AP22" s="11">
        <f>KaysAndMoffat!P68</f>
        <v>2.286</v>
      </c>
      <c r="AQ22" s="12">
        <f>KaysAndMoffat!Q68</f>
        <v>5.2120800000000003</v>
      </c>
      <c r="AR22" s="12">
        <f>KaysAndMoffat!R68</f>
        <v>1.3141959999999999E-2</v>
      </c>
      <c r="AS22" s="13">
        <f>KaysAndMoffat!S68</f>
        <v>1.5933513722458448</v>
      </c>
    </row>
    <row r="23" spans="2:45" x14ac:dyDescent="0.2">
      <c r="B23" s="8">
        <f>'Schubauer and Klebanoff'!X24</f>
        <v>2.286</v>
      </c>
      <c r="C23" s="9">
        <f>'Schubauer and Klebanoff'!Y24</f>
        <v>47.83243404519574</v>
      </c>
      <c r="D23" s="9">
        <f>'Schubauer and Klebanoff'!Z24</f>
        <v>2.3622000000000001E-3</v>
      </c>
      <c r="E23" s="10">
        <f>'Schubauer and Klebanoff'!AA24</f>
        <v>1.37</v>
      </c>
      <c r="V23" s="11">
        <f>AubertineEaton!M23</f>
        <v>1.67</v>
      </c>
      <c r="W23" s="12">
        <f>AubertineEaton!N23</f>
        <v>17.54</v>
      </c>
      <c r="X23" s="12">
        <f>AubertineEaton!O23</f>
        <v>5.2599999999999999E-3</v>
      </c>
      <c r="Y23" s="13">
        <f>AubertineEaton!P23</f>
        <v>1.45</v>
      </c>
      <c r="AA23" s="8">
        <f>SkareKrogstad!N24</f>
        <v>4.8</v>
      </c>
      <c r="AB23" s="9">
        <f>SkareKrogstad!O24</f>
        <v>18.670000000000002</v>
      </c>
      <c r="AC23" s="9">
        <f>SkareKrogstad!P24</f>
        <v>3.8979999999999994E-2</v>
      </c>
      <c r="AD23" s="10">
        <f>SkareKrogstad!Q24</f>
        <v>1.994</v>
      </c>
      <c r="AK23" s="9"/>
    </row>
    <row r="24" spans="2:45" x14ac:dyDescent="0.2">
      <c r="B24" s="8">
        <f>'Schubauer and Klebanoff'!X25</f>
        <v>2.5908000000000002</v>
      </c>
      <c r="C24" s="9">
        <f>'Schubauer and Klebanoff'!Y25</f>
        <v>47.782686310420011</v>
      </c>
      <c r="D24" s="9">
        <f>'Schubauer and Klebanoff'!Z25</f>
        <v>2.5146000000000001E-3</v>
      </c>
      <c r="E24" s="10">
        <f>'Schubauer and Klebanoff'!AA25</f>
        <v>1.37</v>
      </c>
      <c r="AA24" s="8">
        <f>SkareKrogstad!N25</f>
        <v>5</v>
      </c>
      <c r="AB24" s="9">
        <f>SkareKrogstad!O25</f>
        <v>18.3</v>
      </c>
      <c r="AC24" s="9">
        <f>SkareKrogstad!P25</f>
        <v>4.2979999999999997E-2</v>
      </c>
      <c r="AD24" s="10">
        <f>SkareKrogstad!Q25</f>
        <v>1.998</v>
      </c>
    </row>
    <row r="25" spans="2:45" x14ac:dyDescent="0.2">
      <c r="B25" s="8">
        <f>'Schubauer and Klebanoff'!X26</f>
        <v>2.8956</v>
      </c>
      <c r="C25" s="9">
        <f>'Schubauer and Klebanoff'!Y26</f>
        <v>47.73288672804108</v>
      </c>
      <c r="D25" s="9">
        <f>'Schubauer and Klebanoff'!Z26</f>
        <v>3.1241999999999997E-3</v>
      </c>
      <c r="E25" s="10">
        <f>'Schubauer and Klebanoff'!AA26</f>
        <v>1.38</v>
      </c>
      <c r="AA25" s="11">
        <f>SkareKrogstad!N26</f>
        <v>5.2</v>
      </c>
      <c r="AB25" s="12">
        <f>SkareKrogstad!O26</f>
        <v>18.04</v>
      </c>
      <c r="AC25" s="12">
        <f>SkareKrogstad!P26</f>
        <v>4.5780000000000001E-2</v>
      </c>
      <c r="AD25" s="13">
        <f>SkareKrogstad!Q26</f>
        <v>1.986</v>
      </c>
    </row>
    <row r="26" spans="2:45" x14ac:dyDescent="0.2">
      <c r="B26" s="8">
        <f>'Schubauer and Klebanoff'!X27</f>
        <v>3.2004000000000001</v>
      </c>
      <c r="C26" s="9">
        <f>'Schubauer and Klebanoff'!Y27</f>
        <v>48.17922992560176</v>
      </c>
      <c r="D26" s="9">
        <f>'Schubauer and Klebanoff'!Z27</f>
        <v>3.3782E-3</v>
      </c>
      <c r="E26" s="10">
        <f>'Schubauer and Klebanoff'!AA27</f>
        <v>1.35</v>
      </c>
    </row>
    <row r="27" spans="2:45" x14ac:dyDescent="0.2">
      <c r="B27" s="8">
        <f>'Schubauer and Klebanoff'!X28</f>
        <v>3.5052000000000003</v>
      </c>
      <c r="C27" s="9">
        <f>'Schubauer and Klebanoff'!Y28</f>
        <v>48.080400631941494</v>
      </c>
      <c r="D27" s="9">
        <f>'Schubauer and Klebanoff'!Z28</f>
        <v>4.1402000000000001E-3</v>
      </c>
      <c r="E27" s="10">
        <f>'Schubauer and Klebanoff'!AA28</f>
        <v>1.36</v>
      </c>
    </row>
    <row r="28" spans="2:45" x14ac:dyDescent="0.2">
      <c r="B28" s="8">
        <f>'Schubauer and Klebanoff'!X29</f>
        <v>3.81</v>
      </c>
      <c r="C28" s="9">
        <f>'Schubauer and Klebanoff'!Y29</f>
        <v>48.203905589153251</v>
      </c>
      <c r="D28" s="9">
        <f>'Schubauer and Klebanoff'!Z29</f>
        <v>4.1148000000000001E-3</v>
      </c>
      <c r="E28" s="10">
        <f>'Schubauer and Klebanoff'!AA29</f>
        <v>1.36</v>
      </c>
    </row>
    <row r="29" spans="2:45" x14ac:dyDescent="0.2">
      <c r="B29" s="8">
        <f>'Schubauer and Klebanoff'!X30</f>
        <v>4.1147999999999998</v>
      </c>
      <c r="C29" s="9">
        <f>'Schubauer and Klebanoff'!Y30</f>
        <v>48.277856906867775</v>
      </c>
      <c r="D29" s="9">
        <f>'Schubauer and Klebanoff'!Z30</f>
        <v>4.2672000000000005E-3</v>
      </c>
      <c r="E29" s="10">
        <f>'Schubauer and Klebanoff'!AA30</f>
        <v>1.39</v>
      </c>
    </row>
    <row r="30" spans="2:45" x14ac:dyDescent="0.2">
      <c r="B30" s="8">
        <f>'Schubauer and Klebanoff'!X31</f>
        <v>4.4196</v>
      </c>
      <c r="C30" s="9">
        <f>'Schubauer and Klebanoff'!Y31</f>
        <v>48.572536287577158</v>
      </c>
      <c r="D30" s="9">
        <f>'Schubauer and Klebanoff'!Z31</f>
        <v>4.8767999999999997E-3</v>
      </c>
      <c r="E30" s="10">
        <f>'Schubauer and Klebanoff'!AA31</f>
        <v>1.33</v>
      </c>
    </row>
    <row r="31" spans="2:45" x14ac:dyDescent="0.2">
      <c r="B31" s="8">
        <f>'Schubauer and Klebanoff'!X32</f>
        <v>4.7244000000000002</v>
      </c>
      <c r="C31" s="9">
        <f>'Schubauer and Klebanoff'!Y32</f>
        <v>48.474508869219086</v>
      </c>
      <c r="D31" s="9">
        <f>'Schubauer and Klebanoff'!Z32</f>
        <v>5.2831999999999992E-3</v>
      </c>
      <c r="E31" s="10">
        <f>'Schubauer and Klebanoff'!AA32</f>
        <v>1.38</v>
      </c>
    </row>
    <row r="32" spans="2:45" x14ac:dyDescent="0.2">
      <c r="B32" s="8">
        <f>'Schubauer and Klebanoff'!X33</f>
        <v>5.0292000000000003</v>
      </c>
      <c r="C32" s="9">
        <f>'Schubauer and Klebanoff'!Y33</f>
        <v>48.548047989430017</v>
      </c>
      <c r="D32" s="9">
        <f>'Schubauer and Klebanoff'!Z33</f>
        <v>5.7403999999999997E-3</v>
      </c>
      <c r="E32" s="10">
        <f>'Schubauer and Klebanoff'!AA33</f>
        <v>1.34</v>
      </c>
    </row>
    <row r="33" spans="2:5" x14ac:dyDescent="0.2">
      <c r="B33" s="8">
        <f>'Schubauer and Klebanoff'!X34</f>
        <v>5.3340000000000005</v>
      </c>
      <c r="C33" s="9">
        <f>'Schubauer and Klebanoff'!Y34</f>
        <v>48.768000000000001</v>
      </c>
      <c r="D33" s="9">
        <f>'Schubauer and Klebanoff'!Z34</f>
        <v>5.7149999999999996E-3</v>
      </c>
      <c r="E33" s="10">
        <f>'Schubauer and Klebanoff'!AA34</f>
        <v>1.35</v>
      </c>
    </row>
    <row r="34" spans="2:5" x14ac:dyDescent="0.2">
      <c r="B34" s="8">
        <f>'Schubauer and Klebanoff'!X35</f>
        <v>5.4864000000000006</v>
      </c>
      <c r="C34" s="9">
        <f>'Schubauer and Klebanoff'!Y35</f>
        <v>48.474508869219086</v>
      </c>
      <c r="D34" s="9">
        <f>'Schubauer and Klebanoff'!Z35</f>
        <v>5.8165999999999999E-3</v>
      </c>
      <c r="E34" s="10">
        <f>'Schubauer and Klebanoff'!AA35</f>
        <v>1.37</v>
      </c>
    </row>
    <row r="35" spans="2:5" x14ac:dyDescent="0.2">
      <c r="B35" s="8">
        <f>'Schubauer and Klebanoff'!X36</f>
        <v>5.6388000000000007</v>
      </c>
      <c r="C35" s="9">
        <f>'Schubauer and Klebanoff'!Y36</f>
        <v>47.931774617512339</v>
      </c>
      <c r="D35" s="9">
        <f>'Schubauer and Klebanoff'!Z36</f>
        <v>6.6293999999999997E-3</v>
      </c>
      <c r="E35" s="10">
        <f>'Schubauer and Klebanoff'!AA36</f>
        <v>1.31</v>
      </c>
    </row>
    <row r="36" spans="2:5" x14ac:dyDescent="0.2">
      <c r="B36" s="8">
        <f>'Schubauer and Klebanoff'!X37</f>
        <v>5.7911999999999999</v>
      </c>
      <c r="C36" s="9">
        <f>'Schubauer and Klebanoff'!Y37</f>
        <v>46.954239668511299</v>
      </c>
      <c r="D36" s="9">
        <f>'Schubauer and Klebanoff'!Z37</f>
        <v>7.1627999999999987E-3</v>
      </c>
      <c r="E36" s="10">
        <f>'Schubauer and Klebanoff'!AA37</f>
        <v>1.37</v>
      </c>
    </row>
    <row r="37" spans="2:5" x14ac:dyDescent="0.2">
      <c r="B37" s="8">
        <f>'Schubauer and Klebanoff'!X38</f>
        <v>5.9436</v>
      </c>
      <c r="C37" s="9">
        <f>'Schubauer and Klebanoff'!Y38</f>
        <v>46.007639184813648</v>
      </c>
      <c r="D37" s="9">
        <f>'Schubauer and Klebanoff'!Z38</f>
        <v>7.7977999999999997E-3</v>
      </c>
      <c r="E37" s="10">
        <f>'Schubauer and Klebanoff'!AA38</f>
        <v>1.33</v>
      </c>
    </row>
    <row r="38" spans="2:5" x14ac:dyDescent="0.2">
      <c r="B38" s="8">
        <f>'Schubauer and Klebanoff'!X39</f>
        <v>6.0960000000000001</v>
      </c>
      <c r="C38" s="9">
        <f>'Schubauer and Klebanoff'!Y39</f>
        <v>45.014739653229142</v>
      </c>
      <c r="D38" s="9">
        <f>'Schubauer and Klebanoff'!Z39</f>
        <v>8.1025999999999997E-3</v>
      </c>
      <c r="E38" s="10">
        <f>'Schubauer and Klebanoff'!AA39</f>
        <v>1.4</v>
      </c>
    </row>
    <row r="39" spans="2:5" x14ac:dyDescent="0.2">
      <c r="B39" s="8">
        <f>'Schubauer and Klebanoff'!X40</f>
        <v>6.2484000000000002</v>
      </c>
      <c r="C39" s="9">
        <f>'Schubauer and Klebanoff'!Y40</f>
        <v>43.972404879787959</v>
      </c>
      <c r="D39" s="9">
        <f>'Schubauer and Klebanoff'!Z40</f>
        <v>9.0677999999999991E-3</v>
      </c>
      <c r="E39" s="10">
        <f>'Schubauer and Klebanoff'!AA40</f>
        <v>1.45</v>
      </c>
    </row>
    <row r="40" spans="2:5" x14ac:dyDescent="0.2">
      <c r="B40" s="8">
        <f>'Schubauer and Klebanoff'!X41</f>
        <v>6.4008000000000003</v>
      </c>
      <c r="C40" s="9">
        <f>'Schubauer and Klebanoff'!Y41</f>
        <v>42.987823267153225</v>
      </c>
      <c r="D40" s="9">
        <f>'Schubauer and Klebanoff'!Z41</f>
        <v>9.9059999999999999E-3</v>
      </c>
      <c r="E40" s="10">
        <f>'Schubauer and Klebanoff'!AA41</f>
        <v>1.49</v>
      </c>
    </row>
    <row r="41" spans="2:5" x14ac:dyDescent="0.2">
      <c r="B41" s="8">
        <f>'Schubauer and Klebanoff'!X42</f>
        <v>6.5532000000000004</v>
      </c>
      <c r="C41" s="9">
        <f>'Schubauer and Klebanoff'!Y42</f>
        <v>41.951819862313478</v>
      </c>
      <c r="D41" s="9">
        <f>'Schubauer and Klebanoff'!Z42</f>
        <v>1.12522E-2</v>
      </c>
      <c r="E41" s="10">
        <f>'Schubauer and Klebanoff'!AA42</f>
        <v>1.47</v>
      </c>
    </row>
    <row r="42" spans="2:5" x14ac:dyDescent="0.2">
      <c r="B42" s="8">
        <f>'Schubauer and Klebanoff'!X43</f>
        <v>6.7056000000000004</v>
      </c>
      <c r="C42" s="9">
        <f>'Schubauer and Klebanoff'!Y43</f>
        <v>40.714708930901132</v>
      </c>
      <c r="D42" s="9">
        <f>'Schubauer and Klebanoff'!Z43</f>
        <v>1.27254E-2</v>
      </c>
      <c r="E42" s="10">
        <f>'Schubauer and Klebanoff'!AA43</f>
        <v>1.54</v>
      </c>
    </row>
    <row r="43" spans="2:5" x14ac:dyDescent="0.2">
      <c r="B43" s="8">
        <f>'Schubauer and Klebanoff'!X44</f>
        <v>6.8580000000000005</v>
      </c>
      <c r="C43" s="9">
        <f>'Schubauer and Klebanoff'!Y44</f>
        <v>39.589284484769365</v>
      </c>
      <c r="D43" s="9">
        <f>'Schubauer and Klebanoff'!Z44</f>
        <v>1.5747999999999998E-2</v>
      </c>
      <c r="E43" s="10">
        <f>'Schubauer and Klebanoff'!AA44</f>
        <v>1.6</v>
      </c>
    </row>
    <row r="44" spans="2:5" x14ac:dyDescent="0.2">
      <c r="B44" s="8">
        <f>'Schubauer and Klebanoff'!X45</f>
        <v>7.0104000000000006</v>
      </c>
      <c r="C44" s="9">
        <f>'Schubauer and Klebanoff'!Y45</f>
        <v>38.55448923277288</v>
      </c>
      <c r="D44" s="9">
        <f>'Schubauer and Klebanoff'!Z45</f>
        <v>1.6764000000000001E-2</v>
      </c>
      <c r="E44" s="10">
        <f>'Schubauer and Klebanoff'!AA45</f>
        <v>1.65</v>
      </c>
    </row>
    <row r="45" spans="2:5" x14ac:dyDescent="0.2">
      <c r="B45" s="8">
        <f>'Schubauer and Klebanoff'!X46</f>
        <v>7.1628000000000007</v>
      </c>
      <c r="C45" s="9">
        <f>'Schubauer and Klebanoff'!Y46</f>
        <v>37.427652856357426</v>
      </c>
      <c r="D45" s="9">
        <f>'Schubauer and Klebanoff'!Z46</f>
        <v>1.8033999999999998E-2</v>
      </c>
      <c r="E45" s="10">
        <f>'Schubauer and Klebanoff'!AA46</f>
        <v>1.75</v>
      </c>
    </row>
    <row r="46" spans="2:5" x14ac:dyDescent="0.2">
      <c r="B46" s="8">
        <f>'Schubauer and Klebanoff'!X47</f>
        <v>7.3152000000000008</v>
      </c>
      <c r="C46" s="9">
        <f>'Schubauer and Klebanoff'!Y47</f>
        <v>36.42940221568287</v>
      </c>
      <c r="D46" s="9">
        <f>'Schubauer and Klebanoff'!Z47</f>
        <v>2.1843999999999999E-2</v>
      </c>
      <c r="E46" s="10">
        <f>'Schubauer and Klebanoff'!AA47</f>
        <v>1.87</v>
      </c>
    </row>
    <row r="47" spans="2:5" x14ac:dyDescent="0.2">
      <c r="B47" s="8">
        <f>'Schubauer and Klebanoff'!X48</f>
        <v>7.4676</v>
      </c>
      <c r="C47" s="9">
        <f>'Schubauer and Klebanoff'!Y48</f>
        <v>35.470130094151052</v>
      </c>
      <c r="D47" s="9">
        <f>'Schubauer and Klebanoff'!Z48</f>
        <v>2.4129999999999999E-2</v>
      </c>
      <c r="E47" s="10">
        <f>'Schubauer and Klebanoff'!AA48</f>
        <v>1.99</v>
      </c>
    </row>
    <row r="48" spans="2:5" x14ac:dyDescent="0.2">
      <c r="B48" s="8">
        <f>'Schubauer and Klebanoff'!X49</f>
        <v>7.62</v>
      </c>
      <c r="C48" s="9">
        <f>'Schubauer and Klebanoff'!Y49</f>
        <v>34.724733789735524</v>
      </c>
      <c r="D48" s="9">
        <f>'Schubauer and Klebanoff'!Z49</f>
        <v>2.9463999999999997E-2</v>
      </c>
      <c r="E48" s="10">
        <f>'Schubauer and Klebanoff'!AA49</f>
        <v>2.2200000000000002</v>
      </c>
    </row>
    <row r="49" spans="2:5" x14ac:dyDescent="0.2">
      <c r="B49" s="8">
        <f>'Schubauer and Klebanoff'!X50</f>
        <v>7.7419200000000004</v>
      </c>
      <c r="C49" s="9">
        <f>'Schubauer and Klebanoff'!Y50</f>
        <v>34.339044499508141</v>
      </c>
      <c r="D49" s="9">
        <f>'Schubauer and Klebanoff'!Z50</f>
        <v>3.0225999999999996E-2</v>
      </c>
      <c r="E49" s="10">
        <f>'Schubauer and Klebanoff'!AA50</f>
        <v>2.39</v>
      </c>
    </row>
    <row r="50" spans="2:5" x14ac:dyDescent="0.2">
      <c r="B50" s="11">
        <f>'Schubauer and Klebanoff'!X51</f>
        <v>7.8546960000000006</v>
      </c>
      <c r="C50" s="12">
        <f>'Schubauer and Klebanoff'!Y51</f>
        <v>34.072746625526975</v>
      </c>
      <c r="D50" s="12">
        <f>'Schubauer and Klebanoff'!Z51</f>
        <v>3.4543999999999998E-2</v>
      </c>
      <c r="E50" s="13">
        <f>'Schubauer and Klebanoff'!AA51</f>
        <v>2.8</v>
      </c>
    </row>
    <row r="51" spans="2:5" x14ac:dyDescent="0.2">
      <c r="B51" s="9"/>
      <c r="C51" s="9"/>
      <c r="D51" s="9"/>
      <c r="E51" s="9"/>
    </row>
    <row r="52" spans="2:5" x14ac:dyDescent="0.2">
      <c r="B52" s="9"/>
      <c r="C52" s="9"/>
      <c r="D52" s="9"/>
      <c r="E52" s="9"/>
    </row>
    <row r="53" spans="2:5" x14ac:dyDescent="0.2">
      <c r="B53" s="9"/>
      <c r="C53" s="9"/>
      <c r="D53" s="9"/>
      <c r="E53" s="9"/>
    </row>
    <row r="54" spans="2:5" x14ac:dyDescent="0.2">
      <c r="B54" s="9"/>
      <c r="C54" s="9"/>
      <c r="D54" s="9"/>
      <c r="E54" s="9"/>
    </row>
    <row r="55" spans="2:5" x14ac:dyDescent="0.2">
      <c r="B55" s="9"/>
      <c r="C55" s="9"/>
      <c r="D55" s="9"/>
      <c r="E55" s="9"/>
    </row>
    <row r="56" spans="2:5" x14ac:dyDescent="0.2">
      <c r="B56" s="9"/>
      <c r="C56" s="9"/>
      <c r="D56" s="9"/>
      <c r="E56" s="9"/>
    </row>
    <row r="57" spans="2:5" x14ac:dyDescent="0.2">
      <c r="B57" s="9"/>
      <c r="C57" s="9"/>
      <c r="D57" s="9"/>
      <c r="E57" s="9"/>
    </row>
    <row r="58" spans="2:5" x14ac:dyDescent="0.2">
      <c r="B58" s="9"/>
      <c r="C58" s="9"/>
      <c r="D58" s="9"/>
      <c r="E58" s="9"/>
    </row>
  </sheetData>
  <mergeCells count="9">
    <mergeCell ref="AA9:AD11"/>
    <mergeCell ref="AF9:AI11"/>
    <mergeCell ref="AK9:AN11"/>
    <mergeCell ref="AP9:AS11"/>
    <mergeCell ref="B9:E11"/>
    <mergeCell ref="G9:J11"/>
    <mergeCell ref="L9:O11"/>
    <mergeCell ref="Q9:T11"/>
    <mergeCell ref="V9:Y1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4"/>
  <sheetViews>
    <sheetView workbookViewId="0">
      <selection activeCell="B20" sqref="B20:H24"/>
    </sheetView>
  </sheetViews>
  <sheetFormatPr baseColWidth="10" defaultRowHeight="16" x14ac:dyDescent="0.2"/>
  <sheetData>
    <row r="3" spans="2:5" ht="31" x14ac:dyDescent="0.35">
      <c r="B3" s="1" t="s">
        <v>22</v>
      </c>
    </row>
    <row r="5" spans="2:5" x14ac:dyDescent="0.2">
      <c r="B5" t="s">
        <v>0</v>
      </c>
      <c r="C5" t="s">
        <v>23</v>
      </c>
      <c r="D5" t="s">
        <v>24</v>
      </c>
      <c r="E5" t="s">
        <v>25</v>
      </c>
    </row>
    <row r="6" spans="2:5" x14ac:dyDescent="0.2">
      <c r="B6" t="s">
        <v>1</v>
      </c>
      <c r="C6" t="s">
        <v>13</v>
      </c>
      <c r="D6" t="s">
        <v>3</v>
      </c>
    </row>
    <row r="7" spans="2:5" x14ac:dyDescent="0.2">
      <c r="B7">
        <v>2.5</v>
      </c>
      <c r="C7">
        <v>147</v>
      </c>
      <c r="D7">
        <v>19.8</v>
      </c>
      <c r="E7">
        <v>9.26</v>
      </c>
    </row>
    <row r="8" spans="2:5" x14ac:dyDescent="0.2">
      <c r="B8">
        <v>4</v>
      </c>
      <c r="C8">
        <v>145.5</v>
      </c>
      <c r="D8">
        <v>17</v>
      </c>
      <c r="E8">
        <v>9.2100000000000009</v>
      </c>
    </row>
    <row r="9" spans="2:5" x14ac:dyDescent="0.2">
      <c r="B9">
        <v>5.5</v>
      </c>
      <c r="C9">
        <v>143.5</v>
      </c>
      <c r="D9">
        <v>14</v>
      </c>
      <c r="E9">
        <v>9.26</v>
      </c>
    </row>
    <row r="10" spans="2:5" x14ac:dyDescent="0.2">
      <c r="B10">
        <v>7</v>
      </c>
      <c r="C10">
        <v>146</v>
      </c>
      <c r="D10">
        <v>10.9</v>
      </c>
      <c r="E10">
        <v>9.1999999999999993</v>
      </c>
    </row>
    <row r="11" spans="2:5" x14ac:dyDescent="0.2">
      <c r="B11">
        <v>8.5</v>
      </c>
      <c r="C11">
        <v>143.69999999999999</v>
      </c>
      <c r="D11">
        <v>9</v>
      </c>
      <c r="E11">
        <v>9.17</v>
      </c>
    </row>
    <row r="12" spans="2:5" x14ac:dyDescent="0.2">
      <c r="B12">
        <v>10</v>
      </c>
      <c r="C12">
        <v>147.5</v>
      </c>
      <c r="D12">
        <v>7.8</v>
      </c>
      <c r="E12">
        <v>9.1999999999999993</v>
      </c>
    </row>
    <row r="13" spans="2:5" x14ac:dyDescent="0.2">
      <c r="B13">
        <v>11</v>
      </c>
      <c r="C13">
        <v>147</v>
      </c>
      <c r="D13">
        <v>6</v>
      </c>
      <c r="E13">
        <v>9.24</v>
      </c>
    </row>
    <row r="14" spans="2:5" x14ac:dyDescent="0.2">
      <c r="B14">
        <v>12.5</v>
      </c>
      <c r="C14">
        <v>143.5</v>
      </c>
      <c r="D14">
        <v>4.8</v>
      </c>
      <c r="E14">
        <v>9.1999999999999993</v>
      </c>
    </row>
    <row r="15" spans="2:5" x14ac:dyDescent="0.2">
      <c r="B15">
        <v>14</v>
      </c>
      <c r="C15">
        <v>146</v>
      </c>
      <c r="D15">
        <v>3.1</v>
      </c>
      <c r="E15">
        <v>9.1999999999999993</v>
      </c>
    </row>
    <row r="16" spans="2:5" x14ac:dyDescent="0.2">
      <c r="B16">
        <v>15</v>
      </c>
      <c r="C16">
        <v>148.69999999999999</v>
      </c>
      <c r="D16">
        <v>2.37</v>
      </c>
      <c r="E16">
        <v>9.36</v>
      </c>
    </row>
    <row r="20" spans="2:8" x14ac:dyDescent="0.2">
      <c r="B20" t="s">
        <v>26</v>
      </c>
    </row>
    <row r="21" spans="2:8" ht="16" customHeight="1" x14ac:dyDescent="0.2">
      <c r="B21" s="42" t="s">
        <v>27</v>
      </c>
      <c r="C21" s="42"/>
      <c r="D21" s="42"/>
      <c r="E21" s="42"/>
      <c r="F21" s="42"/>
      <c r="G21" s="42"/>
      <c r="H21" s="42"/>
    </row>
    <row r="22" spans="2:8" x14ac:dyDescent="0.2">
      <c r="B22" s="42"/>
      <c r="C22" s="42"/>
      <c r="D22" s="42"/>
      <c r="E22" s="42"/>
      <c r="F22" s="42"/>
      <c r="G22" s="42"/>
      <c r="H22" s="42"/>
    </row>
    <row r="23" spans="2:8" x14ac:dyDescent="0.2">
      <c r="B23" s="42"/>
      <c r="C23" s="42"/>
      <c r="D23" s="42"/>
      <c r="E23" s="42"/>
      <c r="F23" s="42"/>
      <c r="G23" s="42"/>
      <c r="H23" s="42"/>
    </row>
    <row r="24" spans="2:8" x14ac:dyDescent="0.2">
      <c r="B24" s="42"/>
      <c r="C24" s="42"/>
      <c r="D24" s="42"/>
      <c r="E24" s="42"/>
      <c r="F24" s="42"/>
      <c r="G24" s="42"/>
      <c r="H24" s="42"/>
    </row>
  </sheetData>
  <mergeCells count="1">
    <mergeCell ref="B21:H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5"/>
  <sheetViews>
    <sheetView workbookViewId="0">
      <selection activeCell="B8" sqref="B8"/>
    </sheetView>
  </sheetViews>
  <sheetFormatPr baseColWidth="10" defaultRowHeight="16" x14ac:dyDescent="0.2"/>
  <sheetData>
    <row r="3" spans="2:10" x14ac:dyDescent="0.2">
      <c r="B3" t="s">
        <v>28</v>
      </c>
    </row>
    <row r="4" spans="2:10" x14ac:dyDescent="0.2">
      <c r="B4" t="s">
        <v>29</v>
      </c>
    </row>
    <row r="6" spans="2:10" x14ac:dyDescent="0.2">
      <c r="B6" t="s">
        <v>31</v>
      </c>
      <c r="C6" t="s">
        <v>0</v>
      </c>
      <c r="D6" t="s">
        <v>37</v>
      </c>
      <c r="E6" t="s">
        <v>35</v>
      </c>
      <c r="F6" t="s">
        <v>34</v>
      </c>
      <c r="G6" t="s">
        <v>4</v>
      </c>
      <c r="H6" t="s">
        <v>39</v>
      </c>
      <c r="J6" t="s">
        <v>5</v>
      </c>
    </row>
    <row r="7" spans="2:10" x14ac:dyDescent="0.2">
      <c r="B7" t="s">
        <v>32</v>
      </c>
      <c r="C7" t="s">
        <v>33</v>
      </c>
      <c r="D7" t="s">
        <v>3</v>
      </c>
      <c r="E7" t="s">
        <v>33</v>
      </c>
      <c r="F7" t="s">
        <v>33</v>
      </c>
      <c r="G7" t="s">
        <v>33</v>
      </c>
    </row>
    <row r="8" spans="2:10" x14ac:dyDescent="0.2">
      <c r="B8">
        <v>8.01</v>
      </c>
      <c r="C8">
        <v>4.8</v>
      </c>
      <c r="D8">
        <v>1740</v>
      </c>
      <c r="E8">
        <v>0.108</v>
      </c>
      <c r="F8">
        <v>2.4799999999999999E-2</v>
      </c>
      <c r="G8">
        <v>1.5599999999999999E-2</v>
      </c>
      <c r="H8" t="s">
        <v>40</v>
      </c>
      <c r="J8">
        <f>F8/G8</f>
        <v>1.5897435897435899</v>
      </c>
    </row>
    <row r="9" spans="2:10" x14ac:dyDescent="0.2">
      <c r="B9">
        <v>12.89</v>
      </c>
      <c r="C9">
        <v>4.8</v>
      </c>
      <c r="D9">
        <v>2500</v>
      </c>
      <c r="E9">
        <v>0.1</v>
      </c>
      <c r="F9">
        <v>2.2499999999999999E-2</v>
      </c>
      <c r="G9">
        <v>1.43E-2</v>
      </c>
      <c r="H9" t="s">
        <v>41</v>
      </c>
      <c r="J9">
        <f>F9/G9</f>
        <v>1.5734265734265733</v>
      </c>
    </row>
    <row r="10" spans="2:10" x14ac:dyDescent="0.2">
      <c r="B10">
        <v>17.100000000000001</v>
      </c>
      <c r="C10">
        <v>4.8</v>
      </c>
      <c r="D10">
        <v>3510</v>
      </c>
      <c r="E10">
        <v>0.105</v>
      </c>
      <c r="F10">
        <v>2.2499999999999999E-2</v>
      </c>
      <c r="G10">
        <v>1.47E-2</v>
      </c>
      <c r="H10" t="s">
        <v>42</v>
      </c>
      <c r="J10">
        <f>F10/G10</f>
        <v>1.5306122448979591</v>
      </c>
    </row>
    <row r="11" spans="2:10" x14ac:dyDescent="0.2">
      <c r="B11">
        <v>19.13</v>
      </c>
      <c r="C11">
        <v>4.8</v>
      </c>
      <c r="D11">
        <v>3850</v>
      </c>
      <c r="E11">
        <v>0.10199999999999999</v>
      </c>
      <c r="F11">
        <v>2.2200000000000001E-2</v>
      </c>
      <c r="G11">
        <v>1.4500000000000001E-2</v>
      </c>
      <c r="H11" t="s">
        <v>41</v>
      </c>
      <c r="J11">
        <f>F11/G11</f>
        <v>1.5310344827586206</v>
      </c>
    </row>
    <row r="12" spans="2:10" x14ac:dyDescent="0.2">
      <c r="B12">
        <v>14.34</v>
      </c>
      <c r="C12">
        <v>3</v>
      </c>
      <c r="D12">
        <v>1830</v>
      </c>
      <c r="E12">
        <v>5.1999999999999998E-2</v>
      </c>
      <c r="F12">
        <v>7.4000000000000003E-3</v>
      </c>
      <c r="G12">
        <v>5.4999999999999997E-3</v>
      </c>
      <c r="H12" t="s">
        <v>43</v>
      </c>
      <c r="J12">
        <f>F12/G12</f>
        <v>1.3454545454545457</v>
      </c>
    </row>
    <row r="21" spans="2:8" x14ac:dyDescent="0.2">
      <c r="B21" t="s">
        <v>26</v>
      </c>
    </row>
    <row r="22" spans="2:8" x14ac:dyDescent="0.2">
      <c r="B22" s="42" t="s">
        <v>30</v>
      </c>
      <c r="C22" s="42"/>
      <c r="D22" s="42"/>
      <c r="E22" s="42"/>
      <c r="F22" s="42"/>
      <c r="G22" s="42"/>
      <c r="H22" s="42"/>
    </row>
    <row r="23" spans="2:8" x14ac:dyDescent="0.2">
      <c r="B23" s="42"/>
      <c r="C23" s="42"/>
      <c r="D23" s="42"/>
      <c r="E23" s="42"/>
      <c r="F23" s="42"/>
      <c r="G23" s="42"/>
      <c r="H23" s="42"/>
    </row>
    <row r="24" spans="2:8" x14ac:dyDescent="0.2">
      <c r="B24" s="42"/>
      <c r="C24" s="42"/>
      <c r="D24" s="42"/>
      <c r="E24" s="42"/>
      <c r="F24" s="42"/>
      <c r="G24" s="42"/>
      <c r="H24" s="42"/>
    </row>
    <row r="25" spans="2:8" x14ac:dyDescent="0.2">
      <c r="B25" s="42"/>
      <c r="C25" s="42"/>
      <c r="D25" s="42"/>
      <c r="E25" s="42"/>
      <c r="F25" s="42"/>
      <c r="G25" s="42"/>
      <c r="H25" s="42"/>
    </row>
  </sheetData>
  <mergeCells count="1">
    <mergeCell ref="B22:H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0"/>
  <sheetViews>
    <sheetView topLeftCell="A10" workbookViewId="0">
      <selection activeCell="Q13" sqref="Q13:R22"/>
    </sheetView>
  </sheetViews>
  <sheetFormatPr baseColWidth="10" defaultRowHeight="16" x14ac:dyDescent="0.2"/>
  <cols>
    <col min="2" max="2" width="27.6640625" customWidth="1"/>
    <col min="11" max="11" width="13.5" customWidth="1"/>
  </cols>
  <sheetData>
    <row r="2" spans="1:28" ht="43" customHeight="1" x14ac:dyDescent="0.35">
      <c r="B2" s="43" t="s">
        <v>62</v>
      </c>
      <c r="C2" s="43"/>
      <c r="D2" s="43"/>
      <c r="E2" s="43"/>
      <c r="F2" s="43"/>
      <c r="G2" s="43"/>
      <c r="H2" s="43"/>
      <c r="I2" s="43"/>
      <c r="J2" s="43"/>
      <c r="K2" s="43"/>
      <c r="L2" s="43"/>
      <c r="M2" s="43"/>
      <c r="N2" s="43"/>
      <c r="O2" s="43"/>
      <c r="P2" s="43"/>
      <c r="Q2" s="43"/>
      <c r="R2" s="43"/>
      <c r="S2" s="43"/>
      <c r="T2" s="43"/>
      <c r="U2" s="43"/>
      <c r="V2" s="43"/>
      <c r="W2" s="43"/>
      <c r="X2" s="43"/>
      <c r="Y2" s="43"/>
      <c r="Z2" s="43"/>
      <c r="AA2" s="43"/>
      <c r="AB2" s="43"/>
    </row>
    <row r="4" spans="1:28" x14ac:dyDescent="0.2">
      <c r="B4" t="s">
        <v>93</v>
      </c>
      <c r="C4" t="s">
        <v>97</v>
      </c>
      <c r="F4" t="s">
        <v>143</v>
      </c>
      <c r="G4">
        <v>1</v>
      </c>
      <c r="H4" t="s">
        <v>16</v>
      </c>
      <c r="I4">
        <v>0.30480000000000002</v>
      </c>
      <c r="J4" t="s">
        <v>33</v>
      </c>
    </row>
    <row r="5" spans="1:28" x14ac:dyDescent="0.2">
      <c r="B5" t="s">
        <v>93</v>
      </c>
      <c r="C5" t="s">
        <v>98</v>
      </c>
      <c r="G5">
        <v>1</v>
      </c>
      <c r="H5" t="s">
        <v>144</v>
      </c>
      <c r="I5">
        <v>2.5399999999999999E-2</v>
      </c>
      <c r="J5" t="s">
        <v>33</v>
      </c>
    </row>
    <row r="6" spans="1:28" x14ac:dyDescent="0.2">
      <c r="B6" t="s">
        <v>93</v>
      </c>
      <c r="C6" t="s">
        <v>99</v>
      </c>
      <c r="F6" s="48" t="s">
        <v>166</v>
      </c>
      <c r="G6" s="49"/>
      <c r="H6" s="49"/>
      <c r="I6" s="49"/>
      <c r="J6" s="50"/>
    </row>
    <row r="7" spans="1:28" ht="16" customHeight="1" x14ac:dyDescent="0.2">
      <c r="B7" t="s">
        <v>48</v>
      </c>
      <c r="C7">
        <v>120</v>
      </c>
      <c r="D7" t="s">
        <v>13</v>
      </c>
      <c r="F7" s="51"/>
      <c r="G7" s="52"/>
      <c r="H7" s="52"/>
      <c r="I7" s="52"/>
      <c r="J7" s="53"/>
      <c r="N7">
        <f>N8/N9</f>
        <v>1.4730619280685075E-5</v>
      </c>
    </row>
    <row r="8" spans="1:28" ht="16" customHeight="1" x14ac:dyDescent="0.2">
      <c r="B8" t="s">
        <v>44</v>
      </c>
      <c r="C8" t="s">
        <v>45</v>
      </c>
      <c r="D8" t="s">
        <v>49</v>
      </c>
      <c r="F8" s="51"/>
      <c r="G8" s="52"/>
      <c r="H8" s="52"/>
      <c r="I8" s="52"/>
      <c r="J8" s="53"/>
      <c r="M8" s="15" t="s">
        <v>161</v>
      </c>
      <c r="N8" s="14">
        <f>$C$7*$I$4</f>
        <v>36.576000000000001</v>
      </c>
      <c r="O8" s="14" t="s">
        <v>32</v>
      </c>
      <c r="P8" s="16"/>
    </row>
    <row r="9" spans="1:28" ht="16" customHeight="1" x14ac:dyDescent="0.2">
      <c r="B9" t="s">
        <v>46</v>
      </c>
      <c r="C9" t="s">
        <v>47</v>
      </c>
      <c r="D9" t="s">
        <v>52</v>
      </c>
      <c r="F9" s="54"/>
      <c r="G9" s="55"/>
      <c r="H9" s="55"/>
      <c r="I9" s="55"/>
      <c r="J9" s="56"/>
      <c r="M9" s="8" t="s">
        <v>162</v>
      </c>
      <c r="N9" s="9">
        <f>AVERAGE(C24:J24)</f>
        <v>2482991.3327512844</v>
      </c>
      <c r="O9" s="9" t="s">
        <v>164</v>
      </c>
      <c r="P9" s="10"/>
    </row>
    <row r="10" spans="1:28" ht="16" customHeight="1" x14ac:dyDescent="0.2">
      <c r="M10" s="8" t="s">
        <v>93</v>
      </c>
      <c r="N10" s="21" t="str">
        <f>C4</f>
        <v>RM3575A</v>
      </c>
      <c r="O10" s="19"/>
      <c r="P10" s="20"/>
      <c r="W10" s="45" t="s">
        <v>138</v>
      </c>
      <c r="X10" s="46"/>
      <c r="Y10" s="47"/>
    </row>
    <row r="11" spans="1:28" ht="16" customHeight="1" x14ac:dyDescent="0.2">
      <c r="M11" s="39" t="s">
        <v>165</v>
      </c>
      <c r="N11" s="40"/>
      <c r="O11" s="40"/>
      <c r="P11" s="41"/>
      <c r="W11" s="39"/>
      <c r="X11" s="40"/>
      <c r="Y11" s="41"/>
    </row>
    <row r="12" spans="1:28" ht="16" customHeight="1" x14ac:dyDescent="0.2">
      <c r="C12">
        <v>1</v>
      </c>
      <c r="D12">
        <v>2</v>
      </c>
      <c r="E12">
        <v>3</v>
      </c>
      <c r="F12">
        <v>4</v>
      </c>
      <c r="G12">
        <v>5</v>
      </c>
      <c r="H12">
        <v>6</v>
      </c>
      <c r="I12">
        <v>7</v>
      </c>
      <c r="J12">
        <v>8</v>
      </c>
      <c r="M12" s="39"/>
      <c r="N12" s="40"/>
      <c r="O12" s="40"/>
      <c r="P12" s="41"/>
      <c r="W12" s="39"/>
      <c r="X12" s="40"/>
      <c r="Y12" s="41"/>
    </row>
    <row r="13" spans="1:28" x14ac:dyDescent="0.2">
      <c r="B13" t="s">
        <v>51</v>
      </c>
      <c r="C13">
        <v>24</v>
      </c>
      <c r="D13">
        <v>30</v>
      </c>
      <c r="E13">
        <v>36</v>
      </c>
      <c r="F13">
        <v>42</v>
      </c>
      <c r="G13">
        <v>48</v>
      </c>
      <c r="H13">
        <v>60</v>
      </c>
      <c r="I13">
        <v>72</v>
      </c>
      <c r="J13">
        <v>84</v>
      </c>
      <c r="M13" s="8" t="s">
        <v>0</v>
      </c>
      <c r="N13" s="9" t="s">
        <v>31</v>
      </c>
      <c r="O13" s="9" t="s">
        <v>152</v>
      </c>
      <c r="P13" s="10" t="s">
        <v>5</v>
      </c>
      <c r="Q13" s="36" t="s">
        <v>73</v>
      </c>
      <c r="R13" s="36" t="s">
        <v>36</v>
      </c>
      <c r="W13" s="8" t="s">
        <v>91</v>
      </c>
      <c r="X13" s="9" t="s">
        <v>64</v>
      </c>
      <c r="Y13" s="10" t="s">
        <v>39</v>
      </c>
    </row>
    <row r="14" spans="1:28" x14ac:dyDescent="0.2">
      <c r="B14" t="s">
        <v>56</v>
      </c>
      <c r="C14">
        <v>1.0960000000000001</v>
      </c>
      <c r="D14">
        <v>1.008</v>
      </c>
      <c r="E14">
        <v>0.91600000000000004</v>
      </c>
      <c r="F14">
        <v>0.85199999999999998</v>
      </c>
      <c r="G14">
        <v>0.79700000000000004</v>
      </c>
      <c r="H14">
        <v>0.71399999999999997</v>
      </c>
      <c r="I14">
        <v>0.65100000000000002</v>
      </c>
      <c r="J14">
        <v>0.6</v>
      </c>
      <c r="M14" s="8" t="s">
        <v>66</v>
      </c>
      <c r="N14" s="9" t="s">
        <v>151</v>
      </c>
      <c r="O14" s="9" t="s">
        <v>66</v>
      </c>
      <c r="P14" s="10" t="s">
        <v>3</v>
      </c>
      <c r="W14" s="8" t="s">
        <v>95</v>
      </c>
      <c r="X14" s="9" t="s">
        <v>78</v>
      </c>
      <c r="Y14" s="10" t="s">
        <v>78</v>
      </c>
    </row>
    <row r="15" spans="1:28" x14ac:dyDescent="0.2">
      <c r="M15" s="8">
        <f>C25</f>
        <v>0.60959999999999992</v>
      </c>
      <c r="N15" s="9">
        <f>C26</f>
        <v>38.291421212799087</v>
      </c>
      <c r="O15" s="9">
        <f>C27</f>
        <v>1.40208E-3</v>
      </c>
      <c r="P15" s="10">
        <f>C28</f>
        <v>1.46</v>
      </c>
      <c r="Q15">
        <f t="shared" ref="Q15:Q22" si="0">O15*$N$9*(N15/$N$8)</f>
        <v>3644.6285679541711</v>
      </c>
      <c r="R15">
        <f>C20</f>
        <v>2.9499999999999999E-3</v>
      </c>
      <c r="W15" s="8" t="str">
        <f t="shared" ref="W15:W22" si="1">$C$4</f>
        <v>RM3575A</v>
      </c>
      <c r="X15" s="9">
        <f>C23</f>
        <v>8.2200000000000006</v>
      </c>
      <c r="Y15" s="10">
        <f>C22</f>
        <v>0.36399999999999999</v>
      </c>
    </row>
    <row r="16" spans="1:28" x14ac:dyDescent="0.2">
      <c r="A16" s="57" t="s">
        <v>50</v>
      </c>
      <c r="B16" t="s">
        <v>54</v>
      </c>
      <c r="C16">
        <v>8.0600000000000005E-2</v>
      </c>
      <c r="D16">
        <v>0.10539999999999999</v>
      </c>
      <c r="E16">
        <v>0.1512</v>
      </c>
      <c r="F16">
        <v>0.19070000000000001</v>
      </c>
      <c r="G16">
        <v>0.2107</v>
      </c>
      <c r="H16">
        <v>0.27329999999999999</v>
      </c>
      <c r="I16">
        <v>0.35489999999999999</v>
      </c>
      <c r="J16">
        <v>0.43540000000000001</v>
      </c>
      <c r="M16" s="8">
        <f>D25</f>
        <v>0.76200000000000001</v>
      </c>
      <c r="N16" s="9">
        <f>D26</f>
        <v>36.722012556612412</v>
      </c>
      <c r="O16" s="9">
        <f>D27</f>
        <v>1.8973799999999999E-3</v>
      </c>
      <c r="P16" s="10">
        <f>D28</f>
        <v>1.411</v>
      </c>
      <c r="Q16">
        <f t="shared" si="0"/>
        <v>4729.9852678987208</v>
      </c>
      <c r="R16">
        <f>D20</f>
        <v>0.77500000000000002</v>
      </c>
      <c r="W16" s="8" t="str">
        <f t="shared" si="1"/>
        <v>RM3575A</v>
      </c>
      <c r="X16" s="9">
        <f>D23</f>
        <v>8.1</v>
      </c>
      <c r="Y16" s="10">
        <f>D22</f>
        <v>0.54</v>
      </c>
    </row>
    <row r="17" spans="1:25" x14ac:dyDescent="0.2">
      <c r="A17" s="57"/>
      <c r="B17" t="s">
        <v>55</v>
      </c>
      <c r="C17">
        <v>5.5199999999999999E-2</v>
      </c>
      <c r="D17">
        <v>7.4700000000000003E-2</v>
      </c>
      <c r="E17">
        <v>0.1042</v>
      </c>
      <c r="F17">
        <v>0.12709999999999999</v>
      </c>
      <c r="G17">
        <v>0.14050000000000001</v>
      </c>
      <c r="H17">
        <v>0.1865</v>
      </c>
      <c r="I17">
        <v>0.2409</v>
      </c>
      <c r="J17">
        <v>0.29120000000000001</v>
      </c>
      <c r="M17" s="8">
        <f>E25</f>
        <v>0.91439999999999999</v>
      </c>
      <c r="N17" s="9">
        <f>E26</f>
        <v>35.00611744846892</v>
      </c>
      <c r="O17" s="9">
        <f>E27</f>
        <v>2.6466799999999998E-3</v>
      </c>
      <c r="P17" s="10">
        <f>E28</f>
        <v>1.4510000000000001</v>
      </c>
      <c r="Q17">
        <f t="shared" si="0"/>
        <v>6289.6195443729403</v>
      </c>
      <c r="R17">
        <f>E20</f>
        <v>2.2699999999999999E-3</v>
      </c>
      <c r="W17" s="8" t="str">
        <f t="shared" si="1"/>
        <v>RM3575A</v>
      </c>
      <c r="X17" s="9">
        <f>E23</f>
        <v>9.2200000000000006</v>
      </c>
      <c r="Y17" s="10">
        <f>E22</f>
        <v>0.95</v>
      </c>
    </row>
    <row r="18" spans="1:25" x14ac:dyDescent="0.2">
      <c r="A18" s="57"/>
      <c r="B18" t="s">
        <v>57</v>
      </c>
      <c r="C18">
        <v>1.46</v>
      </c>
      <c r="D18">
        <v>1.411</v>
      </c>
      <c r="E18">
        <v>1.4510000000000001</v>
      </c>
      <c r="F18">
        <v>1.5</v>
      </c>
      <c r="G18">
        <v>1.5</v>
      </c>
      <c r="H18">
        <v>1.4650000000000001</v>
      </c>
      <c r="I18">
        <v>1.472</v>
      </c>
      <c r="J18">
        <v>1.4950000000000001</v>
      </c>
      <c r="M18" s="8">
        <f>F25</f>
        <v>1.0668</v>
      </c>
      <c r="N18" s="9">
        <f>F26</f>
        <v>33.76105473992186</v>
      </c>
      <c r="O18" s="9">
        <f>F27</f>
        <v>3.2283399999999997E-3</v>
      </c>
      <c r="P18" s="10">
        <f>F28</f>
        <v>1.5</v>
      </c>
      <c r="Q18">
        <f t="shared" si="0"/>
        <v>7399.0211397283801</v>
      </c>
      <c r="R18">
        <f>F20</f>
        <v>2.14E-3</v>
      </c>
      <c r="W18" s="8" t="str">
        <f t="shared" si="1"/>
        <v>RM3575A</v>
      </c>
      <c r="X18" s="9">
        <f>F23</f>
        <v>10.199999999999999</v>
      </c>
      <c r="Y18" s="10">
        <f>F22</f>
        <v>1.08</v>
      </c>
    </row>
    <row r="19" spans="1:25" x14ac:dyDescent="0.2">
      <c r="A19" s="57"/>
      <c r="B19" t="s">
        <v>58</v>
      </c>
      <c r="C19">
        <v>0.47</v>
      </c>
      <c r="D19">
        <v>0.56499999999999995</v>
      </c>
      <c r="E19">
        <v>0.77500000000000002</v>
      </c>
      <c r="F19">
        <v>0.87</v>
      </c>
      <c r="G19">
        <v>1.034</v>
      </c>
      <c r="H19">
        <v>1.34</v>
      </c>
      <c r="I19">
        <v>1.7150000000000001</v>
      </c>
      <c r="J19">
        <v>2.0750000000000002</v>
      </c>
      <c r="M19" s="8">
        <f>G25</f>
        <v>1.2191999999999998</v>
      </c>
      <c r="N19" s="9">
        <f>G26</f>
        <v>32.653171507098662</v>
      </c>
      <c r="O19" s="9">
        <f>G27</f>
        <v>3.5687000000000002E-3</v>
      </c>
      <c r="P19" s="10">
        <f>G28</f>
        <v>1.5</v>
      </c>
      <c r="Q19">
        <f t="shared" si="0"/>
        <v>7910.6907141492266</v>
      </c>
      <c r="R19">
        <f>G20</f>
        <v>2.0699999999999998E-3</v>
      </c>
      <c r="W19" s="8" t="str">
        <f t="shared" si="1"/>
        <v>RM3575A</v>
      </c>
      <c r="X19" s="9">
        <f>G23</f>
        <v>10.4</v>
      </c>
      <c r="Y19" s="10">
        <f>G22</f>
        <v>1.08</v>
      </c>
    </row>
    <row r="20" spans="1:25" x14ac:dyDescent="0.2">
      <c r="A20" s="57"/>
      <c r="B20" t="s">
        <v>44</v>
      </c>
      <c r="C20">
        <v>2.9499999999999999E-3</v>
      </c>
      <c r="D20">
        <v>0.77500000000000002</v>
      </c>
      <c r="E20">
        <v>2.2699999999999999E-3</v>
      </c>
      <c r="F20">
        <v>2.14E-3</v>
      </c>
      <c r="G20">
        <v>2.0699999999999998E-3</v>
      </c>
      <c r="H20">
        <v>1.9499999999999999E-3</v>
      </c>
      <c r="I20">
        <v>1.8799999999999999E-3</v>
      </c>
      <c r="J20">
        <v>1.8400000000000001E-3</v>
      </c>
      <c r="M20" s="8">
        <f>H25</f>
        <v>1.524</v>
      </c>
      <c r="N20" s="9">
        <f>H26</f>
        <v>30.906178930175113</v>
      </c>
      <c r="O20" s="9">
        <f>H27</f>
        <v>4.7371000000000002E-3</v>
      </c>
      <c r="P20" s="10">
        <f>H28</f>
        <v>1.4650000000000001</v>
      </c>
      <c r="Q20">
        <f t="shared" si="0"/>
        <v>9938.8666165651975</v>
      </c>
      <c r="R20">
        <f>G21</f>
        <v>7895</v>
      </c>
      <c r="W20" s="8" t="str">
        <f t="shared" si="1"/>
        <v>RM3575A</v>
      </c>
      <c r="X20" s="9">
        <f>H23</f>
        <v>10.199999999999999</v>
      </c>
      <c r="Y20" s="10">
        <f>H22</f>
        <v>1.19</v>
      </c>
    </row>
    <row r="21" spans="1:25" x14ac:dyDescent="0.2">
      <c r="A21" s="57"/>
      <c r="B21" t="s">
        <v>61</v>
      </c>
      <c r="C21">
        <v>3670</v>
      </c>
      <c r="D21">
        <v>4733</v>
      </c>
      <c r="E21">
        <v>6328</v>
      </c>
      <c r="F21">
        <v>7386</v>
      </c>
      <c r="G21">
        <v>7895</v>
      </c>
      <c r="H21">
        <v>9919</v>
      </c>
      <c r="I21">
        <v>12134</v>
      </c>
      <c r="J21">
        <v>14257</v>
      </c>
      <c r="M21" s="8">
        <f>I25</f>
        <v>1.8288</v>
      </c>
      <c r="N21" s="9">
        <f>I26</f>
        <v>29.511188694730684</v>
      </c>
      <c r="O21" s="9">
        <f>I27</f>
        <v>6.1188599999999994E-3</v>
      </c>
      <c r="P21" s="10">
        <f>I28</f>
        <v>1.472</v>
      </c>
      <c r="Q21">
        <f t="shared" si="0"/>
        <v>12258.468474126623</v>
      </c>
      <c r="R21">
        <f>G22</f>
        <v>1.08</v>
      </c>
      <c r="W21" s="8" t="str">
        <f t="shared" si="1"/>
        <v>RM3575A</v>
      </c>
      <c r="X21" s="9">
        <f>I23</f>
        <v>10.5</v>
      </c>
      <c r="Y21" s="10">
        <f>I22</f>
        <v>1.34</v>
      </c>
    </row>
    <row r="22" spans="1:25" x14ac:dyDescent="0.2">
      <c r="A22" s="57"/>
      <c r="B22" t="s">
        <v>63</v>
      </c>
      <c r="C22">
        <v>0.36399999999999999</v>
      </c>
      <c r="D22">
        <v>0.54</v>
      </c>
      <c r="E22">
        <v>0.95</v>
      </c>
      <c r="F22">
        <v>1.08</v>
      </c>
      <c r="G22">
        <v>1.08</v>
      </c>
      <c r="H22">
        <v>1.19</v>
      </c>
      <c r="I22">
        <v>1.34</v>
      </c>
      <c r="J22">
        <v>1.44</v>
      </c>
      <c r="M22" s="11">
        <f>J25</f>
        <v>2.1335999999999999</v>
      </c>
      <c r="N22" s="12">
        <f>J26</f>
        <v>28.331647774176499</v>
      </c>
      <c r="O22" s="12">
        <f>J27</f>
        <v>7.3964800000000004E-3</v>
      </c>
      <c r="P22" s="13">
        <f>J28</f>
        <v>1.4950000000000001</v>
      </c>
      <c r="Q22">
        <f t="shared" si="0"/>
        <v>14225.774363981474</v>
      </c>
      <c r="R22">
        <f>G23</f>
        <v>10.4</v>
      </c>
      <c r="W22" s="8" t="str">
        <f t="shared" si="1"/>
        <v>RM3575A</v>
      </c>
      <c r="X22" s="9">
        <f>J23</f>
        <v>10.9</v>
      </c>
      <c r="Y22" s="10">
        <f>J22</f>
        <v>1.44</v>
      </c>
    </row>
    <row r="23" spans="1:25" x14ac:dyDescent="0.2">
      <c r="A23" s="57"/>
      <c r="B23" t="s">
        <v>64</v>
      </c>
      <c r="C23">
        <v>8.2200000000000006</v>
      </c>
      <c r="D23">
        <v>8.1</v>
      </c>
      <c r="E23">
        <v>9.2200000000000006</v>
      </c>
      <c r="F23">
        <v>10.199999999999999</v>
      </c>
      <c r="G23">
        <v>10.4</v>
      </c>
      <c r="H23">
        <v>10.199999999999999</v>
      </c>
      <c r="I23">
        <v>10.5</v>
      </c>
      <c r="J23">
        <v>10.9</v>
      </c>
      <c r="W23" s="8" t="str">
        <f>$C$5</f>
        <v>RM3575B</v>
      </c>
      <c r="X23" s="9">
        <f>C37</f>
        <v>8.0500000000000007</v>
      </c>
      <c r="Y23" s="10">
        <f>C36</f>
        <v>0.64</v>
      </c>
    </row>
    <row r="24" spans="1:25" x14ac:dyDescent="0.2">
      <c r="A24" s="57"/>
      <c r="B24" s="17" t="s">
        <v>153</v>
      </c>
      <c r="C24" s="17">
        <f>C21/(C17*$I$5)/SQRT(C$14)</f>
        <v>2500276.2342699715</v>
      </c>
      <c r="D24" s="17">
        <f t="shared" ref="D24:J24" si="2">D21/(D17*$I$5)/SQRT(D14)</f>
        <v>2484573.9071683437</v>
      </c>
      <c r="E24" s="17">
        <f t="shared" si="2"/>
        <v>2498143.0184767423</v>
      </c>
      <c r="F24" s="17">
        <f t="shared" si="2"/>
        <v>2478621.649724633</v>
      </c>
      <c r="G24" s="17">
        <f t="shared" si="2"/>
        <v>2478066.3636626145</v>
      </c>
      <c r="H24" s="17">
        <f t="shared" si="2"/>
        <v>2478028.1273229853</v>
      </c>
      <c r="I24" s="17">
        <f t="shared" si="2"/>
        <v>2457779.85196072</v>
      </c>
      <c r="J24" s="17">
        <f t="shared" si="2"/>
        <v>2488441.5094242641</v>
      </c>
      <c r="M24" s="15" t="s">
        <v>161</v>
      </c>
      <c r="N24" s="14">
        <f>$C$7*$I$4</f>
        <v>36.576000000000001</v>
      </c>
      <c r="O24" s="14" t="s">
        <v>32</v>
      </c>
      <c r="P24" s="16"/>
      <c r="W24" s="8" t="str">
        <f>$C$5</f>
        <v>RM3575B</v>
      </c>
      <c r="X24" s="9">
        <f>D37</f>
        <v>8.33</v>
      </c>
      <c r="Y24" s="10">
        <f>D36</f>
        <v>1.1399999999999999</v>
      </c>
    </row>
    <row r="25" spans="1:25" x14ac:dyDescent="0.2">
      <c r="A25" s="57"/>
      <c r="B25" s="17" t="s">
        <v>167</v>
      </c>
      <c r="C25" s="17">
        <f t="shared" ref="C25:J25" si="3">C13*$I$5</f>
        <v>0.60959999999999992</v>
      </c>
      <c r="D25" s="17">
        <f t="shared" si="3"/>
        <v>0.76200000000000001</v>
      </c>
      <c r="E25" s="17">
        <f t="shared" si="3"/>
        <v>0.91439999999999999</v>
      </c>
      <c r="F25" s="17">
        <f t="shared" si="3"/>
        <v>1.0668</v>
      </c>
      <c r="G25" s="17">
        <f t="shared" si="3"/>
        <v>1.2191999999999998</v>
      </c>
      <c r="H25" s="17">
        <f t="shared" si="3"/>
        <v>1.524</v>
      </c>
      <c r="I25" s="17">
        <f t="shared" si="3"/>
        <v>1.8288</v>
      </c>
      <c r="J25" s="17">
        <f t="shared" si="3"/>
        <v>2.1335999999999999</v>
      </c>
      <c r="M25" s="8" t="s">
        <v>162</v>
      </c>
      <c r="N25" s="9">
        <f>AVERAGE(C38:J38)</f>
        <v>2531280.7706228141</v>
      </c>
      <c r="O25" s="9" t="s">
        <v>164</v>
      </c>
      <c r="P25" s="10"/>
      <c r="W25" s="8" t="str">
        <f t="shared" ref="W25:W30" si="4">$C$5</f>
        <v>RM3575B</v>
      </c>
      <c r="X25" s="9">
        <f>E37</f>
        <v>9.82</v>
      </c>
      <c r="Y25" s="10">
        <f>E36</f>
        <v>1.37</v>
      </c>
    </row>
    <row r="26" spans="1:25" ht="16" customHeight="1" x14ac:dyDescent="0.2">
      <c r="A26" s="57"/>
      <c r="B26" s="17" t="s">
        <v>169</v>
      </c>
      <c r="C26" s="17">
        <f t="shared" ref="C26:J26" si="5">$C$7*$I$4*SQRT(C14)</f>
        <v>38.291421212799087</v>
      </c>
      <c r="D26" s="17">
        <f t="shared" si="5"/>
        <v>36.722012556612412</v>
      </c>
      <c r="E26" s="17">
        <f t="shared" si="5"/>
        <v>35.00611744846892</v>
      </c>
      <c r="F26" s="17">
        <f t="shared" si="5"/>
        <v>33.76105473992186</v>
      </c>
      <c r="G26" s="17">
        <f t="shared" si="5"/>
        <v>32.653171507098662</v>
      </c>
      <c r="H26" s="17">
        <f t="shared" si="5"/>
        <v>30.906178930175113</v>
      </c>
      <c r="I26" s="17">
        <f t="shared" si="5"/>
        <v>29.511188694730684</v>
      </c>
      <c r="J26" s="17">
        <f t="shared" si="5"/>
        <v>28.331647774176499</v>
      </c>
      <c r="M26" s="8" t="s">
        <v>93</v>
      </c>
      <c r="N26" s="21" t="str">
        <f>C5</f>
        <v>RM3575B</v>
      </c>
      <c r="O26" s="19"/>
      <c r="P26" s="20"/>
      <c r="W26" s="8" t="str">
        <f t="shared" si="4"/>
        <v>RM3575B</v>
      </c>
      <c r="X26" s="9">
        <f>F37</f>
        <v>10.5</v>
      </c>
      <c r="Y26" s="10">
        <f>F36</f>
        <v>1.556</v>
      </c>
    </row>
    <row r="27" spans="1:25" x14ac:dyDescent="0.2">
      <c r="A27" s="57"/>
      <c r="B27" s="17" t="s">
        <v>168</v>
      </c>
      <c r="C27" s="17">
        <f t="shared" ref="C27:J27" si="6">C17*$I$5</f>
        <v>1.40208E-3</v>
      </c>
      <c r="D27" s="17">
        <f t="shared" si="6"/>
        <v>1.8973799999999999E-3</v>
      </c>
      <c r="E27" s="17">
        <f t="shared" si="6"/>
        <v>2.6466799999999998E-3</v>
      </c>
      <c r="F27" s="17">
        <f t="shared" si="6"/>
        <v>3.2283399999999997E-3</v>
      </c>
      <c r="G27" s="17">
        <f t="shared" si="6"/>
        <v>3.5687000000000002E-3</v>
      </c>
      <c r="H27" s="17">
        <f t="shared" si="6"/>
        <v>4.7371000000000002E-3</v>
      </c>
      <c r="I27" s="17">
        <f t="shared" si="6"/>
        <v>6.1188599999999994E-3</v>
      </c>
      <c r="J27" s="17">
        <f t="shared" si="6"/>
        <v>7.3964800000000004E-3</v>
      </c>
      <c r="M27" s="39" t="s">
        <v>165</v>
      </c>
      <c r="N27" s="40"/>
      <c r="O27" s="40"/>
      <c r="P27" s="41"/>
      <c r="W27" s="8" t="str">
        <f t="shared" si="4"/>
        <v>RM3575B</v>
      </c>
      <c r="X27" s="9">
        <f>G37</f>
        <v>10.38</v>
      </c>
      <c r="Y27" s="10">
        <f>G36</f>
        <v>1.617</v>
      </c>
    </row>
    <row r="28" spans="1:25" x14ac:dyDescent="0.2">
      <c r="A28" s="57"/>
      <c r="B28" s="17" t="s">
        <v>5</v>
      </c>
      <c r="C28" s="17">
        <f t="shared" ref="C28:J28" si="7">C18</f>
        <v>1.46</v>
      </c>
      <c r="D28" s="17">
        <f t="shared" si="7"/>
        <v>1.411</v>
      </c>
      <c r="E28" s="17">
        <f t="shared" si="7"/>
        <v>1.4510000000000001</v>
      </c>
      <c r="F28" s="17">
        <f t="shared" si="7"/>
        <v>1.5</v>
      </c>
      <c r="G28" s="17">
        <f t="shared" si="7"/>
        <v>1.5</v>
      </c>
      <c r="H28" s="17">
        <f t="shared" si="7"/>
        <v>1.4650000000000001</v>
      </c>
      <c r="I28" s="17">
        <f t="shared" si="7"/>
        <v>1.472</v>
      </c>
      <c r="J28" s="17">
        <f t="shared" si="7"/>
        <v>1.4950000000000001</v>
      </c>
      <c r="M28" s="39"/>
      <c r="N28" s="40"/>
      <c r="O28" s="40"/>
      <c r="P28" s="41"/>
      <c r="W28" s="8" t="str">
        <f t="shared" si="4"/>
        <v>RM3575B</v>
      </c>
      <c r="X28" s="9">
        <f>H37</f>
        <v>10.89</v>
      </c>
      <c r="Y28" s="10">
        <f>H36</f>
        <v>1.8420000000000001</v>
      </c>
    </row>
    <row r="29" spans="1:25" x14ac:dyDescent="0.2">
      <c r="B29" s="17"/>
      <c r="C29" s="17"/>
      <c r="D29" s="17"/>
      <c r="E29" s="17"/>
      <c r="F29" s="17"/>
      <c r="G29" s="17"/>
      <c r="H29" s="17"/>
      <c r="I29" s="17"/>
      <c r="J29" s="17"/>
      <c r="M29" s="8" t="s">
        <v>0</v>
      </c>
      <c r="N29" s="9" t="s">
        <v>31</v>
      </c>
      <c r="O29" s="9" t="s">
        <v>152</v>
      </c>
      <c r="P29" s="10" t="s">
        <v>5</v>
      </c>
      <c r="W29" s="8" t="str">
        <f t="shared" si="4"/>
        <v>RM3575B</v>
      </c>
      <c r="X29" s="9">
        <f>I37</f>
        <v>11.42</v>
      </c>
      <c r="Y29" s="10">
        <f>I36</f>
        <v>2.012</v>
      </c>
    </row>
    <row r="30" spans="1:25" x14ac:dyDescent="0.2">
      <c r="A30" s="57" t="s">
        <v>59</v>
      </c>
      <c r="B30" t="s">
        <v>54</v>
      </c>
      <c r="C30">
        <v>0.1244</v>
      </c>
      <c r="D30">
        <v>0.157</v>
      </c>
      <c r="E30">
        <v>0.2</v>
      </c>
      <c r="F30">
        <v>0.25</v>
      </c>
      <c r="G30">
        <v>0.28599999999999998</v>
      </c>
      <c r="H30">
        <v>0.375</v>
      </c>
      <c r="I30">
        <v>0.46899999999999997</v>
      </c>
      <c r="J30">
        <v>0.55600000000000005</v>
      </c>
      <c r="M30" s="8" t="s">
        <v>66</v>
      </c>
      <c r="N30" s="9" t="s">
        <v>151</v>
      </c>
      <c r="O30" s="9" t="s">
        <v>66</v>
      </c>
      <c r="P30" s="10" t="s">
        <v>3</v>
      </c>
      <c r="W30" s="8" t="str">
        <f t="shared" si="4"/>
        <v>RM3575B</v>
      </c>
      <c r="X30" s="9">
        <f>J37</f>
        <v>11.8</v>
      </c>
      <c r="Y30" s="10">
        <f>J36</f>
        <v>2.0339999999999998</v>
      </c>
    </row>
    <row r="31" spans="1:25" x14ac:dyDescent="0.2">
      <c r="A31" s="57"/>
      <c r="B31" t="s">
        <v>55</v>
      </c>
      <c r="C31">
        <v>8.8400000000000006E-2</v>
      </c>
      <c r="D31">
        <v>0.112</v>
      </c>
      <c r="E31">
        <v>0.13700000000000001</v>
      </c>
      <c r="F31">
        <v>0.16800000000000001</v>
      </c>
      <c r="G31">
        <v>0.19500000000000001</v>
      </c>
      <c r="H31">
        <v>0.255</v>
      </c>
      <c r="I31">
        <v>0.315</v>
      </c>
      <c r="J31">
        <v>0.36699999999999999</v>
      </c>
      <c r="M31" s="8">
        <f t="shared" ref="M31:N38" si="8">M15</f>
        <v>0.60959999999999992</v>
      </c>
      <c r="N31" s="9">
        <f t="shared" si="8"/>
        <v>38.291421212799087</v>
      </c>
      <c r="O31" s="9">
        <f>C41</f>
        <v>2.2453600000000001E-3</v>
      </c>
      <c r="P31" s="10">
        <f>C42</f>
        <v>1.407</v>
      </c>
      <c r="W31" s="8" t="str">
        <f t="shared" ref="W31:W38" si="9">$C$6</f>
        <v>RM3575C</v>
      </c>
      <c r="X31" s="9">
        <f>C51</f>
        <v>7.5</v>
      </c>
      <c r="Y31" s="10">
        <f>C50</f>
        <v>0.94199999999999995</v>
      </c>
    </row>
    <row r="32" spans="1:25" x14ac:dyDescent="0.2">
      <c r="A32" s="57"/>
      <c r="B32" t="s">
        <v>57</v>
      </c>
      <c r="C32">
        <v>1.407</v>
      </c>
      <c r="D32">
        <v>1.4</v>
      </c>
      <c r="E32">
        <v>1.462</v>
      </c>
      <c r="F32">
        <v>1.488</v>
      </c>
      <c r="G32">
        <v>1.4670000000000001</v>
      </c>
      <c r="H32">
        <v>1.4710000000000001</v>
      </c>
      <c r="I32">
        <v>1.488</v>
      </c>
      <c r="J32">
        <v>1.5149999999999999</v>
      </c>
      <c r="M32" s="8">
        <f t="shared" si="8"/>
        <v>0.76200000000000001</v>
      </c>
      <c r="N32" s="9">
        <f t="shared" si="8"/>
        <v>36.722012556612412</v>
      </c>
      <c r="O32" s="9">
        <f>D41</f>
        <v>2.8447999999999998E-3</v>
      </c>
      <c r="P32" s="10">
        <f>D42</f>
        <v>1.4</v>
      </c>
      <c r="W32" s="8" t="str">
        <f t="shared" si="9"/>
        <v>RM3575C</v>
      </c>
      <c r="X32" s="9">
        <f>D51</f>
        <v>8.56</v>
      </c>
      <c r="Y32" s="10">
        <f>D50</f>
        <v>1.6319999999999999</v>
      </c>
    </row>
    <row r="33" spans="1:27" x14ac:dyDescent="0.2">
      <c r="A33" s="57"/>
      <c r="B33" t="s">
        <v>58</v>
      </c>
      <c r="C33">
        <v>0.69299999999999995</v>
      </c>
      <c r="D33">
        <v>0.877</v>
      </c>
      <c r="E33">
        <v>1.0660000000000001</v>
      </c>
      <c r="F33">
        <v>1.24</v>
      </c>
      <c r="G33">
        <v>1.3939999999999999</v>
      </c>
      <c r="H33">
        <v>1.74</v>
      </c>
      <c r="I33">
        <v>2.1</v>
      </c>
      <c r="J33">
        <v>2.5</v>
      </c>
      <c r="M33" s="8">
        <f t="shared" si="8"/>
        <v>0.91439999999999999</v>
      </c>
      <c r="N33" s="9">
        <f t="shared" si="8"/>
        <v>35.00611744846892</v>
      </c>
      <c r="O33" s="9">
        <f>E41</f>
        <v>3.4798000000000003E-3</v>
      </c>
      <c r="P33" s="10">
        <f>E42</f>
        <v>1.462</v>
      </c>
      <c r="W33" s="8" t="str">
        <f t="shared" si="9"/>
        <v>RM3575C</v>
      </c>
      <c r="X33" s="9">
        <f>E51</f>
        <v>8.5399999999999991</v>
      </c>
      <c r="Y33" s="10">
        <f>E50</f>
        <v>1.9279999999999999</v>
      </c>
    </row>
    <row r="34" spans="1:27" x14ac:dyDescent="0.2">
      <c r="A34" s="57"/>
      <c r="B34" t="s">
        <v>44</v>
      </c>
      <c r="C34">
        <v>2.575E-3</v>
      </c>
      <c r="D34">
        <v>2.3500000000000001E-3</v>
      </c>
      <c r="E34">
        <v>2.0699999999999998E-3</v>
      </c>
      <c r="F34">
        <v>1.9499999999999999E-3</v>
      </c>
      <c r="G34">
        <v>1.8799999999999999E-3</v>
      </c>
      <c r="H34">
        <v>1.73E-3</v>
      </c>
      <c r="I34">
        <v>1.65E-3</v>
      </c>
      <c r="J34">
        <v>1.66E-3</v>
      </c>
      <c r="M34" s="8">
        <f t="shared" si="8"/>
        <v>1.0668</v>
      </c>
      <c r="N34" s="9">
        <f t="shared" si="8"/>
        <v>33.76105473992186</v>
      </c>
      <c r="O34" s="9">
        <f>F41</f>
        <v>4.2672000000000005E-3</v>
      </c>
      <c r="P34" s="10">
        <f>F42</f>
        <v>1.488</v>
      </c>
      <c r="W34" s="8" t="str">
        <f t="shared" si="9"/>
        <v>RM3575C</v>
      </c>
      <c r="X34" s="9">
        <f>F51</f>
        <v>10.39</v>
      </c>
      <c r="Y34" s="10">
        <f>F50</f>
        <v>2.1549999999999998</v>
      </c>
    </row>
    <row r="35" spans="1:27" x14ac:dyDescent="0.2">
      <c r="A35" s="57"/>
      <c r="B35" t="s">
        <v>61</v>
      </c>
      <c r="C35">
        <v>5923</v>
      </c>
      <c r="D35">
        <v>7447</v>
      </c>
      <c r="E35">
        <v>8391</v>
      </c>
      <c r="F35">
        <v>9924</v>
      </c>
      <c r="G35">
        <v>11157</v>
      </c>
      <c r="H35">
        <v>13791</v>
      </c>
      <c r="I35">
        <v>16269</v>
      </c>
      <c r="J35">
        <v>18203</v>
      </c>
      <c r="M35" s="8">
        <f t="shared" si="8"/>
        <v>1.2191999999999998</v>
      </c>
      <c r="N35" s="9">
        <f t="shared" si="8"/>
        <v>32.653171507098662</v>
      </c>
      <c r="O35" s="9">
        <f>G41</f>
        <v>4.9529999999999999E-3</v>
      </c>
      <c r="P35" s="10">
        <f>G42</f>
        <v>1.4670000000000001</v>
      </c>
      <c r="W35" s="8" t="str">
        <f t="shared" si="9"/>
        <v>RM3575C</v>
      </c>
      <c r="X35" s="9">
        <f>G51</f>
        <v>10.36</v>
      </c>
      <c r="Y35" s="10">
        <f>G50</f>
        <v>2.2189999999999999</v>
      </c>
    </row>
    <row r="36" spans="1:27" x14ac:dyDescent="0.2">
      <c r="A36" s="57"/>
      <c r="B36" t="s">
        <v>63</v>
      </c>
      <c r="C36">
        <v>0.64</v>
      </c>
      <c r="D36">
        <v>1.1399999999999999</v>
      </c>
      <c r="E36">
        <v>1.37</v>
      </c>
      <c r="F36">
        <v>1.556</v>
      </c>
      <c r="G36">
        <v>1.617</v>
      </c>
      <c r="H36">
        <v>1.8420000000000001</v>
      </c>
      <c r="I36">
        <v>2.012</v>
      </c>
      <c r="J36">
        <v>2.0339999999999998</v>
      </c>
      <c r="M36" s="8">
        <f t="shared" si="8"/>
        <v>1.524</v>
      </c>
      <c r="N36" s="9">
        <f t="shared" si="8"/>
        <v>30.906178930175113</v>
      </c>
      <c r="O36" s="9">
        <f>H41</f>
        <v>6.4770000000000001E-3</v>
      </c>
      <c r="P36" s="10">
        <f>H42</f>
        <v>1.4710000000000001</v>
      </c>
      <c r="W36" s="8" t="str">
        <f t="shared" si="9"/>
        <v>RM3575C</v>
      </c>
      <c r="X36" s="9">
        <f>H51</f>
        <v>11.21</v>
      </c>
      <c r="Y36" s="10">
        <f>H50</f>
        <v>2.4950000000000001</v>
      </c>
    </row>
    <row r="37" spans="1:27" x14ac:dyDescent="0.2">
      <c r="A37" s="57"/>
      <c r="B37" t="s">
        <v>64</v>
      </c>
      <c r="C37">
        <v>8.0500000000000007</v>
      </c>
      <c r="D37">
        <v>8.33</v>
      </c>
      <c r="E37">
        <v>9.82</v>
      </c>
      <c r="F37">
        <v>10.5</v>
      </c>
      <c r="G37">
        <v>10.38</v>
      </c>
      <c r="H37">
        <v>10.89</v>
      </c>
      <c r="I37">
        <v>11.42</v>
      </c>
      <c r="J37">
        <v>11.8</v>
      </c>
      <c r="M37" s="8">
        <f t="shared" si="8"/>
        <v>1.8288</v>
      </c>
      <c r="N37" s="9">
        <f t="shared" si="8"/>
        <v>29.511188694730684</v>
      </c>
      <c r="O37" s="9">
        <f>I41</f>
        <v>8.0009999999999994E-3</v>
      </c>
      <c r="P37" s="10">
        <f>I42</f>
        <v>1.488</v>
      </c>
      <c r="W37" s="8" t="str">
        <f t="shared" si="9"/>
        <v>RM3575C</v>
      </c>
      <c r="X37" s="9">
        <f>I51</f>
        <v>12.58</v>
      </c>
      <c r="Y37" s="10">
        <f>I50</f>
        <v>2.8069999999999999</v>
      </c>
    </row>
    <row r="38" spans="1:27" x14ac:dyDescent="0.2">
      <c r="A38" s="57"/>
      <c r="B38" s="17" t="s">
        <v>153</v>
      </c>
      <c r="C38" s="17">
        <f t="shared" ref="C38:J38" si="10">C35/(C31*$I$5)/SQRT(C$14)</f>
        <v>2519709.5031380565</v>
      </c>
      <c r="D38" s="17">
        <f t="shared" si="10"/>
        <v>2607350.0930684144</v>
      </c>
      <c r="E38" s="17">
        <f t="shared" si="10"/>
        <v>2519484.5555953323</v>
      </c>
      <c r="F38" s="17">
        <f t="shared" si="10"/>
        <v>2519555.6773370532</v>
      </c>
      <c r="G38" s="17">
        <f t="shared" si="10"/>
        <v>2523189.9397044042</v>
      </c>
      <c r="H38" s="17">
        <f t="shared" si="10"/>
        <v>2519838.7808224875</v>
      </c>
      <c r="I38" s="17">
        <f t="shared" si="10"/>
        <v>2520148.2799590142</v>
      </c>
      <c r="J38" s="17">
        <f t="shared" si="10"/>
        <v>2520969.3353577498</v>
      </c>
      <c r="M38" s="11">
        <f t="shared" si="8"/>
        <v>2.1335999999999999</v>
      </c>
      <c r="N38" s="12">
        <f t="shared" si="8"/>
        <v>28.331647774176499</v>
      </c>
      <c r="O38" s="12">
        <f>J41</f>
        <v>9.3217999999999999E-3</v>
      </c>
      <c r="P38" s="13">
        <f>J42</f>
        <v>1.5149999999999999</v>
      </c>
      <c r="W38" s="11" t="str">
        <f t="shared" si="9"/>
        <v>RM3575C</v>
      </c>
      <c r="X38" s="12">
        <f>J51</f>
        <v>12.98</v>
      </c>
      <c r="Y38" s="13">
        <f>J50</f>
        <v>2.8759999999999999</v>
      </c>
    </row>
    <row r="39" spans="1:27" x14ac:dyDescent="0.2">
      <c r="A39" s="57"/>
      <c r="B39" s="17" t="s">
        <v>167</v>
      </c>
      <c r="C39" s="17">
        <f t="shared" ref="C39:J39" si="11">C13*$I$5</f>
        <v>0.60959999999999992</v>
      </c>
      <c r="D39" s="17">
        <f t="shared" si="11"/>
        <v>0.76200000000000001</v>
      </c>
      <c r="E39" s="17">
        <f t="shared" si="11"/>
        <v>0.91439999999999999</v>
      </c>
      <c r="F39" s="17">
        <f t="shared" si="11"/>
        <v>1.0668</v>
      </c>
      <c r="G39" s="17">
        <f t="shared" si="11"/>
        <v>1.2191999999999998</v>
      </c>
      <c r="H39" s="17">
        <f t="shared" si="11"/>
        <v>1.524</v>
      </c>
      <c r="I39" s="17">
        <f t="shared" si="11"/>
        <v>1.8288</v>
      </c>
      <c r="J39" s="17">
        <f t="shared" si="11"/>
        <v>2.1335999999999999</v>
      </c>
      <c r="V39" s="9"/>
      <c r="W39" s="9"/>
      <c r="X39" s="9"/>
      <c r="Y39" s="9"/>
      <c r="Z39" s="9"/>
      <c r="AA39" s="9"/>
    </row>
    <row r="40" spans="1:27" x14ac:dyDescent="0.2">
      <c r="A40" s="57"/>
      <c r="B40" s="17" t="s">
        <v>169</v>
      </c>
      <c r="C40" s="17">
        <f t="shared" ref="C40:J40" si="12">$C$7*$I$4*SQRT(C14)</f>
        <v>38.291421212799087</v>
      </c>
      <c r="D40" s="17">
        <f t="shared" si="12"/>
        <v>36.722012556612412</v>
      </c>
      <c r="E40" s="17">
        <f t="shared" si="12"/>
        <v>35.00611744846892</v>
      </c>
      <c r="F40" s="17">
        <f t="shared" si="12"/>
        <v>33.76105473992186</v>
      </c>
      <c r="G40" s="17">
        <f t="shared" si="12"/>
        <v>32.653171507098662</v>
      </c>
      <c r="H40" s="17">
        <f t="shared" si="12"/>
        <v>30.906178930175113</v>
      </c>
      <c r="I40" s="17">
        <f t="shared" si="12"/>
        <v>29.511188694730684</v>
      </c>
      <c r="J40" s="17">
        <f t="shared" si="12"/>
        <v>28.331647774176499</v>
      </c>
      <c r="M40" s="15" t="s">
        <v>161</v>
      </c>
      <c r="N40" s="14">
        <f>$C$7*$I$4</f>
        <v>36.576000000000001</v>
      </c>
      <c r="O40" s="14" t="s">
        <v>32</v>
      </c>
      <c r="P40" s="16"/>
      <c r="V40" s="9"/>
      <c r="W40" s="9"/>
      <c r="X40" s="9"/>
      <c r="Y40" s="9"/>
      <c r="Z40" s="9"/>
      <c r="AA40" s="9"/>
    </row>
    <row r="41" spans="1:27" x14ac:dyDescent="0.2">
      <c r="A41" s="57"/>
      <c r="B41" s="17" t="s">
        <v>168</v>
      </c>
      <c r="C41" s="17">
        <f t="shared" ref="C41:J41" si="13">C31*$I$5</f>
        <v>2.2453600000000001E-3</v>
      </c>
      <c r="D41" s="17">
        <f t="shared" si="13"/>
        <v>2.8447999999999998E-3</v>
      </c>
      <c r="E41" s="17">
        <f t="shared" si="13"/>
        <v>3.4798000000000003E-3</v>
      </c>
      <c r="F41" s="17">
        <f t="shared" si="13"/>
        <v>4.2672000000000005E-3</v>
      </c>
      <c r="G41" s="17">
        <f t="shared" si="13"/>
        <v>4.9529999999999999E-3</v>
      </c>
      <c r="H41" s="17">
        <f t="shared" si="13"/>
        <v>6.4770000000000001E-3</v>
      </c>
      <c r="I41" s="17">
        <f t="shared" si="13"/>
        <v>8.0009999999999994E-3</v>
      </c>
      <c r="J41" s="17">
        <f t="shared" si="13"/>
        <v>9.3217999999999999E-3</v>
      </c>
      <c r="M41" s="8" t="s">
        <v>162</v>
      </c>
      <c r="N41" s="9">
        <f>AVERAGE(C52:J52)</f>
        <v>2520303.9512595637</v>
      </c>
      <c r="O41" s="9" t="s">
        <v>164</v>
      </c>
      <c r="P41" s="10"/>
      <c r="V41" s="9"/>
      <c r="W41" s="9"/>
      <c r="X41" s="9"/>
      <c r="Y41" s="9"/>
      <c r="Z41" s="9"/>
      <c r="AA41" s="9"/>
    </row>
    <row r="42" spans="1:27" ht="24" x14ac:dyDescent="0.2">
      <c r="A42" s="57"/>
      <c r="B42" s="17" t="s">
        <v>5</v>
      </c>
      <c r="C42" s="17">
        <f t="shared" ref="C42:J42" si="14">C32</f>
        <v>1.407</v>
      </c>
      <c r="D42" s="17">
        <f t="shared" si="14"/>
        <v>1.4</v>
      </c>
      <c r="E42" s="17">
        <f t="shared" si="14"/>
        <v>1.462</v>
      </c>
      <c r="F42" s="17">
        <f t="shared" si="14"/>
        <v>1.488</v>
      </c>
      <c r="G42" s="17">
        <f t="shared" si="14"/>
        <v>1.4670000000000001</v>
      </c>
      <c r="H42" s="17">
        <f t="shared" si="14"/>
        <v>1.4710000000000001</v>
      </c>
      <c r="I42" s="17">
        <f t="shared" si="14"/>
        <v>1.488</v>
      </c>
      <c r="J42" s="17">
        <f t="shared" si="14"/>
        <v>1.5149999999999999</v>
      </c>
      <c r="M42" s="8" t="s">
        <v>93</v>
      </c>
      <c r="N42" s="21" t="str">
        <f>C6</f>
        <v>RM3575C</v>
      </c>
      <c r="O42" s="19"/>
      <c r="P42" s="20"/>
      <c r="V42" s="9"/>
      <c r="W42" s="9"/>
      <c r="X42" s="9"/>
      <c r="Y42" s="9"/>
      <c r="Z42" s="9"/>
      <c r="AA42" s="9"/>
    </row>
    <row r="43" spans="1:27" x14ac:dyDescent="0.2">
      <c r="B43" s="17"/>
      <c r="C43" s="17"/>
      <c r="D43" s="17"/>
      <c r="E43" s="17"/>
      <c r="F43" s="17"/>
      <c r="G43" s="17"/>
      <c r="H43" s="17"/>
      <c r="I43" s="17"/>
      <c r="J43" s="17"/>
      <c r="M43" s="39" t="s">
        <v>165</v>
      </c>
      <c r="N43" s="40"/>
      <c r="O43" s="40"/>
      <c r="P43" s="41"/>
      <c r="V43" s="9"/>
      <c r="W43" s="9"/>
      <c r="X43" s="9"/>
      <c r="Y43" s="9"/>
      <c r="Z43" s="9"/>
      <c r="AA43" s="9"/>
    </row>
    <row r="44" spans="1:27" x14ac:dyDescent="0.2">
      <c r="A44" s="57" t="s">
        <v>60</v>
      </c>
      <c r="B44" t="s">
        <v>54</v>
      </c>
      <c r="C44">
        <v>0.17699999999999999</v>
      </c>
      <c r="D44">
        <v>0.216</v>
      </c>
      <c r="E44">
        <v>0.27200000000000002</v>
      </c>
      <c r="F44">
        <v>0.33200000000000002</v>
      </c>
      <c r="G44">
        <v>0.376</v>
      </c>
      <c r="H44">
        <v>0.48699999999999999</v>
      </c>
      <c r="I44">
        <v>0.60599999999999998</v>
      </c>
      <c r="J44">
        <v>0.69699999999999995</v>
      </c>
      <c r="M44" s="39"/>
      <c r="N44" s="40"/>
      <c r="O44" s="40"/>
      <c r="P44" s="41"/>
    </row>
    <row r="45" spans="1:27" x14ac:dyDescent="0.2">
      <c r="A45" s="57"/>
      <c r="B45" t="s">
        <v>55</v>
      </c>
      <c r="C45">
        <v>0.13</v>
      </c>
      <c r="D45">
        <v>0.154</v>
      </c>
      <c r="E45">
        <v>0.19900000000000001</v>
      </c>
      <c r="F45">
        <v>0.22700000000000001</v>
      </c>
      <c r="G45">
        <v>0.25900000000000001</v>
      </c>
      <c r="H45">
        <v>0.32900000000000001</v>
      </c>
      <c r="I45">
        <v>0.39500000000000002</v>
      </c>
      <c r="J45">
        <v>0.45100000000000001</v>
      </c>
      <c r="M45" s="8" t="s">
        <v>0</v>
      </c>
      <c r="N45" s="9" t="s">
        <v>31</v>
      </c>
      <c r="O45" s="9" t="s">
        <v>152</v>
      </c>
      <c r="P45" s="10" t="s">
        <v>5</v>
      </c>
    </row>
    <row r="46" spans="1:27" x14ac:dyDescent="0.2">
      <c r="A46" s="57"/>
      <c r="B46" t="s">
        <v>57</v>
      </c>
      <c r="C46">
        <v>1.361</v>
      </c>
      <c r="D46">
        <v>1.403</v>
      </c>
      <c r="E46">
        <v>1.37</v>
      </c>
      <c r="F46">
        <v>1.466</v>
      </c>
      <c r="G46">
        <v>1.4510000000000001</v>
      </c>
      <c r="H46">
        <v>1.4770000000000001</v>
      </c>
      <c r="I46">
        <v>1.532</v>
      </c>
      <c r="J46">
        <v>1.5429999999999999</v>
      </c>
      <c r="M46" s="8" t="s">
        <v>66</v>
      </c>
      <c r="N46" s="9" t="s">
        <v>151</v>
      </c>
      <c r="O46" s="9" t="s">
        <v>66</v>
      </c>
      <c r="P46" s="10" t="s">
        <v>3</v>
      </c>
    </row>
    <row r="47" spans="1:27" x14ac:dyDescent="0.2">
      <c r="A47" s="57"/>
      <c r="B47" t="s">
        <v>58</v>
      </c>
      <c r="C47">
        <v>1.125</v>
      </c>
      <c r="D47">
        <v>1.35</v>
      </c>
      <c r="E47">
        <v>1.55</v>
      </c>
      <c r="F47">
        <v>1.74</v>
      </c>
      <c r="G47">
        <v>1.9</v>
      </c>
      <c r="H47">
        <v>2.2999999999999998</v>
      </c>
      <c r="I47">
        <v>2.7</v>
      </c>
      <c r="J47">
        <v>3.1</v>
      </c>
      <c r="M47" s="8">
        <f t="shared" ref="M47:N54" si="15">M31</f>
        <v>0.60959999999999992</v>
      </c>
      <c r="N47" s="9">
        <f t="shared" si="15"/>
        <v>38.291421212799087</v>
      </c>
      <c r="O47" s="9">
        <f>C55</f>
        <v>3.3019999999999998E-3</v>
      </c>
      <c r="P47" s="10">
        <f>C56</f>
        <v>1.361</v>
      </c>
    </row>
    <row r="48" spans="1:27" x14ac:dyDescent="0.2">
      <c r="A48" s="57"/>
      <c r="B48" t="s">
        <v>44</v>
      </c>
      <c r="C48">
        <v>2.5100000000000001E-3</v>
      </c>
      <c r="D48">
        <v>2.2499999999999998E-3</v>
      </c>
      <c r="E48">
        <v>2E-3</v>
      </c>
      <c r="F48">
        <v>1.8699999999999999E-3</v>
      </c>
      <c r="G48">
        <v>1.8E-3</v>
      </c>
      <c r="H48">
        <v>1.66E-3</v>
      </c>
      <c r="I48">
        <v>1.5299999999999999E-3</v>
      </c>
      <c r="J48">
        <v>1.47E-3</v>
      </c>
      <c r="M48" s="8">
        <f t="shared" si="15"/>
        <v>0.76200000000000001</v>
      </c>
      <c r="N48" s="9">
        <f t="shared" si="15"/>
        <v>36.722012556612412</v>
      </c>
      <c r="O48" s="9">
        <f>D55</f>
        <v>3.9115999999999995E-3</v>
      </c>
      <c r="P48" s="10">
        <f>D56</f>
        <v>1.403</v>
      </c>
    </row>
    <row r="49" spans="1:16" x14ac:dyDescent="0.2">
      <c r="A49" s="57"/>
      <c r="B49" t="s">
        <v>61</v>
      </c>
      <c r="C49">
        <v>8711</v>
      </c>
      <c r="D49">
        <v>9895</v>
      </c>
      <c r="E49">
        <v>12188</v>
      </c>
      <c r="F49">
        <v>13409</v>
      </c>
      <c r="G49">
        <v>14819</v>
      </c>
      <c r="H49">
        <v>17792</v>
      </c>
      <c r="I49">
        <v>20400</v>
      </c>
      <c r="J49">
        <v>22370</v>
      </c>
      <c r="M49" s="8">
        <f t="shared" si="15"/>
        <v>0.91439999999999999</v>
      </c>
      <c r="N49" s="9">
        <f t="shared" si="15"/>
        <v>35.00611744846892</v>
      </c>
      <c r="O49" s="9">
        <f>E55</f>
        <v>5.0546000000000002E-3</v>
      </c>
      <c r="P49" s="10">
        <f>E56</f>
        <v>1.37</v>
      </c>
    </row>
    <row r="50" spans="1:16" x14ac:dyDescent="0.2">
      <c r="A50" s="57"/>
      <c r="B50" t="s">
        <v>63</v>
      </c>
      <c r="C50">
        <v>0.94199999999999995</v>
      </c>
      <c r="D50">
        <v>1.6319999999999999</v>
      </c>
      <c r="E50">
        <v>1.9279999999999999</v>
      </c>
      <c r="F50">
        <v>2.1549999999999998</v>
      </c>
      <c r="G50">
        <v>2.2189999999999999</v>
      </c>
      <c r="H50">
        <v>2.4950000000000001</v>
      </c>
      <c r="I50">
        <v>2.8069999999999999</v>
      </c>
      <c r="J50">
        <v>2.8759999999999999</v>
      </c>
      <c r="M50" s="8">
        <f t="shared" si="15"/>
        <v>1.0668</v>
      </c>
      <c r="N50" s="9">
        <f t="shared" si="15"/>
        <v>33.76105473992186</v>
      </c>
      <c r="O50" s="9">
        <f>F55</f>
        <v>5.7657999999999997E-3</v>
      </c>
      <c r="P50" s="10">
        <f>F56</f>
        <v>1.466</v>
      </c>
    </row>
    <row r="51" spans="1:16" x14ac:dyDescent="0.2">
      <c r="A51" s="57"/>
      <c r="B51" t="s">
        <v>64</v>
      </c>
      <c r="C51">
        <v>7.5</v>
      </c>
      <c r="D51">
        <v>8.56</v>
      </c>
      <c r="E51">
        <v>8.5399999999999991</v>
      </c>
      <c r="F51">
        <v>10.39</v>
      </c>
      <c r="G51">
        <v>10.36</v>
      </c>
      <c r="H51">
        <v>11.21</v>
      </c>
      <c r="I51">
        <v>12.58</v>
      </c>
      <c r="J51">
        <v>12.98</v>
      </c>
      <c r="M51" s="8">
        <f t="shared" si="15"/>
        <v>1.2191999999999998</v>
      </c>
      <c r="N51" s="9">
        <f t="shared" si="15"/>
        <v>32.653171507098662</v>
      </c>
      <c r="O51" s="9">
        <f>G55</f>
        <v>6.5785999999999996E-3</v>
      </c>
      <c r="P51" s="10">
        <f>G56</f>
        <v>1.4510000000000001</v>
      </c>
    </row>
    <row r="52" spans="1:16" x14ac:dyDescent="0.2">
      <c r="A52" s="57"/>
      <c r="B52" s="18" t="s">
        <v>153</v>
      </c>
      <c r="C52" s="17">
        <f t="shared" ref="C52:J52" si="16">C49/(C45*$I$5)/SQRT(C$14)</f>
        <v>2519913.7004302242</v>
      </c>
      <c r="D52" s="17">
        <f t="shared" si="16"/>
        <v>2519597.0722474665</v>
      </c>
      <c r="E52" s="17">
        <f t="shared" si="16"/>
        <v>2519404.586759707</v>
      </c>
      <c r="F52" s="17">
        <f t="shared" si="16"/>
        <v>2519515.4136216338</v>
      </c>
      <c r="G52" s="17">
        <f t="shared" si="16"/>
        <v>2523226.6131772166</v>
      </c>
      <c r="H52" s="17">
        <f t="shared" si="16"/>
        <v>2519683.8330624402</v>
      </c>
      <c r="I52" s="17">
        <f t="shared" si="16"/>
        <v>2520048.2780432184</v>
      </c>
      <c r="J52" s="17">
        <f t="shared" si="16"/>
        <v>2521042.1127346032</v>
      </c>
      <c r="M52" s="8">
        <f t="shared" si="15"/>
        <v>1.524</v>
      </c>
      <c r="N52" s="9">
        <f t="shared" si="15"/>
        <v>30.906178930175113</v>
      </c>
      <c r="O52" s="9">
        <f>H55</f>
        <v>8.3566000000000005E-3</v>
      </c>
      <c r="P52" s="10">
        <f>H56</f>
        <v>1.4770000000000001</v>
      </c>
    </row>
    <row r="53" spans="1:16" x14ac:dyDescent="0.2">
      <c r="A53" s="57"/>
      <c r="B53" s="17" t="s">
        <v>167</v>
      </c>
      <c r="C53" s="17">
        <f t="shared" ref="C53:J53" si="17">C13*$I$5</f>
        <v>0.60959999999999992</v>
      </c>
      <c r="D53" s="17">
        <f t="shared" si="17"/>
        <v>0.76200000000000001</v>
      </c>
      <c r="E53" s="17">
        <f t="shared" si="17"/>
        <v>0.91439999999999999</v>
      </c>
      <c r="F53" s="17">
        <f t="shared" si="17"/>
        <v>1.0668</v>
      </c>
      <c r="G53" s="17">
        <f t="shared" si="17"/>
        <v>1.2191999999999998</v>
      </c>
      <c r="H53" s="17">
        <f t="shared" si="17"/>
        <v>1.524</v>
      </c>
      <c r="I53" s="17">
        <f t="shared" si="17"/>
        <v>1.8288</v>
      </c>
      <c r="J53" s="17">
        <f t="shared" si="17"/>
        <v>2.1335999999999999</v>
      </c>
      <c r="M53" s="8">
        <f t="shared" si="15"/>
        <v>1.8288</v>
      </c>
      <c r="N53" s="9">
        <f t="shared" si="15"/>
        <v>29.511188694730684</v>
      </c>
      <c r="O53" s="9">
        <f>I55</f>
        <v>1.0033E-2</v>
      </c>
      <c r="P53" s="10">
        <f>I56</f>
        <v>1.532</v>
      </c>
    </row>
    <row r="54" spans="1:16" x14ac:dyDescent="0.2">
      <c r="A54" s="57"/>
      <c r="B54" s="17" t="s">
        <v>169</v>
      </c>
      <c r="C54" s="17">
        <f>$C$7*$I$4*SQRT(C14)</f>
        <v>38.291421212799087</v>
      </c>
      <c r="D54" s="17">
        <f t="shared" ref="D54:J54" si="18">$C$7*$I$4*SQRT(D14)</f>
        <v>36.722012556612412</v>
      </c>
      <c r="E54" s="17">
        <f t="shared" si="18"/>
        <v>35.00611744846892</v>
      </c>
      <c r="F54" s="17">
        <f t="shared" si="18"/>
        <v>33.76105473992186</v>
      </c>
      <c r="G54" s="17">
        <f t="shared" si="18"/>
        <v>32.653171507098662</v>
      </c>
      <c r="H54" s="17">
        <f t="shared" si="18"/>
        <v>30.906178930175113</v>
      </c>
      <c r="I54" s="17">
        <f t="shared" si="18"/>
        <v>29.511188694730684</v>
      </c>
      <c r="J54" s="17">
        <f t="shared" si="18"/>
        <v>28.331647774176499</v>
      </c>
      <c r="M54" s="11">
        <f t="shared" si="15"/>
        <v>2.1335999999999999</v>
      </c>
      <c r="N54" s="12">
        <f t="shared" si="15"/>
        <v>28.331647774176499</v>
      </c>
      <c r="O54" s="12">
        <f>J55</f>
        <v>1.1455399999999999E-2</v>
      </c>
      <c r="P54" s="13">
        <f>J56</f>
        <v>1.5429999999999999</v>
      </c>
    </row>
    <row r="55" spans="1:16" x14ac:dyDescent="0.2">
      <c r="A55" s="57"/>
      <c r="B55" s="17" t="s">
        <v>168</v>
      </c>
      <c r="C55" s="17">
        <f t="shared" ref="C55:J55" si="19">C45*$I$5</f>
        <v>3.3019999999999998E-3</v>
      </c>
      <c r="D55" s="17">
        <f t="shared" si="19"/>
        <v>3.9115999999999995E-3</v>
      </c>
      <c r="E55" s="17">
        <f t="shared" si="19"/>
        <v>5.0546000000000002E-3</v>
      </c>
      <c r="F55" s="17">
        <f t="shared" si="19"/>
        <v>5.7657999999999997E-3</v>
      </c>
      <c r="G55" s="17">
        <f t="shared" si="19"/>
        <v>6.5785999999999996E-3</v>
      </c>
      <c r="H55" s="17">
        <f t="shared" si="19"/>
        <v>8.3566000000000005E-3</v>
      </c>
      <c r="I55" s="17">
        <f t="shared" si="19"/>
        <v>1.0033E-2</v>
      </c>
      <c r="J55" s="17">
        <f t="shared" si="19"/>
        <v>1.1455399999999999E-2</v>
      </c>
    </row>
    <row r="56" spans="1:16" x14ac:dyDescent="0.2">
      <c r="A56" s="57"/>
      <c r="B56" s="17" t="s">
        <v>5</v>
      </c>
      <c r="C56" s="17">
        <f t="shared" ref="C56:J56" si="20">C46</f>
        <v>1.361</v>
      </c>
      <c r="D56" s="17">
        <f t="shared" si="20"/>
        <v>1.403</v>
      </c>
      <c r="E56" s="17">
        <f t="shared" si="20"/>
        <v>1.37</v>
      </c>
      <c r="F56" s="17">
        <f t="shared" si="20"/>
        <v>1.466</v>
      </c>
      <c r="G56" s="17">
        <f t="shared" si="20"/>
        <v>1.4510000000000001</v>
      </c>
      <c r="H56" s="17">
        <f t="shared" si="20"/>
        <v>1.4770000000000001</v>
      </c>
      <c r="I56" s="17">
        <f t="shared" si="20"/>
        <v>1.532</v>
      </c>
      <c r="J56" s="17">
        <f t="shared" si="20"/>
        <v>1.5429999999999999</v>
      </c>
    </row>
    <row r="57" spans="1:16" x14ac:dyDescent="0.2">
      <c r="B57" s="35" t="s">
        <v>176</v>
      </c>
      <c r="C57">
        <f>$C$7*SQRT(C14)</f>
        <v>125.62802235170304</v>
      </c>
    </row>
    <row r="66" spans="2:8" x14ac:dyDescent="0.2">
      <c r="B66" t="s">
        <v>26</v>
      </c>
    </row>
    <row r="67" spans="2:8" x14ac:dyDescent="0.2">
      <c r="B67" s="44" t="s">
        <v>170</v>
      </c>
      <c r="C67" s="44"/>
      <c r="D67" s="44"/>
      <c r="E67" s="44"/>
      <c r="F67" s="44"/>
      <c r="G67" s="44"/>
      <c r="H67" s="44"/>
    </row>
    <row r="68" spans="2:8" x14ac:dyDescent="0.2">
      <c r="B68" s="44"/>
      <c r="C68" s="44"/>
      <c r="D68" s="44"/>
      <c r="E68" s="44"/>
      <c r="F68" s="44"/>
      <c r="G68" s="44"/>
      <c r="H68" s="44"/>
    </row>
    <row r="69" spans="2:8" x14ac:dyDescent="0.2">
      <c r="B69" s="44"/>
      <c r="C69" s="44"/>
      <c r="D69" s="44"/>
      <c r="E69" s="44"/>
      <c r="F69" s="44"/>
      <c r="G69" s="44"/>
      <c r="H69" s="44"/>
    </row>
    <row r="70" spans="2:8" x14ac:dyDescent="0.2">
      <c r="B70" s="44"/>
      <c r="C70" s="44"/>
      <c r="D70" s="44"/>
      <c r="E70" s="44"/>
      <c r="F70" s="44"/>
      <c r="G70" s="44"/>
      <c r="H70" s="44"/>
    </row>
  </sheetData>
  <mergeCells count="10">
    <mergeCell ref="B2:AB2"/>
    <mergeCell ref="B67:H70"/>
    <mergeCell ref="W10:Y12"/>
    <mergeCell ref="F6:J9"/>
    <mergeCell ref="A44:A56"/>
    <mergeCell ref="A30:A42"/>
    <mergeCell ref="A16:A28"/>
    <mergeCell ref="M11:P12"/>
    <mergeCell ref="M27:P28"/>
    <mergeCell ref="M43:P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6"/>
  <sheetViews>
    <sheetView workbookViewId="0">
      <selection activeCell="G8" sqref="G8"/>
    </sheetView>
  </sheetViews>
  <sheetFormatPr baseColWidth="10" defaultRowHeight="16" x14ac:dyDescent="0.2"/>
  <sheetData>
    <row r="2" spans="2:16" ht="31" x14ac:dyDescent="0.35">
      <c r="B2" s="1" t="s">
        <v>65</v>
      </c>
    </row>
    <row r="5" spans="2:16" x14ac:dyDescent="0.2">
      <c r="B5" t="s">
        <v>93</v>
      </c>
      <c r="C5" t="s">
        <v>173</v>
      </c>
    </row>
    <row r="6" spans="2:16" x14ac:dyDescent="0.2">
      <c r="B6" t="s">
        <v>69</v>
      </c>
      <c r="C6" t="s">
        <v>70</v>
      </c>
      <c r="M6" s="22" t="s">
        <v>161</v>
      </c>
      <c r="N6" s="23">
        <f>C14</f>
        <v>20.48</v>
      </c>
      <c r="O6" s="23" t="s">
        <v>32</v>
      </c>
      <c r="P6" s="24"/>
    </row>
    <row r="7" spans="2:16" x14ac:dyDescent="0.2">
      <c r="B7" t="s">
        <v>75</v>
      </c>
      <c r="C7" t="s">
        <v>76</v>
      </c>
      <c r="M7" s="25" t="s">
        <v>162</v>
      </c>
      <c r="N7" s="27">
        <f>AVERAGE(J14:J22)</f>
        <v>1330479.3634733898</v>
      </c>
      <c r="O7" s="27" t="s">
        <v>164</v>
      </c>
      <c r="P7" s="26"/>
    </row>
    <row r="8" spans="2:16" x14ac:dyDescent="0.2">
      <c r="M8" s="25" t="s">
        <v>93</v>
      </c>
      <c r="N8" s="27" t="str">
        <f>C5</f>
        <v>AUBERTINE2005</v>
      </c>
      <c r="O8" s="27"/>
      <c r="P8" s="26"/>
    </row>
    <row r="9" spans="2:16" x14ac:dyDescent="0.2">
      <c r="M9" s="58" t="s">
        <v>165</v>
      </c>
      <c r="N9" s="59"/>
      <c r="O9" s="59"/>
      <c r="P9" s="60"/>
    </row>
    <row r="10" spans="2:16" ht="16" customHeight="1" x14ac:dyDescent="0.2">
      <c r="M10" s="58"/>
      <c r="N10" s="59"/>
      <c r="O10" s="59"/>
      <c r="P10" s="60"/>
    </row>
    <row r="11" spans="2:16" x14ac:dyDescent="0.2">
      <c r="M11" s="58"/>
      <c r="N11" s="59"/>
      <c r="O11" s="59"/>
      <c r="P11" s="60"/>
    </row>
    <row r="12" spans="2:16" x14ac:dyDescent="0.2">
      <c r="B12" t="s">
        <v>0</v>
      </c>
      <c r="C12" t="s">
        <v>67</v>
      </c>
      <c r="D12" t="s">
        <v>68</v>
      </c>
      <c r="E12" t="s">
        <v>4</v>
      </c>
      <c r="F12" t="s">
        <v>5</v>
      </c>
      <c r="G12" t="s">
        <v>75</v>
      </c>
      <c r="H12" t="s">
        <v>73</v>
      </c>
      <c r="I12" t="s">
        <v>74</v>
      </c>
      <c r="J12" s="17" t="s">
        <v>172</v>
      </c>
      <c r="M12" s="25" t="s">
        <v>0</v>
      </c>
      <c r="N12" s="27" t="s">
        <v>67</v>
      </c>
      <c r="O12" s="27" t="s">
        <v>152</v>
      </c>
      <c r="P12" s="26" t="s">
        <v>5</v>
      </c>
    </row>
    <row r="13" spans="2:16" ht="16" customHeight="1" x14ac:dyDescent="0.2">
      <c r="B13" t="s">
        <v>33</v>
      </c>
      <c r="C13" t="s">
        <v>32</v>
      </c>
      <c r="D13" t="s">
        <v>72</v>
      </c>
      <c r="E13" t="s">
        <v>72</v>
      </c>
      <c r="F13" t="s">
        <v>3</v>
      </c>
      <c r="G13" t="s">
        <v>3</v>
      </c>
      <c r="H13" t="s">
        <v>3</v>
      </c>
      <c r="I13" t="s">
        <v>3</v>
      </c>
      <c r="J13" s="17"/>
      <c r="M13" s="25" t="s">
        <v>66</v>
      </c>
      <c r="N13" s="27" t="s">
        <v>151</v>
      </c>
      <c r="O13" s="27" t="s">
        <v>66</v>
      </c>
      <c r="P13" s="26" t="s">
        <v>3</v>
      </c>
    </row>
    <row r="14" spans="2:16" ht="16" customHeight="1" x14ac:dyDescent="0.2">
      <c r="B14">
        <v>-0.33</v>
      </c>
      <c r="C14">
        <v>20.48</v>
      </c>
      <c r="D14">
        <v>25.22</v>
      </c>
      <c r="E14">
        <v>2.5099999999999998</v>
      </c>
      <c r="F14">
        <v>1.34</v>
      </c>
      <c r="G14">
        <v>0.31</v>
      </c>
      <c r="H14">
        <v>3330</v>
      </c>
      <c r="I14">
        <v>-0.17</v>
      </c>
      <c r="J14" s="17">
        <f t="shared" ref="J14:J23" si="0">H14/(E14/1000)/(C14/$C$14)</f>
        <v>1326693.2270916337</v>
      </c>
      <c r="M14" s="25">
        <f t="shared" ref="M14:M23" si="1">B14</f>
        <v>-0.33</v>
      </c>
      <c r="N14" s="27">
        <f t="shared" ref="N14:N23" si="2">C14</f>
        <v>20.48</v>
      </c>
      <c r="O14" s="27">
        <f t="shared" ref="O14:O23" si="3">E14/1000</f>
        <v>2.5099999999999996E-3</v>
      </c>
      <c r="P14" s="26">
        <f t="shared" ref="P14:P23" si="4">F14</f>
        <v>1.34</v>
      </c>
    </row>
    <row r="15" spans="2:16" ht="16" customHeight="1" x14ac:dyDescent="0.2">
      <c r="B15">
        <v>0</v>
      </c>
      <c r="C15">
        <v>20.62</v>
      </c>
      <c r="D15">
        <v>23.81</v>
      </c>
      <c r="E15">
        <v>2.17</v>
      </c>
      <c r="F15">
        <v>1.29</v>
      </c>
      <c r="G15">
        <v>-0.04</v>
      </c>
      <c r="H15">
        <v>2990</v>
      </c>
      <c r="I15">
        <v>-7.0000000000000007E-2</v>
      </c>
      <c r="J15" s="17">
        <f t="shared" si="0"/>
        <v>1368525.0327407958</v>
      </c>
      <c r="M15" s="25">
        <f t="shared" si="1"/>
        <v>0</v>
      </c>
      <c r="N15" s="27">
        <f t="shared" si="2"/>
        <v>20.62</v>
      </c>
      <c r="O15" s="27">
        <f t="shared" si="3"/>
        <v>2.1700000000000001E-3</v>
      </c>
      <c r="P15" s="26">
        <f t="shared" si="4"/>
        <v>1.29</v>
      </c>
    </row>
    <row r="16" spans="2:16" x14ac:dyDescent="0.2">
      <c r="B16">
        <v>0.25</v>
      </c>
      <c r="C16">
        <v>19.87</v>
      </c>
      <c r="D16">
        <v>29.18</v>
      </c>
      <c r="E16">
        <v>3.1</v>
      </c>
      <c r="F16">
        <v>1.39</v>
      </c>
      <c r="G16">
        <v>0.72</v>
      </c>
      <c r="H16">
        <v>3990</v>
      </c>
      <c r="I16">
        <v>2.0699999999999998</v>
      </c>
      <c r="J16" s="17">
        <f t="shared" si="0"/>
        <v>1326610.0621783528</v>
      </c>
      <c r="M16" s="25">
        <f t="shared" si="1"/>
        <v>0.25</v>
      </c>
      <c r="N16" s="27">
        <f t="shared" si="2"/>
        <v>19.87</v>
      </c>
      <c r="O16" s="27">
        <f t="shared" si="3"/>
        <v>3.0999999999999999E-3</v>
      </c>
      <c r="P16" s="26">
        <f t="shared" si="4"/>
        <v>1.39</v>
      </c>
    </row>
    <row r="17" spans="2:16" x14ac:dyDescent="0.2">
      <c r="B17">
        <v>0.33</v>
      </c>
      <c r="C17">
        <v>19.600000000000001</v>
      </c>
      <c r="D17">
        <v>30.41</v>
      </c>
      <c r="E17">
        <v>3.32</v>
      </c>
      <c r="F17">
        <v>1.39</v>
      </c>
      <c r="G17">
        <v>0.72</v>
      </c>
      <c r="H17">
        <v>4210</v>
      </c>
      <c r="I17">
        <v>1.74</v>
      </c>
      <c r="J17" s="17">
        <f t="shared" si="0"/>
        <v>1325006.147037128</v>
      </c>
      <c r="M17" s="25">
        <f t="shared" si="1"/>
        <v>0.33</v>
      </c>
      <c r="N17" s="27">
        <f t="shared" si="2"/>
        <v>19.600000000000001</v>
      </c>
      <c r="O17" s="27">
        <f t="shared" si="3"/>
        <v>3.32E-3</v>
      </c>
      <c r="P17" s="26">
        <f t="shared" si="4"/>
        <v>1.39</v>
      </c>
    </row>
    <row r="18" spans="2:16" x14ac:dyDescent="0.2">
      <c r="B18">
        <v>0.5</v>
      </c>
      <c r="C18">
        <v>19.2</v>
      </c>
      <c r="D18">
        <v>33.770000000000003</v>
      </c>
      <c r="E18">
        <v>3.78</v>
      </c>
      <c r="F18">
        <v>1.42</v>
      </c>
      <c r="G18">
        <v>0.87</v>
      </c>
      <c r="H18">
        <v>4700</v>
      </c>
      <c r="I18">
        <v>1.6</v>
      </c>
      <c r="J18" s="17">
        <f t="shared" si="0"/>
        <v>1326278.659611993</v>
      </c>
      <c r="M18" s="25">
        <f t="shared" si="1"/>
        <v>0.5</v>
      </c>
      <c r="N18" s="27">
        <f t="shared" si="2"/>
        <v>19.2</v>
      </c>
      <c r="O18" s="27">
        <f t="shared" si="3"/>
        <v>3.7799999999999999E-3</v>
      </c>
      <c r="P18" s="26">
        <f t="shared" si="4"/>
        <v>1.42</v>
      </c>
    </row>
    <row r="19" spans="2:16" x14ac:dyDescent="0.2">
      <c r="B19">
        <v>0.67</v>
      </c>
      <c r="C19">
        <v>18.8</v>
      </c>
      <c r="D19">
        <v>35.64</v>
      </c>
      <c r="E19">
        <v>4.24</v>
      </c>
      <c r="F19">
        <v>1.46</v>
      </c>
      <c r="G19">
        <v>0.92</v>
      </c>
      <c r="H19">
        <v>5160</v>
      </c>
      <c r="I19">
        <v>2.31</v>
      </c>
      <c r="J19" s="17">
        <f t="shared" si="0"/>
        <v>1325732.637494982</v>
      </c>
      <c r="M19" s="25">
        <f t="shared" si="1"/>
        <v>0.67</v>
      </c>
      <c r="N19" s="27">
        <f t="shared" si="2"/>
        <v>18.8</v>
      </c>
      <c r="O19" s="27">
        <f t="shared" si="3"/>
        <v>4.2399999999999998E-3</v>
      </c>
      <c r="P19" s="26">
        <f t="shared" si="4"/>
        <v>1.46</v>
      </c>
    </row>
    <row r="20" spans="2:16" x14ac:dyDescent="0.2">
      <c r="B20">
        <v>0.75</v>
      </c>
      <c r="C20">
        <v>18.71</v>
      </c>
      <c r="D20">
        <v>37.53</v>
      </c>
      <c r="E20">
        <v>4.5999999999999996</v>
      </c>
      <c r="F20">
        <v>1.48</v>
      </c>
      <c r="G20">
        <v>1.29</v>
      </c>
      <c r="H20">
        <v>5570</v>
      </c>
      <c r="I20">
        <v>1.38</v>
      </c>
      <c r="J20" s="17">
        <f t="shared" si="0"/>
        <v>1325420.0264912974</v>
      </c>
      <c r="M20" s="25">
        <f t="shared" si="1"/>
        <v>0.75</v>
      </c>
      <c r="N20" s="27">
        <f t="shared" si="2"/>
        <v>18.71</v>
      </c>
      <c r="O20" s="27">
        <f t="shared" si="3"/>
        <v>4.5999999999999999E-3</v>
      </c>
      <c r="P20" s="26">
        <f t="shared" si="4"/>
        <v>1.48</v>
      </c>
    </row>
    <row r="21" spans="2:16" x14ac:dyDescent="0.2">
      <c r="B21">
        <v>1</v>
      </c>
      <c r="C21">
        <v>18.23</v>
      </c>
      <c r="D21">
        <v>41.76</v>
      </c>
      <c r="E21">
        <v>5.66</v>
      </c>
      <c r="F21">
        <v>1.56</v>
      </c>
      <c r="G21">
        <v>1.24</v>
      </c>
      <c r="H21">
        <v>6680</v>
      </c>
      <c r="I21">
        <v>-1.41</v>
      </c>
      <c r="J21" s="17">
        <f t="shared" si="0"/>
        <v>1325877.2380400419</v>
      </c>
      <c r="M21" s="25">
        <f t="shared" si="1"/>
        <v>1</v>
      </c>
      <c r="N21" s="27">
        <f t="shared" si="2"/>
        <v>18.23</v>
      </c>
      <c r="O21" s="27">
        <f t="shared" si="3"/>
        <v>5.6600000000000001E-3</v>
      </c>
      <c r="P21" s="26">
        <f t="shared" si="4"/>
        <v>1.56</v>
      </c>
    </row>
    <row r="22" spans="2:16" x14ac:dyDescent="0.2">
      <c r="B22">
        <v>1.33</v>
      </c>
      <c r="C22">
        <v>18.260000000000002</v>
      </c>
      <c r="D22">
        <v>39.78</v>
      </c>
      <c r="E22">
        <v>5.37</v>
      </c>
      <c r="F22">
        <v>1.47</v>
      </c>
      <c r="G22">
        <v>0.54</v>
      </c>
      <c r="H22">
        <v>6340</v>
      </c>
      <c r="I22">
        <v>-3.6999999999999998E-2</v>
      </c>
      <c r="J22" s="17">
        <f t="shared" si="0"/>
        <v>1324171.2405742826</v>
      </c>
      <c r="M22" s="25">
        <f t="shared" si="1"/>
        <v>1.33</v>
      </c>
      <c r="N22" s="27">
        <f t="shared" si="2"/>
        <v>18.260000000000002</v>
      </c>
      <c r="O22" s="27">
        <f t="shared" si="3"/>
        <v>5.3699999999999998E-3</v>
      </c>
      <c r="P22" s="26">
        <f t="shared" si="4"/>
        <v>1.47</v>
      </c>
    </row>
    <row r="23" spans="2:16" x14ac:dyDescent="0.2">
      <c r="B23" s="4">
        <v>1.67</v>
      </c>
      <c r="C23" s="4">
        <v>17.54</v>
      </c>
      <c r="D23" s="4">
        <v>38.770000000000003</v>
      </c>
      <c r="E23" s="4">
        <v>5.26</v>
      </c>
      <c r="F23" s="4">
        <v>1.45</v>
      </c>
      <c r="G23" s="4">
        <v>0.67</v>
      </c>
      <c r="H23" s="4">
        <v>6320</v>
      </c>
      <c r="I23" s="4">
        <v>-0.18</v>
      </c>
      <c r="J23" s="4">
        <f t="shared" si="0"/>
        <v>1402916.0940121657</v>
      </c>
      <c r="M23" s="28">
        <f t="shared" si="1"/>
        <v>1.67</v>
      </c>
      <c r="N23" s="29">
        <f t="shared" si="2"/>
        <v>17.54</v>
      </c>
      <c r="O23" s="29">
        <f t="shared" si="3"/>
        <v>5.2599999999999999E-3</v>
      </c>
      <c r="P23" s="30">
        <f t="shared" si="4"/>
        <v>1.45</v>
      </c>
    </row>
    <row r="32" spans="2:16" x14ac:dyDescent="0.2">
      <c r="B32" t="s">
        <v>26</v>
      </c>
    </row>
    <row r="33" spans="2:8" x14ac:dyDescent="0.2">
      <c r="B33" s="42" t="s">
        <v>71</v>
      </c>
      <c r="C33" s="42"/>
      <c r="D33" s="42"/>
      <c r="E33" s="42"/>
      <c r="F33" s="42"/>
      <c r="G33" s="42"/>
      <c r="H33" s="42"/>
    </row>
    <row r="34" spans="2:8" x14ac:dyDescent="0.2">
      <c r="B34" s="42"/>
      <c r="C34" s="42"/>
      <c r="D34" s="42"/>
      <c r="E34" s="42"/>
      <c r="F34" s="42"/>
      <c r="G34" s="42"/>
      <c r="H34" s="42"/>
    </row>
    <row r="35" spans="2:8" x14ac:dyDescent="0.2">
      <c r="B35" s="42"/>
      <c r="C35" s="42"/>
      <c r="D35" s="42"/>
      <c r="E35" s="42"/>
      <c r="F35" s="42"/>
      <c r="G35" s="42"/>
      <c r="H35" s="42"/>
    </row>
    <row r="36" spans="2:8" x14ac:dyDescent="0.2">
      <c r="B36" s="42"/>
      <c r="C36" s="42"/>
      <c r="D36" s="42"/>
      <c r="E36" s="42"/>
      <c r="F36" s="42"/>
      <c r="G36" s="42"/>
      <c r="H36" s="42"/>
    </row>
  </sheetData>
  <mergeCells count="2">
    <mergeCell ref="B33:H36"/>
    <mergeCell ref="M9:P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5"/>
  <sheetViews>
    <sheetView topLeftCell="A6" workbookViewId="0">
      <selection activeCell="L26" sqref="L26"/>
    </sheetView>
  </sheetViews>
  <sheetFormatPr baseColWidth="10" defaultRowHeight="16" x14ac:dyDescent="0.2"/>
  <sheetData>
    <row r="2" spans="2:21" ht="31" x14ac:dyDescent="0.35">
      <c r="B2" s="1" t="s">
        <v>77</v>
      </c>
    </row>
    <row r="7" spans="2:21" x14ac:dyDescent="0.2">
      <c r="N7" s="22" t="s">
        <v>161</v>
      </c>
      <c r="O7" s="23">
        <f>C15</f>
        <v>22.35</v>
      </c>
      <c r="P7" s="23" t="s">
        <v>32</v>
      </c>
      <c r="Q7" s="24"/>
    </row>
    <row r="8" spans="2:21" x14ac:dyDescent="0.2">
      <c r="N8" s="25" t="s">
        <v>162</v>
      </c>
      <c r="O8" s="27">
        <f>AVERAGE(L15:L26)</f>
        <v>1457543.4711555985</v>
      </c>
      <c r="P8" s="27" t="s">
        <v>164</v>
      </c>
      <c r="Q8" s="26"/>
    </row>
    <row r="9" spans="2:21" x14ac:dyDescent="0.2">
      <c r="B9" t="s">
        <v>93</v>
      </c>
      <c r="C9" t="s">
        <v>94</v>
      </c>
      <c r="N9" s="25" t="s">
        <v>93</v>
      </c>
      <c r="O9" s="27" t="str">
        <f>C9</f>
        <v>SKARE1994</v>
      </c>
      <c r="P9" s="27"/>
      <c r="Q9" s="26"/>
    </row>
    <row r="10" spans="2:21" x14ac:dyDescent="0.2">
      <c r="B10" t="s">
        <v>64</v>
      </c>
      <c r="C10" t="s">
        <v>81</v>
      </c>
      <c r="N10" s="58" t="s">
        <v>165</v>
      </c>
      <c r="O10" s="59"/>
      <c r="P10" s="59"/>
      <c r="Q10" s="60"/>
      <c r="S10" s="45" t="s">
        <v>138</v>
      </c>
      <c r="T10" s="46"/>
      <c r="U10" s="47"/>
    </row>
    <row r="11" spans="2:21" x14ac:dyDescent="0.2">
      <c r="B11" t="s">
        <v>39</v>
      </c>
      <c r="C11" t="s">
        <v>92</v>
      </c>
      <c r="N11" s="58"/>
      <c r="O11" s="59"/>
      <c r="P11" s="59"/>
      <c r="Q11" s="60"/>
      <c r="S11" s="39"/>
      <c r="T11" s="40"/>
      <c r="U11" s="41"/>
    </row>
    <row r="12" spans="2:21" x14ac:dyDescent="0.2">
      <c r="N12" s="58"/>
      <c r="O12" s="59"/>
      <c r="P12" s="59"/>
      <c r="Q12" s="60"/>
      <c r="S12" s="39"/>
      <c r="T12" s="40"/>
      <c r="U12" s="41"/>
    </row>
    <row r="13" spans="2:21" x14ac:dyDescent="0.2">
      <c r="B13" t="s">
        <v>0</v>
      </c>
      <c r="C13" t="s">
        <v>67</v>
      </c>
      <c r="D13" t="s">
        <v>35</v>
      </c>
      <c r="E13" t="s">
        <v>4</v>
      </c>
      <c r="F13" t="s">
        <v>5</v>
      </c>
      <c r="G13" t="s">
        <v>64</v>
      </c>
      <c r="H13" t="s">
        <v>39</v>
      </c>
      <c r="I13" t="s">
        <v>79</v>
      </c>
      <c r="J13" t="s">
        <v>73</v>
      </c>
      <c r="K13" t="s">
        <v>75</v>
      </c>
      <c r="L13" s="17" t="s">
        <v>172</v>
      </c>
      <c r="N13" s="25" t="s">
        <v>0</v>
      </c>
      <c r="O13" s="27" t="s">
        <v>67</v>
      </c>
      <c r="P13" s="27" t="s">
        <v>152</v>
      </c>
      <c r="Q13" s="26" t="s">
        <v>5</v>
      </c>
      <c r="S13" s="8" t="s">
        <v>91</v>
      </c>
      <c r="T13" s="9" t="s">
        <v>64</v>
      </c>
      <c r="U13" s="10" t="s">
        <v>39</v>
      </c>
    </row>
    <row r="14" spans="2:21" x14ac:dyDescent="0.2">
      <c r="B14" t="s">
        <v>33</v>
      </c>
      <c r="C14" t="s">
        <v>32</v>
      </c>
      <c r="D14" t="s">
        <v>72</v>
      </c>
      <c r="E14" t="s">
        <v>72</v>
      </c>
      <c r="F14" t="s">
        <v>78</v>
      </c>
      <c r="G14" t="s">
        <v>78</v>
      </c>
      <c r="H14" t="s">
        <v>78</v>
      </c>
      <c r="I14" t="s">
        <v>78</v>
      </c>
      <c r="J14" t="s">
        <v>78</v>
      </c>
      <c r="L14" s="17" t="s">
        <v>164</v>
      </c>
      <c r="N14" s="25" t="s">
        <v>66</v>
      </c>
      <c r="O14" s="27" t="s">
        <v>151</v>
      </c>
      <c r="P14" s="27" t="s">
        <v>66</v>
      </c>
      <c r="Q14" s="26" t="s">
        <v>3</v>
      </c>
      <c r="S14" s="8" t="s">
        <v>95</v>
      </c>
      <c r="T14" s="9" t="s">
        <v>78</v>
      </c>
      <c r="U14" s="10" t="s">
        <v>78</v>
      </c>
    </row>
    <row r="15" spans="2:21" x14ac:dyDescent="0.2">
      <c r="B15">
        <v>3</v>
      </c>
      <c r="C15">
        <v>22.35</v>
      </c>
      <c r="D15">
        <v>109</v>
      </c>
      <c r="E15">
        <v>17.559999999999999</v>
      </c>
      <c r="F15">
        <v>1.7929999999999999</v>
      </c>
      <c r="G15">
        <v>20.8</v>
      </c>
      <c r="H15">
        <v>12.2</v>
      </c>
      <c r="I15">
        <v>0.9</v>
      </c>
      <c r="J15">
        <v>25400</v>
      </c>
      <c r="K15">
        <v>4.5999999999999996</v>
      </c>
      <c r="L15" s="17">
        <f t="shared" ref="L15:L26" si="0">J15/(E15/1000)/(C15/$C$15)</f>
        <v>1446469.2482915719</v>
      </c>
      <c r="N15" s="8">
        <f t="shared" ref="N15:N26" si="1">B15</f>
        <v>3</v>
      </c>
      <c r="O15" s="9">
        <f t="shared" ref="O15:O26" si="2">C15</f>
        <v>22.35</v>
      </c>
      <c r="P15" s="9">
        <f t="shared" ref="P15:P26" si="3">E15/1000</f>
        <v>1.7559999999999999E-2</v>
      </c>
      <c r="Q15" s="10">
        <f t="shared" ref="Q15:Q26" si="4">F15</f>
        <v>1.7929999999999999</v>
      </c>
      <c r="S15" s="8" t="str">
        <f>$C$9</f>
        <v>SKARE1994</v>
      </c>
      <c r="T15" s="9">
        <f t="shared" ref="T15:T26" si="5">G15</f>
        <v>20.8</v>
      </c>
      <c r="U15" s="10">
        <f t="shared" ref="U15:U26" si="6">H15</f>
        <v>12.2</v>
      </c>
    </row>
    <row r="16" spans="2:21" x14ac:dyDescent="0.2">
      <c r="B16">
        <v>3.2</v>
      </c>
      <c r="C16">
        <v>21.92</v>
      </c>
      <c r="D16">
        <v>125.7</v>
      </c>
      <c r="E16">
        <v>20.14</v>
      </c>
      <c r="F16">
        <v>1.84</v>
      </c>
      <c r="G16">
        <v>22.9</v>
      </c>
      <c r="H16">
        <v>14</v>
      </c>
      <c r="I16">
        <v>0.79700000000000004</v>
      </c>
      <c r="J16">
        <v>28420</v>
      </c>
      <c r="K16">
        <v>5.2</v>
      </c>
      <c r="L16" s="17">
        <f t="shared" si="0"/>
        <v>1438803.8293985894</v>
      </c>
      <c r="N16" s="8">
        <f t="shared" si="1"/>
        <v>3.2</v>
      </c>
      <c r="O16" s="9">
        <f t="shared" si="2"/>
        <v>21.92</v>
      </c>
      <c r="P16" s="9">
        <f t="shared" si="3"/>
        <v>2.0140000000000002E-2</v>
      </c>
      <c r="Q16" s="10">
        <f t="shared" si="4"/>
        <v>1.84</v>
      </c>
      <c r="S16" s="8" t="str">
        <f t="shared" ref="S16:S26" si="7">$C$9</f>
        <v>SKARE1994</v>
      </c>
      <c r="T16" s="9">
        <f t="shared" si="5"/>
        <v>22.9</v>
      </c>
      <c r="U16" s="10">
        <f t="shared" si="6"/>
        <v>14</v>
      </c>
    </row>
    <row r="17" spans="2:21" x14ac:dyDescent="0.2">
      <c r="B17">
        <v>3.4</v>
      </c>
      <c r="C17">
        <v>21.21</v>
      </c>
      <c r="D17">
        <v>139.4</v>
      </c>
      <c r="E17">
        <v>22.6</v>
      </c>
      <c r="F17">
        <v>1.901</v>
      </c>
      <c r="G17">
        <v>24.8</v>
      </c>
      <c r="H17">
        <v>15.7</v>
      </c>
      <c r="I17">
        <v>0.73</v>
      </c>
      <c r="J17">
        <v>30910</v>
      </c>
      <c r="K17">
        <v>5.65</v>
      </c>
      <c r="L17" s="17">
        <f t="shared" si="0"/>
        <v>1441210.5243394121</v>
      </c>
      <c r="N17" s="8">
        <f t="shared" si="1"/>
        <v>3.4</v>
      </c>
      <c r="O17" s="9">
        <f t="shared" si="2"/>
        <v>21.21</v>
      </c>
      <c r="P17" s="9">
        <f t="shared" si="3"/>
        <v>2.2600000000000002E-2</v>
      </c>
      <c r="Q17" s="10">
        <f t="shared" si="4"/>
        <v>1.901</v>
      </c>
      <c r="S17" s="8" t="str">
        <f t="shared" si="7"/>
        <v>SKARE1994</v>
      </c>
      <c r="T17" s="9">
        <f t="shared" si="5"/>
        <v>24.8</v>
      </c>
      <c r="U17" s="10">
        <f t="shared" si="6"/>
        <v>15.7</v>
      </c>
    </row>
    <row r="18" spans="2:21" x14ac:dyDescent="0.2">
      <c r="B18">
        <v>3.6</v>
      </c>
      <c r="C18">
        <v>20.53</v>
      </c>
      <c r="D18">
        <v>153.80000000000001</v>
      </c>
      <c r="E18">
        <v>24.84</v>
      </c>
      <c r="F18">
        <v>1.9359999999999999</v>
      </c>
      <c r="G18">
        <v>26.4</v>
      </c>
      <c r="H18">
        <v>16.899999999999999</v>
      </c>
      <c r="I18">
        <v>0.67200000000000004</v>
      </c>
      <c r="J18">
        <v>33020</v>
      </c>
      <c r="L18" s="17">
        <f t="shared" si="0"/>
        <v>1447151.6879975339</v>
      </c>
      <c r="N18" s="8">
        <f t="shared" si="1"/>
        <v>3.6</v>
      </c>
      <c r="O18" s="9">
        <f t="shared" si="2"/>
        <v>20.53</v>
      </c>
      <c r="P18" s="9">
        <f t="shared" si="3"/>
        <v>2.4840000000000001E-2</v>
      </c>
      <c r="Q18" s="10">
        <f t="shared" si="4"/>
        <v>1.9359999999999999</v>
      </c>
      <c r="S18" s="8" t="str">
        <f t="shared" si="7"/>
        <v>SKARE1994</v>
      </c>
      <c r="T18" s="9">
        <f t="shared" si="5"/>
        <v>26.4</v>
      </c>
      <c r="U18" s="10">
        <f t="shared" si="6"/>
        <v>16.899999999999999</v>
      </c>
    </row>
    <row r="19" spans="2:21" x14ac:dyDescent="0.2">
      <c r="B19">
        <v>3.8</v>
      </c>
      <c r="C19">
        <v>20.100000000000001</v>
      </c>
      <c r="D19">
        <v>167.2</v>
      </c>
      <c r="E19">
        <v>27.03</v>
      </c>
      <c r="F19">
        <v>1.9570000000000001</v>
      </c>
      <c r="G19">
        <v>27</v>
      </c>
      <c r="H19">
        <v>17.3</v>
      </c>
      <c r="I19">
        <v>0.65400000000000003</v>
      </c>
      <c r="J19">
        <v>34570</v>
      </c>
      <c r="L19" s="17">
        <f t="shared" si="0"/>
        <v>1422115.283736699</v>
      </c>
      <c r="N19" s="8">
        <f t="shared" si="1"/>
        <v>3.8</v>
      </c>
      <c r="O19" s="9">
        <f t="shared" si="2"/>
        <v>20.100000000000001</v>
      </c>
      <c r="P19" s="9">
        <f t="shared" si="3"/>
        <v>2.7030000000000002E-2</v>
      </c>
      <c r="Q19" s="10">
        <f t="shared" si="4"/>
        <v>1.9570000000000001</v>
      </c>
      <c r="S19" s="8" t="str">
        <f t="shared" si="7"/>
        <v>SKARE1994</v>
      </c>
      <c r="T19" s="9">
        <f t="shared" si="5"/>
        <v>27</v>
      </c>
      <c r="U19" s="10">
        <f t="shared" si="6"/>
        <v>17.3</v>
      </c>
    </row>
    <row r="20" spans="2:21" x14ac:dyDescent="0.2">
      <c r="B20">
        <v>4</v>
      </c>
      <c r="C20">
        <v>19.809999999999999</v>
      </c>
      <c r="D20">
        <v>185.6</v>
      </c>
      <c r="E20">
        <v>30.13</v>
      </c>
      <c r="F20">
        <v>2.0059999999999998</v>
      </c>
      <c r="G20">
        <v>29.2</v>
      </c>
      <c r="H20">
        <v>19.899999999999999</v>
      </c>
      <c r="I20">
        <v>0.59</v>
      </c>
      <c r="J20">
        <v>39120</v>
      </c>
      <c r="L20" s="17">
        <f t="shared" si="0"/>
        <v>1464848.6878247433</v>
      </c>
      <c r="N20" s="8">
        <f t="shared" si="1"/>
        <v>4</v>
      </c>
      <c r="O20" s="9">
        <f t="shared" si="2"/>
        <v>19.809999999999999</v>
      </c>
      <c r="P20" s="9">
        <f t="shared" si="3"/>
        <v>3.0130000000000001E-2</v>
      </c>
      <c r="Q20" s="10">
        <f t="shared" si="4"/>
        <v>2.0059999999999998</v>
      </c>
      <c r="S20" s="8" t="str">
        <f t="shared" si="7"/>
        <v>SKARE1994</v>
      </c>
      <c r="T20" s="9">
        <f t="shared" si="5"/>
        <v>29.2</v>
      </c>
      <c r="U20" s="10">
        <f t="shared" si="6"/>
        <v>19.899999999999999</v>
      </c>
    </row>
    <row r="21" spans="2:21" x14ac:dyDescent="0.2">
      <c r="B21">
        <v>4.2</v>
      </c>
      <c r="C21">
        <v>19.420000000000002</v>
      </c>
      <c r="D21">
        <v>199.7</v>
      </c>
      <c r="E21">
        <v>32.54</v>
      </c>
      <c r="F21">
        <v>1.9990000000000001</v>
      </c>
      <c r="G21">
        <v>29.3</v>
      </c>
      <c r="H21">
        <v>20</v>
      </c>
      <c r="I21">
        <v>0.58199999999999996</v>
      </c>
      <c r="J21">
        <v>41580</v>
      </c>
      <c r="L21" s="17">
        <f t="shared" si="0"/>
        <v>1470602.2912780403</v>
      </c>
      <c r="N21" s="8">
        <f t="shared" si="1"/>
        <v>4.2</v>
      </c>
      <c r="O21" s="9">
        <f t="shared" si="2"/>
        <v>19.420000000000002</v>
      </c>
      <c r="P21" s="9">
        <f t="shared" si="3"/>
        <v>3.2539999999999999E-2</v>
      </c>
      <c r="Q21" s="10">
        <f t="shared" si="4"/>
        <v>1.9990000000000001</v>
      </c>
      <c r="S21" s="8" t="str">
        <f t="shared" si="7"/>
        <v>SKARE1994</v>
      </c>
      <c r="T21" s="9">
        <f t="shared" si="5"/>
        <v>29.3</v>
      </c>
      <c r="U21" s="10">
        <f t="shared" si="6"/>
        <v>20</v>
      </c>
    </row>
    <row r="22" spans="2:21" x14ac:dyDescent="0.2">
      <c r="B22">
        <v>4.4000000000000004</v>
      </c>
      <c r="C22">
        <v>19.38</v>
      </c>
      <c r="D22">
        <v>215.3</v>
      </c>
      <c r="E22">
        <v>34.83</v>
      </c>
      <c r="F22">
        <v>1.9890000000000001</v>
      </c>
      <c r="G22">
        <v>29.1</v>
      </c>
      <c r="H22">
        <v>19.600000000000001</v>
      </c>
      <c r="I22">
        <v>0.58499999999999996</v>
      </c>
      <c r="J22">
        <v>44420</v>
      </c>
      <c r="L22" s="17">
        <f t="shared" si="0"/>
        <v>1470783.7892852414</v>
      </c>
      <c r="N22" s="8">
        <f t="shared" si="1"/>
        <v>4.4000000000000004</v>
      </c>
      <c r="O22" s="9">
        <f t="shared" si="2"/>
        <v>19.38</v>
      </c>
      <c r="P22" s="9">
        <f t="shared" si="3"/>
        <v>3.483E-2</v>
      </c>
      <c r="Q22" s="10">
        <f t="shared" si="4"/>
        <v>1.9890000000000001</v>
      </c>
      <c r="S22" s="8" t="str">
        <f t="shared" si="7"/>
        <v>SKARE1994</v>
      </c>
      <c r="T22" s="9">
        <f t="shared" si="5"/>
        <v>29.1</v>
      </c>
      <c r="U22" s="10">
        <f t="shared" si="6"/>
        <v>19.600000000000001</v>
      </c>
    </row>
    <row r="23" spans="2:21" x14ac:dyDescent="0.2">
      <c r="B23">
        <v>4.5999999999999996</v>
      </c>
      <c r="C23">
        <v>18.84</v>
      </c>
      <c r="D23">
        <v>231.7</v>
      </c>
      <c r="E23">
        <v>37.35</v>
      </c>
      <c r="F23">
        <v>1.998</v>
      </c>
      <c r="G23">
        <v>29.6</v>
      </c>
      <c r="H23">
        <v>20.100000000000001</v>
      </c>
      <c r="I23">
        <v>0.57099999999999995</v>
      </c>
      <c r="J23">
        <v>46250</v>
      </c>
      <c r="L23" s="17">
        <f t="shared" si="0"/>
        <v>1468986.3487921965</v>
      </c>
      <c r="N23" s="8">
        <f t="shared" si="1"/>
        <v>4.5999999999999996</v>
      </c>
      <c r="O23" s="9">
        <f t="shared" si="2"/>
        <v>18.84</v>
      </c>
      <c r="P23" s="9">
        <f t="shared" si="3"/>
        <v>3.7350000000000001E-2</v>
      </c>
      <c r="Q23" s="10">
        <f t="shared" si="4"/>
        <v>1.998</v>
      </c>
      <c r="S23" s="8" t="str">
        <f t="shared" si="7"/>
        <v>SKARE1994</v>
      </c>
      <c r="T23" s="9">
        <f t="shared" si="5"/>
        <v>29.6</v>
      </c>
      <c r="U23" s="10">
        <f t="shared" si="6"/>
        <v>20.100000000000001</v>
      </c>
    </row>
    <row r="24" spans="2:21" x14ac:dyDescent="0.2">
      <c r="B24">
        <v>4.8</v>
      </c>
      <c r="C24">
        <v>18.670000000000002</v>
      </c>
      <c r="D24">
        <v>247.4</v>
      </c>
      <c r="E24">
        <v>38.979999999999997</v>
      </c>
      <c r="F24">
        <v>1.994</v>
      </c>
      <c r="G24">
        <v>29.6</v>
      </c>
      <c r="H24">
        <v>20.2</v>
      </c>
      <c r="I24">
        <v>0.56699999999999995</v>
      </c>
      <c r="J24">
        <v>49180</v>
      </c>
      <c r="L24" s="17">
        <f t="shared" si="0"/>
        <v>1510357.9960662674</v>
      </c>
      <c r="N24" s="8">
        <f t="shared" si="1"/>
        <v>4.8</v>
      </c>
      <c r="O24" s="9">
        <f t="shared" si="2"/>
        <v>18.670000000000002</v>
      </c>
      <c r="P24" s="9">
        <f t="shared" si="3"/>
        <v>3.8979999999999994E-2</v>
      </c>
      <c r="Q24" s="10">
        <f t="shared" si="4"/>
        <v>1.994</v>
      </c>
      <c r="S24" s="8" t="str">
        <f t="shared" si="7"/>
        <v>SKARE1994</v>
      </c>
      <c r="T24" s="9">
        <f t="shared" si="5"/>
        <v>29.6</v>
      </c>
      <c r="U24" s="10">
        <f t="shared" si="6"/>
        <v>20.2</v>
      </c>
    </row>
    <row r="25" spans="2:21" x14ac:dyDescent="0.2">
      <c r="B25">
        <v>5</v>
      </c>
      <c r="C25">
        <v>18.3</v>
      </c>
      <c r="D25">
        <v>263.7</v>
      </c>
      <c r="E25">
        <v>42.98</v>
      </c>
      <c r="F25">
        <v>1.998</v>
      </c>
      <c r="G25">
        <v>30.2</v>
      </c>
      <c r="H25">
        <v>21.2</v>
      </c>
      <c r="I25">
        <v>0.54600000000000004</v>
      </c>
      <c r="J25">
        <v>50980</v>
      </c>
      <c r="L25" s="17">
        <f t="shared" si="0"/>
        <v>1448637.9482641567</v>
      </c>
      <c r="N25" s="8">
        <f t="shared" si="1"/>
        <v>5</v>
      </c>
      <c r="O25" s="9">
        <f t="shared" si="2"/>
        <v>18.3</v>
      </c>
      <c r="P25" s="9">
        <f t="shared" si="3"/>
        <v>4.2979999999999997E-2</v>
      </c>
      <c r="Q25" s="10">
        <f t="shared" si="4"/>
        <v>1.998</v>
      </c>
      <c r="S25" s="8" t="str">
        <f t="shared" si="7"/>
        <v>SKARE1994</v>
      </c>
      <c r="T25" s="9">
        <f t="shared" si="5"/>
        <v>30.2</v>
      </c>
      <c r="U25" s="10">
        <f t="shared" si="6"/>
        <v>21.2</v>
      </c>
    </row>
    <row r="26" spans="2:21" x14ac:dyDescent="0.2">
      <c r="B26">
        <v>5.2</v>
      </c>
      <c r="C26">
        <v>18.04</v>
      </c>
      <c r="D26">
        <v>282.89999999999998</v>
      </c>
      <c r="E26">
        <v>45.78</v>
      </c>
      <c r="F26">
        <v>1.986</v>
      </c>
      <c r="G26">
        <v>30.2</v>
      </c>
      <c r="H26">
        <v>21.4</v>
      </c>
      <c r="I26">
        <v>0.54100000000000004</v>
      </c>
      <c r="J26">
        <v>53970</v>
      </c>
      <c r="L26" s="17">
        <f t="shared" si="0"/>
        <v>1460554.0185927297</v>
      </c>
      <c r="N26" s="11">
        <f t="shared" si="1"/>
        <v>5.2</v>
      </c>
      <c r="O26" s="12">
        <f t="shared" si="2"/>
        <v>18.04</v>
      </c>
      <c r="P26" s="12">
        <f t="shared" si="3"/>
        <v>4.5780000000000001E-2</v>
      </c>
      <c r="Q26" s="13">
        <f t="shared" si="4"/>
        <v>1.986</v>
      </c>
      <c r="S26" s="11" t="str">
        <f t="shared" si="7"/>
        <v>SKARE1994</v>
      </c>
      <c r="T26" s="12">
        <f t="shared" si="5"/>
        <v>30.2</v>
      </c>
      <c r="U26" s="13">
        <f t="shared" si="6"/>
        <v>21.4</v>
      </c>
    </row>
    <row r="31" spans="2:21" x14ac:dyDescent="0.2">
      <c r="B31" t="s">
        <v>26</v>
      </c>
    </row>
    <row r="32" spans="2:21" x14ac:dyDescent="0.2">
      <c r="B32" s="42" t="s">
        <v>80</v>
      </c>
      <c r="C32" s="42"/>
      <c r="D32" s="42"/>
      <c r="E32" s="42"/>
      <c r="F32" s="42"/>
      <c r="G32" s="42"/>
      <c r="H32" s="42"/>
    </row>
    <row r="33" spans="2:8" x14ac:dyDescent="0.2">
      <c r="B33" s="42"/>
      <c r="C33" s="42"/>
      <c r="D33" s="42"/>
      <c r="E33" s="42"/>
      <c r="F33" s="42"/>
      <c r="G33" s="42"/>
      <c r="H33" s="42"/>
    </row>
    <row r="34" spans="2:8" x14ac:dyDescent="0.2">
      <c r="B34" s="42"/>
      <c r="C34" s="42"/>
      <c r="D34" s="42"/>
      <c r="E34" s="42"/>
      <c r="F34" s="42"/>
      <c r="G34" s="42"/>
      <c r="H34" s="42"/>
    </row>
    <row r="35" spans="2:8" x14ac:dyDescent="0.2">
      <c r="B35" s="42"/>
      <c r="C35" s="42"/>
      <c r="D35" s="42"/>
      <c r="E35" s="42"/>
      <c r="F35" s="42"/>
      <c r="G35" s="42"/>
      <c r="H35" s="42"/>
    </row>
  </sheetData>
  <mergeCells count="3">
    <mergeCell ref="B32:H35"/>
    <mergeCell ref="S10:U12"/>
    <mergeCell ref="N10:Q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tabSelected="1" workbookViewId="0">
      <selection activeCell="B3" sqref="B3"/>
    </sheetView>
  </sheetViews>
  <sheetFormatPr baseColWidth="10" defaultRowHeight="16" x14ac:dyDescent="0.2"/>
  <cols>
    <col min="3" max="3" width="12.33203125" customWidth="1"/>
    <col min="5" max="5" width="12.1640625" customWidth="1"/>
  </cols>
  <sheetData>
    <row r="3" spans="2:11" x14ac:dyDescent="0.2">
      <c r="B3" t="s">
        <v>82</v>
      </c>
    </row>
    <row r="5" spans="2:11" x14ac:dyDescent="0.2">
      <c r="C5" s="38" t="s">
        <v>84</v>
      </c>
      <c r="D5" s="38"/>
      <c r="E5" s="38"/>
      <c r="F5" s="38" t="s">
        <v>88</v>
      </c>
      <c r="G5" s="38"/>
      <c r="H5" s="38"/>
      <c r="I5" s="38" t="s">
        <v>88</v>
      </c>
      <c r="J5" s="38"/>
      <c r="K5" s="38"/>
    </row>
    <row r="6" spans="2:11" x14ac:dyDescent="0.2">
      <c r="C6" t="s">
        <v>85</v>
      </c>
      <c r="D6" t="s">
        <v>86</v>
      </c>
      <c r="E6" s="4" t="s">
        <v>87</v>
      </c>
      <c r="F6" t="s">
        <v>85</v>
      </c>
      <c r="G6" t="s">
        <v>86</v>
      </c>
      <c r="H6" s="6" t="s">
        <v>87</v>
      </c>
      <c r="I6" t="s">
        <v>85</v>
      </c>
      <c r="J6" t="s">
        <v>86</v>
      </c>
      <c r="K6" s="6" t="s">
        <v>87</v>
      </c>
    </row>
    <row r="7" spans="2:11" x14ac:dyDescent="0.2">
      <c r="B7" t="s">
        <v>73</v>
      </c>
      <c r="C7">
        <v>712</v>
      </c>
      <c r="D7">
        <v>678</v>
      </c>
      <c r="E7" s="4">
        <v>407</v>
      </c>
      <c r="F7">
        <v>1722</v>
      </c>
      <c r="G7">
        <v>1007</v>
      </c>
      <c r="H7">
        <v>722</v>
      </c>
      <c r="I7">
        <v>2255</v>
      </c>
      <c r="J7">
        <v>1007</v>
      </c>
      <c r="K7">
        <v>785</v>
      </c>
    </row>
    <row r="8" spans="2:11" x14ac:dyDescent="0.2">
      <c r="B8" t="s">
        <v>5</v>
      </c>
      <c r="C8">
        <v>1.59</v>
      </c>
      <c r="D8">
        <v>1.47</v>
      </c>
      <c r="E8" s="5">
        <v>1.59</v>
      </c>
      <c r="F8">
        <v>1.74</v>
      </c>
      <c r="G8">
        <v>1.45</v>
      </c>
      <c r="H8">
        <v>1.49</v>
      </c>
      <c r="I8">
        <v>2.0299999999999998</v>
      </c>
      <c r="J8">
        <v>1.45</v>
      </c>
      <c r="K8">
        <v>1.48</v>
      </c>
    </row>
    <row r="9" spans="2:11" x14ac:dyDescent="0.2">
      <c r="B9" t="s">
        <v>36</v>
      </c>
      <c r="C9">
        <f>4.1/1000</f>
        <v>4.0999999999999995E-3</v>
      </c>
      <c r="D9">
        <v>4.7999999999999996E-3</v>
      </c>
      <c r="E9" s="4">
        <v>5.4999999999999997E-3</v>
      </c>
      <c r="F9">
        <v>2.3999999999999998E-3</v>
      </c>
      <c r="G9">
        <v>4.3E-3</v>
      </c>
      <c r="H9">
        <v>4.7000000000000002E-3</v>
      </c>
      <c r="I9">
        <v>1.1999999999999999E-3</v>
      </c>
      <c r="J9">
        <v>4.3E-3</v>
      </c>
      <c r="K9">
        <v>4.5999999999999999E-3</v>
      </c>
    </row>
    <row r="26" spans="2:8" x14ac:dyDescent="0.2">
      <c r="B26" t="s">
        <v>26</v>
      </c>
    </row>
    <row r="27" spans="2:8" x14ac:dyDescent="0.2">
      <c r="B27" s="42" t="s">
        <v>83</v>
      </c>
      <c r="C27" s="42"/>
      <c r="D27" s="42"/>
      <c r="E27" s="42"/>
      <c r="F27" s="42"/>
      <c r="G27" s="42"/>
      <c r="H27" s="42"/>
    </row>
    <row r="28" spans="2:8" x14ac:dyDescent="0.2">
      <c r="B28" s="42"/>
      <c r="C28" s="42"/>
      <c r="D28" s="42"/>
      <c r="E28" s="42"/>
      <c r="F28" s="42"/>
      <c r="G28" s="42"/>
      <c r="H28" s="42"/>
    </row>
    <row r="29" spans="2:8" x14ac:dyDescent="0.2">
      <c r="B29" s="42"/>
      <c r="C29" s="42"/>
      <c r="D29" s="42"/>
      <c r="E29" s="42"/>
      <c r="F29" s="42"/>
      <c r="G29" s="42"/>
      <c r="H29" s="42"/>
    </row>
    <row r="30" spans="2:8" x14ac:dyDescent="0.2">
      <c r="B30" s="42"/>
      <c r="C30" s="42"/>
      <c r="D30" s="42"/>
      <c r="E30" s="42"/>
      <c r="F30" s="42"/>
      <c r="G30" s="42"/>
      <c r="H30" s="42"/>
    </row>
  </sheetData>
  <mergeCells count="4">
    <mergeCell ref="B27:H30"/>
    <mergeCell ref="C5:E5"/>
    <mergeCell ref="F5:H5"/>
    <mergeCell ref="I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2"/>
  <sheetViews>
    <sheetView workbookViewId="0">
      <selection activeCell="I6" sqref="I6:K8"/>
    </sheetView>
  </sheetViews>
  <sheetFormatPr baseColWidth="10" defaultRowHeight="16" x14ac:dyDescent="0.2"/>
  <sheetData>
    <row r="3" spans="2:11" ht="31" x14ac:dyDescent="0.35">
      <c r="B3" s="1" t="s">
        <v>89</v>
      </c>
    </row>
    <row r="5" spans="2:11" x14ac:dyDescent="0.2">
      <c r="B5" t="s">
        <v>93</v>
      </c>
      <c r="C5" t="s">
        <v>96</v>
      </c>
    </row>
    <row r="6" spans="2:11" x14ac:dyDescent="0.2">
      <c r="I6" s="45" t="s">
        <v>138</v>
      </c>
      <c r="J6" s="46"/>
      <c r="K6" s="47"/>
    </row>
    <row r="7" spans="2:11" x14ac:dyDescent="0.2">
      <c r="B7" t="s">
        <v>74</v>
      </c>
      <c r="C7">
        <v>1.68</v>
      </c>
      <c r="D7">
        <v>0.73</v>
      </c>
      <c r="E7">
        <v>0.25</v>
      </c>
      <c r="I7" s="39"/>
      <c r="J7" s="40"/>
      <c r="K7" s="41"/>
    </row>
    <row r="8" spans="2:11" x14ac:dyDescent="0.2">
      <c r="B8" t="s">
        <v>64</v>
      </c>
      <c r="C8">
        <v>12.4</v>
      </c>
      <c r="D8">
        <v>9.6999999999999993</v>
      </c>
      <c r="E8">
        <v>8.1300000000000008</v>
      </c>
      <c r="I8" s="39"/>
      <c r="J8" s="40"/>
      <c r="K8" s="41"/>
    </row>
    <row r="9" spans="2:11" x14ac:dyDescent="0.2">
      <c r="I9" s="8" t="s">
        <v>91</v>
      </c>
      <c r="J9" s="9" t="s">
        <v>64</v>
      </c>
      <c r="K9" s="10" t="s">
        <v>39</v>
      </c>
    </row>
    <row r="10" spans="2:11" x14ac:dyDescent="0.2">
      <c r="I10" s="8" t="s">
        <v>95</v>
      </c>
      <c r="J10" s="9" t="s">
        <v>78</v>
      </c>
      <c r="K10" s="10" t="s">
        <v>78</v>
      </c>
    </row>
    <row r="11" spans="2:11" x14ac:dyDescent="0.2">
      <c r="I11" s="8" t="str">
        <f>$C$5</f>
        <v>LEE2008</v>
      </c>
      <c r="J11" s="9">
        <f>C8</f>
        <v>12.4</v>
      </c>
      <c r="K11" s="10">
        <f>C7</f>
        <v>1.68</v>
      </c>
    </row>
    <row r="12" spans="2:11" x14ac:dyDescent="0.2">
      <c r="I12" s="8" t="str">
        <f>$C$5</f>
        <v>LEE2008</v>
      </c>
      <c r="J12" s="9">
        <f>D8</f>
        <v>9.6999999999999993</v>
      </c>
      <c r="K12" s="10">
        <f>D7</f>
        <v>0.73</v>
      </c>
    </row>
    <row r="13" spans="2:11" x14ac:dyDescent="0.2">
      <c r="I13" s="11" t="str">
        <f>$C$5</f>
        <v>LEE2008</v>
      </c>
      <c r="J13" s="12">
        <f>E8</f>
        <v>8.1300000000000008</v>
      </c>
      <c r="K13" s="13">
        <f>E7</f>
        <v>0.25</v>
      </c>
    </row>
    <row r="18" spans="2:8" x14ac:dyDescent="0.2">
      <c r="B18" t="s">
        <v>26</v>
      </c>
    </row>
    <row r="19" spans="2:8" ht="16" customHeight="1" x14ac:dyDescent="0.2">
      <c r="B19" s="42" t="s">
        <v>90</v>
      </c>
      <c r="C19" s="42"/>
      <c r="D19" s="42"/>
      <c r="E19" s="42"/>
      <c r="F19" s="42"/>
      <c r="G19" s="42"/>
      <c r="H19" s="42"/>
    </row>
    <row r="20" spans="2:8" x14ac:dyDescent="0.2">
      <c r="B20" s="42"/>
      <c r="C20" s="42"/>
      <c r="D20" s="42"/>
      <c r="E20" s="42"/>
      <c r="F20" s="42"/>
      <c r="G20" s="42"/>
      <c r="H20" s="42"/>
    </row>
    <row r="21" spans="2:8" x14ac:dyDescent="0.2">
      <c r="B21" s="42"/>
      <c r="C21" s="42"/>
      <c r="D21" s="42"/>
      <c r="E21" s="42"/>
      <c r="F21" s="42"/>
      <c r="G21" s="42"/>
      <c r="H21" s="42"/>
    </row>
    <row r="22" spans="2:8" x14ac:dyDescent="0.2">
      <c r="B22" s="42"/>
      <c r="C22" s="42"/>
      <c r="D22" s="42"/>
      <c r="E22" s="42"/>
      <c r="F22" s="42"/>
      <c r="G22" s="42"/>
      <c r="H22" s="42"/>
    </row>
  </sheetData>
  <mergeCells count="2">
    <mergeCell ref="B19:H22"/>
    <mergeCell ref="I6:K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76"/>
  <sheetViews>
    <sheetView topLeftCell="C36" zoomScale="90" workbookViewId="0">
      <selection activeCell="X37" sqref="X37"/>
    </sheetView>
  </sheetViews>
  <sheetFormatPr baseColWidth="10" defaultRowHeight="16" x14ac:dyDescent="0.2"/>
  <sheetData>
    <row r="2" spans="2:23" ht="31" x14ac:dyDescent="0.35">
      <c r="B2" s="1" t="s">
        <v>132</v>
      </c>
    </row>
    <row r="4" spans="2:23" x14ac:dyDescent="0.2">
      <c r="G4" t="s">
        <v>143</v>
      </c>
      <c r="H4">
        <v>1</v>
      </c>
      <c r="I4" t="s">
        <v>16</v>
      </c>
      <c r="J4">
        <v>0.30480000000000002</v>
      </c>
      <c r="K4" t="s">
        <v>33</v>
      </c>
    </row>
    <row r="5" spans="2:23" x14ac:dyDescent="0.2">
      <c r="B5" t="s">
        <v>131</v>
      </c>
      <c r="C5" t="s">
        <v>135</v>
      </c>
      <c r="H5">
        <v>1</v>
      </c>
      <c r="I5" t="s">
        <v>144</v>
      </c>
      <c r="J5">
        <v>2.5399999999999999E-2</v>
      </c>
      <c r="K5" t="s">
        <v>33</v>
      </c>
    </row>
    <row r="6" spans="2:23" x14ac:dyDescent="0.2">
      <c r="B6" t="s">
        <v>131</v>
      </c>
      <c r="C6" t="s">
        <v>136</v>
      </c>
    </row>
    <row r="7" spans="2:23" x14ac:dyDescent="0.2">
      <c r="B7" t="s">
        <v>131</v>
      </c>
      <c r="C7" t="s">
        <v>137</v>
      </c>
    </row>
    <row r="8" spans="2:23" x14ac:dyDescent="0.2">
      <c r="B8" t="s">
        <v>103</v>
      </c>
      <c r="C8" t="s">
        <v>133</v>
      </c>
    </row>
    <row r="9" spans="2:23" x14ac:dyDescent="0.2">
      <c r="B9" t="s">
        <v>64</v>
      </c>
      <c r="C9" t="s">
        <v>117</v>
      </c>
    </row>
    <row r="10" spans="2:23" x14ac:dyDescent="0.2">
      <c r="B10" t="s">
        <v>74</v>
      </c>
      <c r="C10" t="s">
        <v>92</v>
      </c>
      <c r="G10" s="17" t="s">
        <v>174</v>
      </c>
      <c r="H10" s="33">
        <f>F14</f>
        <v>1.5899999999999999E-4</v>
      </c>
      <c r="I10" s="17" t="s">
        <v>120</v>
      </c>
      <c r="J10" s="33">
        <f>H10*$J$4^2</f>
        <v>1.477158336E-5</v>
      </c>
      <c r="K10" s="17" t="s">
        <v>154</v>
      </c>
      <c r="P10" s="22" t="s">
        <v>161</v>
      </c>
      <c r="Q10" s="23">
        <f>D18*$J$4</f>
        <v>9.5128080000000015</v>
      </c>
      <c r="R10" s="23" t="s">
        <v>32</v>
      </c>
      <c r="S10" s="24"/>
    </row>
    <row r="11" spans="2:23" x14ac:dyDescent="0.2">
      <c r="G11" s="17" t="s">
        <v>153</v>
      </c>
      <c r="H11" s="33">
        <f>D18/F14</f>
        <v>196289.30817610066</v>
      </c>
      <c r="I11" s="17" t="s">
        <v>163</v>
      </c>
      <c r="J11" s="33">
        <f>Q10/J10</f>
        <v>643993.79322867666</v>
      </c>
      <c r="K11" s="17" t="s">
        <v>164</v>
      </c>
      <c r="P11" s="25" t="s">
        <v>162</v>
      </c>
      <c r="Q11" s="32">
        <f>J11</f>
        <v>643993.79322867666</v>
      </c>
      <c r="R11" s="27" t="s">
        <v>164</v>
      </c>
      <c r="S11" s="26"/>
    </row>
    <row r="12" spans="2:23" x14ac:dyDescent="0.2">
      <c r="P12" s="25" t="s">
        <v>93</v>
      </c>
      <c r="Q12" s="27" t="str">
        <f>C5</f>
        <v>ANDERSEN1972A</v>
      </c>
      <c r="R12" s="27"/>
      <c r="S12" s="26"/>
    </row>
    <row r="13" spans="2:23" ht="16" customHeight="1" x14ac:dyDescent="0.2">
      <c r="P13" s="58" t="s">
        <v>165</v>
      </c>
      <c r="Q13" s="59"/>
      <c r="R13" s="59"/>
      <c r="S13" s="60"/>
      <c r="U13" s="45" t="s">
        <v>138</v>
      </c>
      <c r="V13" s="46"/>
      <c r="W13" s="47"/>
    </row>
    <row r="14" spans="2:23" ht="16" customHeight="1" x14ac:dyDescent="0.2">
      <c r="B14" t="s">
        <v>104</v>
      </c>
      <c r="C14" t="s">
        <v>128</v>
      </c>
      <c r="E14" t="s">
        <v>119</v>
      </c>
      <c r="F14" s="3">
        <v>1.5899999999999999E-4</v>
      </c>
      <c r="G14" t="s">
        <v>120</v>
      </c>
      <c r="I14" t="s">
        <v>123</v>
      </c>
      <c r="J14">
        <v>0</v>
      </c>
      <c r="K14" t="s">
        <v>124</v>
      </c>
      <c r="P14" s="58"/>
      <c r="Q14" s="59"/>
      <c r="R14" s="59"/>
      <c r="S14" s="60"/>
      <c r="U14" s="39"/>
      <c r="V14" s="40"/>
      <c r="W14" s="41"/>
    </row>
    <row r="15" spans="2:23" x14ac:dyDescent="0.2">
      <c r="B15" t="s">
        <v>100</v>
      </c>
      <c r="C15" t="s">
        <v>38</v>
      </c>
      <c r="D15" t="s">
        <v>101</v>
      </c>
      <c r="E15" t="s">
        <v>103</v>
      </c>
      <c r="F15" t="s">
        <v>102</v>
      </c>
      <c r="G15" t="s">
        <v>105</v>
      </c>
      <c r="H15" t="s">
        <v>106</v>
      </c>
      <c r="I15" t="s">
        <v>107</v>
      </c>
      <c r="J15" t="s">
        <v>64</v>
      </c>
      <c r="K15" t="s">
        <v>5</v>
      </c>
      <c r="L15" s="7" t="s">
        <v>108</v>
      </c>
      <c r="M15" s="7" t="s">
        <v>109</v>
      </c>
      <c r="P15" s="58"/>
      <c r="Q15" s="59"/>
      <c r="R15" s="59"/>
      <c r="S15" s="60"/>
      <c r="U15" s="39"/>
      <c r="V15" s="40"/>
      <c r="W15" s="41"/>
    </row>
    <row r="16" spans="2:23" x14ac:dyDescent="0.2">
      <c r="B16" t="s">
        <v>122</v>
      </c>
      <c r="C16" t="s">
        <v>111</v>
      </c>
      <c r="D16" t="s">
        <v>112</v>
      </c>
      <c r="E16" t="s">
        <v>113</v>
      </c>
      <c r="F16" t="s">
        <v>73</v>
      </c>
      <c r="G16" t="s">
        <v>114</v>
      </c>
      <c r="H16" t="s">
        <v>115</v>
      </c>
      <c r="I16" t="s">
        <v>116</v>
      </c>
      <c r="J16" t="s">
        <v>117</v>
      </c>
      <c r="K16" t="s">
        <v>130</v>
      </c>
      <c r="L16" s="7" t="s">
        <v>53</v>
      </c>
      <c r="M16" s="7" t="s">
        <v>118</v>
      </c>
      <c r="P16" s="25" t="s">
        <v>0</v>
      </c>
      <c r="Q16" s="27" t="s">
        <v>67</v>
      </c>
      <c r="R16" s="27" t="s">
        <v>152</v>
      </c>
      <c r="S16" s="26" t="s">
        <v>5</v>
      </c>
      <c r="U16" s="8" t="s">
        <v>91</v>
      </c>
      <c r="V16" s="9" t="s">
        <v>64</v>
      </c>
      <c r="W16" s="10" t="s">
        <v>39</v>
      </c>
    </row>
    <row r="17" spans="2:23" x14ac:dyDescent="0.2">
      <c r="B17" t="s">
        <v>121</v>
      </c>
      <c r="C17" t="s">
        <v>6</v>
      </c>
      <c r="D17" t="s">
        <v>110</v>
      </c>
      <c r="E17" t="s">
        <v>78</v>
      </c>
      <c r="F17" t="s">
        <v>78</v>
      </c>
      <c r="G17" t="s">
        <v>78</v>
      </c>
      <c r="H17" t="s">
        <v>78</v>
      </c>
      <c r="I17" t="s">
        <v>78</v>
      </c>
      <c r="J17" t="s">
        <v>78</v>
      </c>
      <c r="K17" t="s">
        <v>78</v>
      </c>
      <c r="L17" s="7" t="s">
        <v>19</v>
      </c>
      <c r="M17" s="7" t="s">
        <v>19</v>
      </c>
      <c r="P17" s="25" t="s">
        <v>66</v>
      </c>
      <c r="Q17" s="27" t="s">
        <v>151</v>
      </c>
      <c r="R17" s="27" t="s">
        <v>66</v>
      </c>
      <c r="S17" s="26" t="s">
        <v>3</v>
      </c>
      <c r="U17" s="8" t="s">
        <v>95</v>
      </c>
      <c r="V17" s="9" t="s">
        <v>78</v>
      </c>
      <c r="W17" s="10" t="s">
        <v>78</v>
      </c>
    </row>
    <row r="18" spans="2:23" x14ac:dyDescent="0.2">
      <c r="B18">
        <v>1</v>
      </c>
      <c r="C18">
        <v>2</v>
      </c>
      <c r="D18">
        <v>31.21</v>
      </c>
      <c r="E18">
        <v>0</v>
      </c>
      <c r="F18">
        <v>535</v>
      </c>
      <c r="G18">
        <v>2.49E-3</v>
      </c>
      <c r="H18">
        <v>0</v>
      </c>
      <c r="I18">
        <v>0</v>
      </c>
      <c r="J18">
        <v>7.0019999999999998</v>
      </c>
      <c r="K18">
        <f t="shared" ref="K18:K26" si="0">L18/M18</f>
        <v>1.5365853658536583</v>
      </c>
      <c r="L18">
        <v>5.04E-2</v>
      </c>
      <c r="M18">
        <v>3.2800000000000003E-2</v>
      </c>
      <c r="P18" s="8">
        <f t="shared" ref="P18:P26" si="1">C18*$J$5</f>
        <v>5.0799999999999998E-2</v>
      </c>
      <c r="Q18" s="9">
        <f t="shared" ref="Q18:Q26" si="2">D18*$J$4</f>
        <v>9.5128080000000015</v>
      </c>
      <c r="R18" s="9">
        <f t="shared" ref="R18:R26" si="3">M18*$J$5</f>
        <v>8.3312000000000002E-4</v>
      </c>
      <c r="S18" s="10">
        <f t="shared" ref="S18:S26" si="4">K18</f>
        <v>1.5365853658536583</v>
      </c>
      <c r="U18" s="8" t="str">
        <f t="shared" ref="U18:U26" si="5">$C$5</f>
        <v>ANDERSEN1972A</v>
      </c>
      <c r="V18" s="9">
        <f t="shared" ref="V18:V26" si="6">J18</f>
        <v>7.0019999999999998</v>
      </c>
      <c r="W18" s="10">
        <f t="shared" ref="W18:W26" si="7">H18</f>
        <v>0</v>
      </c>
    </row>
    <row r="19" spans="2:23" x14ac:dyDescent="0.2">
      <c r="B19">
        <v>2</v>
      </c>
      <c r="C19">
        <v>10</v>
      </c>
      <c r="D19">
        <v>31.13</v>
      </c>
      <c r="E19">
        <v>0</v>
      </c>
      <c r="F19">
        <v>849</v>
      </c>
      <c r="G19">
        <v>2.2200000000000002E-3</v>
      </c>
      <c r="H19">
        <v>-1E-3</v>
      </c>
      <c r="I19">
        <v>0</v>
      </c>
      <c r="J19">
        <v>6.91</v>
      </c>
      <c r="K19">
        <f t="shared" si="0"/>
        <v>1.4817658349328215</v>
      </c>
      <c r="L19">
        <v>7.7200000000000005E-2</v>
      </c>
      <c r="M19">
        <v>5.21E-2</v>
      </c>
      <c r="P19" s="8">
        <f t="shared" si="1"/>
        <v>0.254</v>
      </c>
      <c r="Q19" s="9">
        <f t="shared" si="2"/>
        <v>9.4884240000000002</v>
      </c>
      <c r="R19" s="9">
        <f t="shared" si="3"/>
        <v>1.3233399999999999E-3</v>
      </c>
      <c r="S19" s="10">
        <f t="shared" si="4"/>
        <v>1.4817658349328215</v>
      </c>
      <c r="U19" s="8" t="str">
        <f t="shared" si="5"/>
        <v>ANDERSEN1972A</v>
      </c>
      <c r="V19" s="9">
        <f t="shared" si="6"/>
        <v>6.91</v>
      </c>
      <c r="W19" s="10">
        <f t="shared" si="7"/>
        <v>-1E-3</v>
      </c>
    </row>
    <row r="20" spans="2:23" x14ac:dyDescent="0.2">
      <c r="B20">
        <v>3</v>
      </c>
      <c r="C20">
        <v>22</v>
      </c>
      <c r="D20">
        <v>31.14</v>
      </c>
      <c r="E20">
        <v>0</v>
      </c>
      <c r="F20">
        <v>1251</v>
      </c>
      <c r="G20">
        <v>2.0200000000000001E-3</v>
      </c>
      <c r="H20">
        <v>-1E-3</v>
      </c>
      <c r="I20">
        <v>0</v>
      </c>
      <c r="J20">
        <v>7.2</v>
      </c>
      <c r="K20">
        <f t="shared" si="0"/>
        <v>1.4778645833333335</v>
      </c>
      <c r="L20">
        <v>0.1135</v>
      </c>
      <c r="M20">
        <v>7.6799999999999993E-2</v>
      </c>
      <c r="P20" s="8">
        <f t="shared" si="1"/>
        <v>0.55879999999999996</v>
      </c>
      <c r="Q20" s="9">
        <f t="shared" si="2"/>
        <v>9.4914719999999999</v>
      </c>
      <c r="R20" s="9">
        <f t="shared" si="3"/>
        <v>1.9507199999999998E-3</v>
      </c>
      <c r="S20" s="10">
        <f t="shared" si="4"/>
        <v>1.4778645833333335</v>
      </c>
      <c r="U20" s="8" t="str">
        <f t="shared" si="5"/>
        <v>ANDERSEN1972A</v>
      </c>
      <c r="V20" s="9">
        <f t="shared" si="6"/>
        <v>7.2</v>
      </c>
      <c r="W20" s="10">
        <f t="shared" si="7"/>
        <v>-1E-3</v>
      </c>
    </row>
    <row r="21" spans="2:23" x14ac:dyDescent="0.2">
      <c r="B21">
        <v>4</v>
      </c>
      <c r="C21">
        <v>34</v>
      </c>
      <c r="D21" s="31">
        <v>31.05</v>
      </c>
      <c r="E21">
        <v>0</v>
      </c>
      <c r="F21">
        <v>1588</v>
      </c>
      <c r="G21">
        <v>1.9E-3</v>
      </c>
      <c r="H21">
        <v>-1E-3</v>
      </c>
      <c r="I21">
        <v>0</v>
      </c>
      <c r="J21">
        <v>7.07</v>
      </c>
      <c r="K21">
        <f t="shared" si="0"/>
        <v>1.4452405322415558</v>
      </c>
      <c r="L21">
        <v>0.14119999999999999</v>
      </c>
      <c r="M21">
        <v>9.7699999999999995E-2</v>
      </c>
      <c r="P21" s="8">
        <f t="shared" si="1"/>
        <v>0.86359999999999992</v>
      </c>
      <c r="Q21" s="9">
        <f t="shared" si="2"/>
        <v>9.4640400000000007</v>
      </c>
      <c r="R21" s="9">
        <f t="shared" si="3"/>
        <v>2.4815799999999997E-3</v>
      </c>
      <c r="S21" s="10">
        <f t="shared" si="4"/>
        <v>1.4452405322415558</v>
      </c>
      <c r="U21" s="8" t="str">
        <f t="shared" si="5"/>
        <v>ANDERSEN1972A</v>
      </c>
      <c r="V21" s="9">
        <f t="shared" si="6"/>
        <v>7.07</v>
      </c>
      <c r="W21" s="10">
        <f t="shared" si="7"/>
        <v>-1E-3</v>
      </c>
    </row>
    <row r="22" spans="2:23" x14ac:dyDescent="0.2">
      <c r="B22">
        <v>5</v>
      </c>
      <c r="C22">
        <v>46</v>
      </c>
      <c r="D22">
        <v>31.04</v>
      </c>
      <c r="E22">
        <v>0</v>
      </c>
      <c r="F22">
        <v>1926</v>
      </c>
      <c r="G22">
        <v>1.81E-3</v>
      </c>
      <c r="H22">
        <v>0</v>
      </c>
      <c r="I22">
        <v>0</v>
      </c>
      <c r="J22">
        <v>7.2</v>
      </c>
      <c r="K22">
        <f t="shared" si="0"/>
        <v>1.4421940928270043</v>
      </c>
      <c r="L22">
        <v>0.1709</v>
      </c>
      <c r="M22">
        <v>0.11849999999999999</v>
      </c>
      <c r="P22" s="8">
        <f t="shared" si="1"/>
        <v>1.1683999999999999</v>
      </c>
      <c r="Q22" s="9">
        <f t="shared" si="2"/>
        <v>9.460992000000001</v>
      </c>
      <c r="R22" s="9">
        <f t="shared" si="3"/>
        <v>3.0098999999999998E-3</v>
      </c>
      <c r="S22" s="10">
        <f t="shared" si="4"/>
        <v>1.4421940928270043</v>
      </c>
      <c r="U22" s="8" t="str">
        <f t="shared" si="5"/>
        <v>ANDERSEN1972A</v>
      </c>
      <c r="V22" s="9">
        <f t="shared" si="6"/>
        <v>7.2</v>
      </c>
      <c r="W22" s="10">
        <f t="shared" si="7"/>
        <v>0</v>
      </c>
    </row>
    <row r="23" spans="2:23" x14ac:dyDescent="0.2">
      <c r="B23">
        <v>6</v>
      </c>
      <c r="C23">
        <v>58</v>
      </c>
      <c r="D23">
        <v>31.13</v>
      </c>
      <c r="E23">
        <v>0</v>
      </c>
      <c r="F23">
        <v>2240</v>
      </c>
      <c r="G23">
        <v>1.74E-3</v>
      </c>
      <c r="H23">
        <v>1E-3</v>
      </c>
      <c r="I23">
        <v>0</v>
      </c>
      <c r="J23">
        <v>7.22</v>
      </c>
      <c r="K23">
        <f t="shared" si="0"/>
        <v>1.4312727272727273</v>
      </c>
      <c r="L23">
        <v>0.1968</v>
      </c>
      <c r="M23">
        <v>0.13750000000000001</v>
      </c>
      <c r="P23" s="8">
        <f t="shared" si="1"/>
        <v>1.4731999999999998</v>
      </c>
      <c r="Q23" s="9">
        <f t="shared" si="2"/>
        <v>9.4884240000000002</v>
      </c>
      <c r="R23" s="9">
        <f t="shared" si="3"/>
        <v>3.4924999999999999E-3</v>
      </c>
      <c r="S23" s="10">
        <f t="shared" si="4"/>
        <v>1.4312727272727273</v>
      </c>
      <c r="U23" s="8" t="str">
        <f t="shared" si="5"/>
        <v>ANDERSEN1972A</v>
      </c>
      <c r="V23" s="9">
        <f t="shared" si="6"/>
        <v>7.22</v>
      </c>
      <c r="W23" s="10">
        <f t="shared" si="7"/>
        <v>1E-3</v>
      </c>
    </row>
    <row r="24" spans="2:23" x14ac:dyDescent="0.2">
      <c r="B24">
        <v>7</v>
      </c>
      <c r="C24">
        <v>70</v>
      </c>
      <c r="D24">
        <v>31.04</v>
      </c>
      <c r="E24">
        <v>0</v>
      </c>
      <c r="F24">
        <v>2574</v>
      </c>
      <c r="G24">
        <v>1.6800000000000001E-3</v>
      </c>
      <c r="H24">
        <v>2E-3</v>
      </c>
      <c r="I24">
        <v>0</v>
      </c>
      <c r="J24">
        <v>7.25</v>
      </c>
      <c r="K24">
        <f t="shared" si="0"/>
        <v>1.4236111111111109</v>
      </c>
      <c r="L24">
        <v>0.22550000000000001</v>
      </c>
      <c r="M24">
        <v>0.15840000000000001</v>
      </c>
      <c r="P24" s="8">
        <f t="shared" si="1"/>
        <v>1.778</v>
      </c>
      <c r="Q24" s="9">
        <f t="shared" si="2"/>
        <v>9.460992000000001</v>
      </c>
      <c r="R24" s="9">
        <f t="shared" si="3"/>
        <v>4.0233600000000001E-3</v>
      </c>
      <c r="S24" s="10">
        <f t="shared" si="4"/>
        <v>1.4236111111111109</v>
      </c>
      <c r="U24" s="8" t="str">
        <f t="shared" si="5"/>
        <v>ANDERSEN1972A</v>
      </c>
      <c r="V24" s="9">
        <f t="shared" si="6"/>
        <v>7.25</v>
      </c>
      <c r="W24" s="10">
        <f t="shared" si="7"/>
        <v>2E-3</v>
      </c>
    </row>
    <row r="25" spans="2:23" x14ac:dyDescent="0.2">
      <c r="B25">
        <v>8</v>
      </c>
      <c r="C25">
        <v>82</v>
      </c>
      <c r="D25">
        <v>31.07</v>
      </c>
      <c r="E25">
        <v>0</v>
      </c>
      <c r="F25">
        <v>2919</v>
      </c>
      <c r="G25">
        <v>1.6299999999999999E-3</v>
      </c>
      <c r="H25">
        <v>4.0000000000000001E-3</v>
      </c>
      <c r="I25">
        <v>0</v>
      </c>
      <c r="J25">
        <v>7.22</v>
      </c>
      <c r="K25">
        <f t="shared" si="0"/>
        <v>1.411928651059086</v>
      </c>
      <c r="L25">
        <v>0.25330000000000003</v>
      </c>
      <c r="M25">
        <v>0.1794</v>
      </c>
      <c r="P25" s="8">
        <f t="shared" si="1"/>
        <v>2.0827999999999998</v>
      </c>
      <c r="Q25" s="9">
        <f t="shared" si="2"/>
        <v>9.4701360000000001</v>
      </c>
      <c r="R25" s="9">
        <f t="shared" si="3"/>
        <v>4.55676E-3</v>
      </c>
      <c r="S25" s="10">
        <f t="shared" si="4"/>
        <v>1.411928651059086</v>
      </c>
      <c r="U25" s="8" t="str">
        <f t="shared" si="5"/>
        <v>ANDERSEN1972A</v>
      </c>
      <c r="V25" s="9">
        <f t="shared" si="6"/>
        <v>7.22</v>
      </c>
      <c r="W25" s="10">
        <f t="shared" si="7"/>
        <v>4.0000000000000001E-3</v>
      </c>
    </row>
    <row r="26" spans="2:23" x14ac:dyDescent="0.2">
      <c r="B26">
        <v>9</v>
      </c>
      <c r="C26">
        <v>90</v>
      </c>
      <c r="D26">
        <v>31.06</v>
      </c>
      <c r="E26">
        <v>0</v>
      </c>
      <c r="F26">
        <v>3093</v>
      </c>
      <c r="G26">
        <v>1.6100000000000001E-3</v>
      </c>
      <c r="H26">
        <v>5.0000000000000001E-3</v>
      </c>
      <c r="I26">
        <v>0</v>
      </c>
      <c r="J26">
        <v>7.17</v>
      </c>
      <c r="K26">
        <f t="shared" si="0"/>
        <v>1.4037854889589905</v>
      </c>
      <c r="L26">
        <v>0.26700000000000002</v>
      </c>
      <c r="M26">
        <v>0.19020000000000001</v>
      </c>
      <c r="P26" s="11">
        <f t="shared" si="1"/>
        <v>2.286</v>
      </c>
      <c r="Q26" s="12">
        <f t="shared" si="2"/>
        <v>9.4670880000000004</v>
      </c>
      <c r="R26" s="12">
        <f t="shared" si="3"/>
        <v>4.8310799999999997E-3</v>
      </c>
      <c r="S26" s="13">
        <f t="shared" si="4"/>
        <v>1.4037854889589905</v>
      </c>
      <c r="U26" s="8" t="str">
        <f t="shared" si="5"/>
        <v>ANDERSEN1972A</v>
      </c>
      <c r="V26" s="9">
        <f t="shared" si="6"/>
        <v>7.17</v>
      </c>
      <c r="W26" s="10">
        <f t="shared" si="7"/>
        <v>5.0000000000000001E-3</v>
      </c>
    </row>
    <row r="27" spans="2:23" x14ac:dyDescent="0.2">
      <c r="P27" s="9"/>
      <c r="Q27" s="9"/>
      <c r="R27" s="9"/>
      <c r="S27" s="9"/>
      <c r="U27" s="8" t="str">
        <f>$C$6</f>
        <v>ANDERSEN1972B</v>
      </c>
      <c r="V27" s="9">
        <f t="shared" ref="V27:V35" si="8">J39</f>
        <v>6.89</v>
      </c>
      <c r="W27" s="10">
        <f t="shared" ref="W27:W35" si="9">H39</f>
        <v>0.14099999999999999</v>
      </c>
    </row>
    <row r="28" spans="2:23" x14ac:dyDescent="0.2">
      <c r="P28" s="9"/>
      <c r="Q28" s="9"/>
      <c r="R28" s="9"/>
      <c r="S28" s="9"/>
      <c r="U28" s="8" t="str">
        <f t="shared" ref="U28:U35" si="10">$C$6</f>
        <v>ANDERSEN1972B</v>
      </c>
      <c r="V28" s="9">
        <f t="shared" si="8"/>
        <v>8.2899999999999991</v>
      </c>
      <c r="W28" s="10">
        <f t="shared" si="9"/>
        <v>0.67400000000000004</v>
      </c>
    </row>
    <row r="29" spans="2:23" x14ac:dyDescent="0.2">
      <c r="P29" s="9"/>
      <c r="Q29" s="9"/>
      <c r="R29" s="9"/>
      <c r="S29" s="9"/>
      <c r="U29" s="8" t="str">
        <f t="shared" si="10"/>
        <v>ANDERSEN1972B</v>
      </c>
      <c r="V29" s="9">
        <f t="shared" si="8"/>
        <v>8.77</v>
      </c>
      <c r="W29" s="10">
        <f t="shared" si="9"/>
        <v>0.68600000000000005</v>
      </c>
    </row>
    <row r="30" spans="2:23" x14ac:dyDescent="0.2">
      <c r="P30" s="9"/>
      <c r="Q30" s="9"/>
      <c r="R30" s="9"/>
      <c r="S30" s="9"/>
      <c r="U30" s="8" t="str">
        <f t="shared" si="10"/>
        <v>ANDERSEN1972B</v>
      </c>
      <c r="V30" s="9">
        <f t="shared" si="8"/>
        <v>8.9600000000000009</v>
      </c>
      <c r="W30" s="10">
        <f t="shared" si="9"/>
        <v>0.69599999999999995</v>
      </c>
    </row>
    <row r="31" spans="2:23" x14ac:dyDescent="0.2">
      <c r="G31" s="17" t="s">
        <v>174</v>
      </c>
      <c r="H31" s="33">
        <f>F35</f>
        <v>1.6640000000000001E-4</v>
      </c>
      <c r="I31" s="17" t="s">
        <v>120</v>
      </c>
      <c r="J31" s="33">
        <f>H31*$J$4^2</f>
        <v>1.5459065856000001E-5</v>
      </c>
      <c r="K31" s="17" t="s">
        <v>154</v>
      </c>
      <c r="P31" s="22" t="s">
        <v>161</v>
      </c>
      <c r="Q31" s="23">
        <f>D39*$J$4</f>
        <v>9.049512</v>
      </c>
      <c r="R31" s="23" t="s">
        <v>32</v>
      </c>
      <c r="S31" s="24"/>
      <c r="U31" s="8" t="str">
        <f t="shared" si="10"/>
        <v>ANDERSEN1972B</v>
      </c>
      <c r="V31" s="9">
        <f t="shared" si="8"/>
        <v>9.23</v>
      </c>
      <c r="W31" s="10">
        <f t="shared" si="9"/>
        <v>0.70799999999999996</v>
      </c>
    </row>
    <row r="32" spans="2:23" x14ac:dyDescent="0.2">
      <c r="G32" s="17" t="s">
        <v>153</v>
      </c>
      <c r="H32" s="33">
        <f>D39/F35</f>
        <v>178425.48076923078</v>
      </c>
      <c r="I32" s="17" t="s">
        <v>163</v>
      </c>
      <c r="J32" s="33">
        <f>Q31/J31</f>
        <v>585385.4355945891</v>
      </c>
      <c r="K32" s="17" t="s">
        <v>164</v>
      </c>
      <c r="P32" s="25" t="s">
        <v>162</v>
      </c>
      <c r="Q32" s="32">
        <f>J32</f>
        <v>585385.4355945891</v>
      </c>
      <c r="R32" s="27" t="s">
        <v>164</v>
      </c>
      <c r="S32" s="26"/>
      <c r="U32" s="8" t="str">
        <f t="shared" si="10"/>
        <v>ANDERSEN1972B</v>
      </c>
      <c r="V32" s="9">
        <f t="shared" si="8"/>
        <v>9.1</v>
      </c>
      <c r="W32" s="10">
        <f t="shared" si="9"/>
        <v>0.68500000000000005</v>
      </c>
    </row>
    <row r="33" spans="1:23" x14ac:dyDescent="0.2">
      <c r="P33" s="25" t="s">
        <v>93</v>
      </c>
      <c r="Q33" s="27" t="str">
        <f>C6</f>
        <v>ANDERSEN1972B</v>
      </c>
      <c r="R33" s="27"/>
      <c r="S33" s="26"/>
      <c r="U33" s="8" t="str">
        <f t="shared" si="10"/>
        <v>ANDERSEN1972B</v>
      </c>
      <c r="V33" s="9">
        <f t="shared" si="8"/>
        <v>9.19</v>
      </c>
      <c r="W33" s="10">
        <f t="shared" si="9"/>
        <v>0.69299999999999995</v>
      </c>
    </row>
    <row r="34" spans="1:23" x14ac:dyDescent="0.2">
      <c r="P34" s="58" t="s">
        <v>165</v>
      </c>
      <c r="Q34" s="59"/>
      <c r="R34" s="59"/>
      <c r="S34" s="60"/>
      <c r="U34" s="8" t="str">
        <f t="shared" si="10"/>
        <v>ANDERSEN1972B</v>
      </c>
      <c r="V34" s="9">
        <f t="shared" si="8"/>
        <v>9.08</v>
      </c>
      <c r="W34" s="10">
        <f t="shared" si="9"/>
        <v>0.68500000000000005</v>
      </c>
    </row>
    <row r="35" spans="1:23" x14ac:dyDescent="0.2">
      <c r="A35" s="7"/>
      <c r="B35" t="s">
        <v>104</v>
      </c>
      <c r="C35" t="s">
        <v>126</v>
      </c>
      <c r="E35" t="s">
        <v>119</v>
      </c>
      <c r="F35" s="3">
        <v>1.6640000000000001E-4</v>
      </c>
      <c r="G35" t="s">
        <v>120</v>
      </c>
      <c r="I35" t="s">
        <v>123</v>
      </c>
      <c r="J35">
        <v>-0.15</v>
      </c>
      <c r="K35" t="s">
        <v>125</v>
      </c>
      <c r="P35" s="58"/>
      <c r="Q35" s="59"/>
      <c r="R35" s="59"/>
      <c r="S35" s="60"/>
      <c r="U35" s="8" t="str">
        <f t="shared" si="10"/>
        <v>ANDERSEN1972B</v>
      </c>
      <c r="V35" s="9">
        <f t="shared" si="8"/>
        <v>9.09</v>
      </c>
      <c r="W35" s="10">
        <f t="shared" si="9"/>
        <v>0.71199999999999997</v>
      </c>
    </row>
    <row r="36" spans="1:23" x14ac:dyDescent="0.2">
      <c r="B36" t="s">
        <v>100</v>
      </c>
      <c r="C36" t="s">
        <v>38</v>
      </c>
      <c r="D36" t="s">
        <v>101</v>
      </c>
      <c r="E36" t="s">
        <v>103</v>
      </c>
      <c r="F36" t="s">
        <v>102</v>
      </c>
      <c r="G36" t="s">
        <v>105</v>
      </c>
      <c r="H36" t="s">
        <v>106</v>
      </c>
      <c r="I36" t="s">
        <v>107</v>
      </c>
      <c r="J36" t="s">
        <v>64</v>
      </c>
      <c r="K36" t="s">
        <v>5</v>
      </c>
      <c r="L36" s="7" t="s">
        <v>108</v>
      </c>
      <c r="M36" s="7" t="s">
        <v>109</v>
      </c>
      <c r="P36" s="58"/>
      <c r="Q36" s="59"/>
      <c r="R36" s="59"/>
      <c r="S36" s="60"/>
      <c r="U36" s="8" t="str">
        <f>$C$7</f>
        <v>ANDERSEN1972C</v>
      </c>
      <c r="V36" s="9">
        <f t="shared" ref="V36:V44" si="11">J60</f>
        <v>6.93</v>
      </c>
      <c r="W36" s="10">
        <f t="shared" ref="W36:W44" si="12">H60</f>
        <v>0.219</v>
      </c>
    </row>
    <row r="37" spans="1:23" x14ac:dyDescent="0.2">
      <c r="B37" t="s">
        <v>122</v>
      </c>
      <c r="C37" t="s">
        <v>111</v>
      </c>
      <c r="D37" t="s">
        <v>112</v>
      </c>
      <c r="E37" t="s">
        <v>113</v>
      </c>
      <c r="F37" t="s">
        <v>73</v>
      </c>
      <c r="G37" t="s">
        <v>114</v>
      </c>
      <c r="H37" t="s">
        <v>115</v>
      </c>
      <c r="I37" t="s">
        <v>116</v>
      </c>
      <c r="J37" t="s">
        <v>117</v>
      </c>
      <c r="K37" t="s">
        <v>130</v>
      </c>
      <c r="L37" s="7" t="s">
        <v>53</v>
      </c>
      <c r="M37" s="7" t="s">
        <v>118</v>
      </c>
      <c r="P37" s="25" t="s">
        <v>0</v>
      </c>
      <c r="Q37" s="27" t="s">
        <v>67</v>
      </c>
      <c r="R37" s="27" t="s">
        <v>152</v>
      </c>
      <c r="S37" s="26" t="s">
        <v>5</v>
      </c>
      <c r="U37" s="8" t="str">
        <f t="shared" ref="U37:U44" si="13">$C$7</f>
        <v>ANDERSEN1972C</v>
      </c>
      <c r="V37" s="9">
        <f t="shared" si="11"/>
        <v>9.0500000000000007</v>
      </c>
      <c r="W37" s="10">
        <f t="shared" si="12"/>
        <v>1.2010000000000001</v>
      </c>
    </row>
    <row r="38" spans="1:23" x14ac:dyDescent="0.2">
      <c r="B38" t="s">
        <v>121</v>
      </c>
      <c r="C38" t="s">
        <v>6</v>
      </c>
      <c r="D38" t="s">
        <v>110</v>
      </c>
      <c r="E38" t="s">
        <v>78</v>
      </c>
      <c r="F38" t="s">
        <v>78</v>
      </c>
      <c r="G38" t="s">
        <v>78</v>
      </c>
      <c r="H38" t="s">
        <v>78</v>
      </c>
      <c r="I38" t="s">
        <v>78</v>
      </c>
      <c r="J38" t="s">
        <v>78</v>
      </c>
      <c r="K38" t="s">
        <v>78</v>
      </c>
      <c r="L38" s="7" t="s">
        <v>19</v>
      </c>
      <c r="M38" s="7" t="s">
        <v>19</v>
      </c>
      <c r="P38" s="25" t="s">
        <v>66</v>
      </c>
      <c r="Q38" s="27" t="s">
        <v>151</v>
      </c>
      <c r="R38" s="27" t="s">
        <v>66</v>
      </c>
      <c r="S38" s="26" t="s">
        <v>3</v>
      </c>
      <c r="U38" s="8" t="str">
        <f t="shared" si="13"/>
        <v>ANDERSEN1972C</v>
      </c>
      <c r="V38" s="9">
        <f t="shared" si="11"/>
        <v>11.05</v>
      </c>
      <c r="W38" s="10">
        <f t="shared" si="12"/>
        <v>1.5589999999999999</v>
      </c>
    </row>
    <row r="39" spans="1:23" x14ac:dyDescent="0.2">
      <c r="B39">
        <v>1</v>
      </c>
      <c r="C39">
        <v>2</v>
      </c>
      <c r="D39">
        <v>29.69</v>
      </c>
      <c r="E39">
        <v>0</v>
      </c>
      <c r="F39">
        <v>532</v>
      </c>
      <c r="G39">
        <v>2.7100000000000002E-3</v>
      </c>
      <c r="H39">
        <v>0.14099999999999999</v>
      </c>
      <c r="I39">
        <v>0</v>
      </c>
      <c r="J39">
        <v>6.89</v>
      </c>
      <c r="K39">
        <f t="shared" ref="K39:K47" si="14">L39/M39</f>
        <v>1.5574229691876749</v>
      </c>
      <c r="L39">
        <v>5.5599999999999997E-2</v>
      </c>
      <c r="M39">
        <v>3.5700000000000003E-2</v>
      </c>
      <c r="P39" s="8">
        <f t="shared" ref="P39:P47" si="15">C39*$J$5</f>
        <v>5.0799999999999998E-2</v>
      </c>
      <c r="Q39" s="9">
        <f t="shared" ref="Q39:Q47" si="16">D39*$J$4</f>
        <v>9.049512</v>
      </c>
      <c r="R39" s="9">
        <f t="shared" ref="R39:R47" si="17">M39*$J$5</f>
        <v>9.0678000000000004E-4</v>
      </c>
      <c r="S39" s="10">
        <f t="shared" ref="S39:S47" si="18">K39</f>
        <v>1.5574229691876749</v>
      </c>
      <c r="U39" s="8" t="str">
        <f t="shared" si="13"/>
        <v>ANDERSEN1972C</v>
      </c>
      <c r="V39" s="9">
        <f t="shared" si="11"/>
        <v>11.43</v>
      </c>
      <c r="W39" s="10">
        <f t="shared" si="12"/>
        <v>1.6259999999999999</v>
      </c>
    </row>
    <row r="40" spans="1:23" x14ac:dyDescent="0.2">
      <c r="B40">
        <v>2</v>
      </c>
      <c r="C40">
        <v>10</v>
      </c>
      <c r="D40">
        <v>26.93</v>
      </c>
      <c r="E40">
        <v>0</v>
      </c>
      <c r="F40">
        <v>971</v>
      </c>
      <c r="G40">
        <v>1.98E-3</v>
      </c>
      <c r="H40">
        <v>0.67400000000000004</v>
      </c>
      <c r="I40">
        <v>0</v>
      </c>
      <c r="J40">
        <v>8.2899999999999991</v>
      </c>
      <c r="K40">
        <f t="shared" si="14"/>
        <v>1.5849582172701948</v>
      </c>
      <c r="L40">
        <v>0.1138</v>
      </c>
      <c r="M40">
        <v>7.1800000000000003E-2</v>
      </c>
      <c r="P40" s="8">
        <f t="shared" si="15"/>
        <v>0.254</v>
      </c>
      <c r="Q40" s="9">
        <f t="shared" si="16"/>
        <v>8.2082639999999998</v>
      </c>
      <c r="R40" s="9">
        <f t="shared" si="17"/>
        <v>1.82372E-3</v>
      </c>
      <c r="S40" s="10">
        <f t="shared" si="18"/>
        <v>1.5849582172701948</v>
      </c>
      <c r="U40" s="8" t="str">
        <f t="shared" si="13"/>
        <v>ANDERSEN1972C</v>
      </c>
      <c r="V40" s="9">
        <f t="shared" si="11"/>
        <v>11.62</v>
      </c>
      <c r="W40" s="10">
        <f t="shared" si="12"/>
        <v>1.63</v>
      </c>
    </row>
    <row r="41" spans="1:23" x14ac:dyDescent="0.2">
      <c r="B41">
        <v>3</v>
      </c>
      <c r="C41">
        <v>22</v>
      </c>
      <c r="D41">
        <v>24.57</v>
      </c>
      <c r="E41">
        <v>0</v>
      </c>
      <c r="F41">
        <v>1528</v>
      </c>
      <c r="G41">
        <v>1.6800000000000001E-3</v>
      </c>
      <c r="H41">
        <v>0.68600000000000005</v>
      </c>
      <c r="I41">
        <v>0</v>
      </c>
      <c r="J41">
        <v>8.77</v>
      </c>
      <c r="K41">
        <f t="shared" si="14"/>
        <v>1.5638126009693054</v>
      </c>
      <c r="L41">
        <v>0.19359999999999999</v>
      </c>
      <c r="M41">
        <v>0.12379999999999999</v>
      </c>
      <c r="P41" s="8">
        <f t="shared" si="15"/>
        <v>0.55879999999999996</v>
      </c>
      <c r="Q41" s="9">
        <f t="shared" si="16"/>
        <v>7.4889360000000007</v>
      </c>
      <c r="R41" s="9">
        <f t="shared" si="17"/>
        <v>3.1445199999999996E-3</v>
      </c>
      <c r="S41" s="10">
        <f t="shared" si="18"/>
        <v>1.5638126009693054</v>
      </c>
      <c r="U41" s="8" t="str">
        <f t="shared" si="13"/>
        <v>ANDERSEN1972C</v>
      </c>
      <c r="V41" s="9">
        <f t="shared" si="11"/>
        <v>11.48</v>
      </c>
      <c r="W41" s="10">
        <f t="shared" si="12"/>
        <v>1.577</v>
      </c>
    </row>
    <row r="42" spans="1:23" x14ac:dyDescent="0.2">
      <c r="B42">
        <v>4</v>
      </c>
      <c r="C42">
        <v>34</v>
      </c>
      <c r="D42">
        <v>23.26</v>
      </c>
      <c r="E42">
        <v>0</v>
      </c>
      <c r="F42">
        <v>1986</v>
      </c>
      <c r="G42">
        <v>1.5299999999999999E-3</v>
      </c>
      <c r="H42">
        <v>0.69599999999999995</v>
      </c>
      <c r="I42">
        <v>0</v>
      </c>
      <c r="J42">
        <v>8.9600000000000009</v>
      </c>
      <c r="K42">
        <f t="shared" si="14"/>
        <v>1.5388235294117647</v>
      </c>
      <c r="L42">
        <v>0.2616</v>
      </c>
      <c r="M42">
        <v>0.17</v>
      </c>
      <c r="P42" s="8">
        <f t="shared" si="15"/>
        <v>0.86359999999999992</v>
      </c>
      <c r="Q42" s="9">
        <f t="shared" si="16"/>
        <v>7.0896480000000004</v>
      </c>
      <c r="R42" s="9">
        <f t="shared" si="17"/>
        <v>4.3179999999999998E-3</v>
      </c>
      <c r="S42" s="10">
        <f t="shared" si="18"/>
        <v>1.5388235294117647</v>
      </c>
      <c r="U42" s="8" t="str">
        <f t="shared" si="13"/>
        <v>ANDERSEN1972C</v>
      </c>
      <c r="V42" s="9">
        <f t="shared" si="11"/>
        <v>11.39</v>
      </c>
      <c r="W42" s="10">
        <f t="shared" si="12"/>
        <v>1.5469999999999999</v>
      </c>
    </row>
    <row r="43" spans="1:23" x14ac:dyDescent="0.2">
      <c r="B43">
        <v>5</v>
      </c>
      <c r="C43">
        <v>46</v>
      </c>
      <c r="D43">
        <v>22.27</v>
      </c>
      <c r="E43">
        <v>0</v>
      </c>
      <c r="F43">
        <v>2434</v>
      </c>
      <c r="G43">
        <v>1.4499999999999999E-3</v>
      </c>
      <c r="H43">
        <v>0.70799999999999996</v>
      </c>
      <c r="I43">
        <v>0</v>
      </c>
      <c r="J43">
        <v>9.23</v>
      </c>
      <c r="K43">
        <f t="shared" si="14"/>
        <v>1.5422794117647061</v>
      </c>
      <c r="L43">
        <v>0.33560000000000001</v>
      </c>
      <c r="M43">
        <v>0.21759999999999999</v>
      </c>
      <c r="P43" s="8">
        <f t="shared" si="15"/>
        <v>1.1683999999999999</v>
      </c>
      <c r="Q43" s="9">
        <f t="shared" si="16"/>
        <v>6.7878959999999999</v>
      </c>
      <c r="R43" s="9">
        <f t="shared" si="17"/>
        <v>5.5270399999999996E-3</v>
      </c>
      <c r="S43" s="10">
        <f t="shared" si="18"/>
        <v>1.5422794117647061</v>
      </c>
      <c r="U43" s="8" t="str">
        <f t="shared" si="13"/>
        <v>ANDERSEN1972C</v>
      </c>
      <c r="V43" s="9">
        <f t="shared" si="11"/>
        <v>11.43</v>
      </c>
      <c r="W43" s="10">
        <f t="shared" si="12"/>
        <v>1.575</v>
      </c>
    </row>
    <row r="44" spans="1:23" x14ac:dyDescent="0.2">
      <c r="B44">
        <v>6</v>
      </c>
      <c r="C44">
        <v>58</v>
      </c>
      <c r="D44">
        <v>21.36</v>
      </c>
      <c r="E44">
        <v>0</v>
      </c>
      <c r="F44">
        <v>2781</v>
      </c>
      <c r="G44">
        <v>1.4599999999999999E-3</v>
      </c>
      <c r="H44">
        <v>0.68500000000000005</v>
      </c>
      <c r="I44">
        <v>0</v>
      </c>
      <c r="J44">
        <v>9.1</v>
      </c>
      <c r="K44">
        <f t="shared" si="14"/>
        <v>1.517746913580247</v>
      </c>
      <c r="L44">
        <v>0.39340000000000003</v>
      </c>
      <c r="M44">
        <v>0.25919999999999999</v>
      </c>
      <c r="P44" s="8">
        <f t="shared" si="15"/>
        <v>1.4731999999999998</v>
      </c>
      <c r="Q44" s="9">
        <f t="shared" si="16"/>
        <v>6.5105279999999999</v>
      </c>
      <c r="R44" s="9">
        <f t="shared" si="17"/>
        <v>6.5836799999999997E-3</v>
      </c>
      <c r="S44" s="10">
        <f t="shared" si="18"/>
        <v>1.517746913580247</v>
      </c>
      <c r="U44" s="11" t="str">
        <f t="shared" si="13"/>
        <v>ANDERSEN1972C</v>
      </c>
      <c r="V44" s="12">
        <f t="shared" si="11"/>
        <v>11.72</v>
      </c>
      <c r="W44" s="13">
        <f t="shared" si="12"/>
        <v>1.75</v>
      </c>
    </row>
    <row r="45" spans="1:23" x14ac:dyDescent="0.2">
      <c r="B45">
        <v>7</v>
      </c>
      <c r="C45">
        <v>70</v>
      </c>
      <c r="D45">
        <v>20.74</v>
      </c>
      <c r="E45">
        <v>0</v>
      </c>
      <c r="F45">
        <v>3177</v>
      </c>
      <c r="G45">
        <v>1.3600000000000001E-3</v>
      </c>
      <c r="H45">
        <v>0.69299999999999995</v>
      </c>
      <c r="I45">
        <v>0</v>
      </c>
      <c r="J45">
        <v>9.19</v>
      </c>
      <c r="K45">
        <f t="shared" si="14"/>
        <v>1.5119711380780585</v>
      </c>
      <c r="L45">
        <v>0.46100000000000002</v>
      </c>
      <c r="M45">
        <v>0.3049</v>
      </c>
      <c r="P45" s="8">
        <f t="shared" si="15"/>
        <v>1.778</v>
      </c>
      <c r="Q45" s="9">
        <f t="shared" si="16"/>
        <v>6.3215519999999996</v>
      </c>
      <c r="R45" s="9">
        <f t="shared" si="17"/>
        <v>7.7444599999999999E-3</v>
      </c>
      <c r="S45" s="10">
        <f t="shared" si="18"/>
        <v>1.5119711380780585</v>
      </c>
      <c r="U45" s="9"/>
      <c r="V45" s="9"/>
      <c r="W45" s="9"/>
    </row>
    <row r="46" spans="1:23" x14ac:dyDescent="0.2">
      <c r="B46">
        <v>8</v>
      </c>
      <c r="C46">
        <v>82</v>
      </c>
      <c r="D46">
        <v>20.350000000000001</v>
      </c>
      <c r="E46">
        <v>0</v>
      </c>
      <c r="F46">
        <v>3495</v>
      </c>
      <c r="G46">
        <v>1.33E-3</v>
      </c>
      <c r="H46">
        <v>0.68500000000000005</v>
      </c>
      <c r="I46">
        <v>0</v>
      </c>
      <c r="J46">
        <v>9.08</v>
      </c>
      <c r="K46">
        <f t="shared" si="14"/>
        <v>1.4940040947645512</v>
      </c>
      <c r="L46">
        <v>0.51080000000000003</v>
      </c>
      <c r="M46">
        <v>0.34189999999999998</v>
      </c>
      <c r="P46" s="8">
        <f t="shared" si="15"/>
        <v>2.0827999999999998</v>
      </c>
      <c r="Q46" s="9">
        <f t="shared" si="16"/>
        <v>6.2026800000000009</v>
      </c>
      <c r="R46" s="9">
        <f t="shared" si="17"/>
        <v>8.6842599999999992E-3</v>
      </c>
      <c r="S46" s="10">
        <f t="shared" si="18"/>
        <v>1.4940040947645512</v>
      </c>
      <c r="U46" s="9"/>
      <c r="V46" s="9"/>
      <c r="W46" s="9"/>
    </row>
    <row r="47" spans="1:23" x14ac:dyDescent="0.2">
      <c r="B47">
        <v>9</v>
      </c>
      <c r="C47">
        <v>90</v>
      </c>
      <c r="D47">
        <v>20.05</v>
      </c>
      <c r="E47">
        <v>0</v>
      </c>
      <c r="F47">
        <v>3681</v>
      </c>
      <c r="G47">
        <v>1.31E-3</v>
      </c>
      <c r="H47">
        <v>0.71199999999999997</v>
      </c>
      <c r="I47">
        <v>0</v>
      </c>
      <c r="J47">
        <v>9.09</v>
      </c>
      <c r="K47">
        <f t="shared" si="14"/>
        <v>1.490426695842451</v>
      </c>
      <c r="L47">
        <v>0.54490000000000005</v>
      </c>
      <c r="M47">
        <v>0.36559999999999998</v>
      </c>
      <c r="P47" s="11">
        <f t="shared" si="15"/>
        <v>2.286</v>
      </c>
      <c r="Q47" s="12">
        <f t="shared" si="16"/>
        <v>6.1112400000000004</v>
      </c>
      <c r="R47" s="12">
        <f t="shared" si="17"/>
        <v>9.2862399999999994E-3</v>
      </c>
      <c r="S47" s="13">
        <f t="shared" si="18"/>
        <v>1.490426695842451</v>
      </c>
      <c r="U47" s="9"/>
      <c r="V47" s="9"/>
      <c r="W47" s="9"/>
    </row>
    <row r="48" spans="1:23" x14ac:dyDescent="0.2">
      <c r="P48" s="9"/>
      <c r="Q48" s="9"/>
      <c r="R48" s="9"/>
      <c r="S48" s="9"/>
      <c r="U48" s="9"/>
      <c r="V48" s="9"/>
      <c r="W48" s="9"/>
    </row>
    <row r="49" spans="2:23" x14ac:dyDescent="0.2">
      <c r="P49" s="9"/>
      <c r="Q49" s="9"/>
      <c r="R49" s="9"/>
      <c r="S49" s="9"/>
      <c r="U49" s="9"/>
      <c r="V49" s="9"/>
      <c r="W49" s="9"/>
    </row>
    <row r="50" spans="2:23" x14ac:dyDescent="0.2">
      <c r="P50" s="9"/>
      <c r="Q50" s="9"/>
      <c r="R50" s="9"/>
      <c r="S50" s="9"/>
      <c r="U50" s="9"/>
      <c r="V50" s="9"/>
      <c r="W50" s="9"/>
    </row>
    <row r="51" spans="2:23" x14ac:dyDescent="0.2">
      <c r="P51" s="9"/>
      <c r="Q51" s="9"/>
      <c r="R51" s="9"/>
      <c r="S51" s="9"/>
      <c r="U51" s="9"/>
      <c r="V51" s="9"/>
      <c r="W51" s="9"/>
    </row>
    <row r="52" spans="2:23" x14ac:dyDescent="0.2">
      <c r="G52" s="17" t="s">
        <v>174</v>
      </c>
      <c r="H52" s="33">
        <f>F56</f>
        <v>1.6100000000000001E-4</v>
      </c>
      <c r="I52" s="17" t="s">
        <v>120</v>
      </c>
      <c r="J52" s="33">
        <f>H52*$J$4^2</f>
        <v>1.4957389440000002E-5</v>
      </c>
      <c r="K52" s="17" t="s">
        <v>154</v>
      </c>
      <c r="P52" s="22" t="s">
        <v>161</v>
      </c>
      <c r="Q52" s="23">
        <f>D60*$J$4</f>
        <v>8.8788239999999998</v>
      </c>
      <c r="R52" s="23" t="s">
        <v>32</v>
      </c>
      <c r="S52" s="24"/>
      <c r="U52" s="9"/>
      <c r="V52" s="9"/>
      <c r="W52" s="9"/>
    </row>
    <row r="53" spans="2:23" x14ac:dyDescent="0.2">
      <c r="G53" s="17" t="s">
        <v>153</v>
      </c>
      <c r="H53" s="33">
        <f>D60/F56</f>
        <v>180931.67701863352</v>
      </c>
      <c r="I53" s="17" t="s">
        <v>163</v>
      </c>
      <c r="J53" s="33">
        <f>Q52/J52</f>
        <v>593607.86423436191</v>
      </c>
      <c r="K53" s="17" t="s">
        <v>164</v>
      </c>
      <c r="P53" s="25" t="s">
        <v>162</v>
      </c>
      <c r="Q53" s="32">
        <f>J53</f>
        <v>593607.86423436191</v>
      </c>
      <c r="R53" s="27" t="s">
        <v>164</v>
      </c>
      <c r="S53" s="26"/>
      <c r="U53" s="9"/>
      <c r="V53" s="9"/>
      <c r="W53" s="9"/>
    </row>
    <row r="54" spans="2:23" x14ac:dyDescent="0.2">
      <c r="P54" s="25" t="s">
        <v>93</v>
      </c>
      <c r="Q54" s="27" t="str">
        <f>C7</f>
        <v>ANDERSEN1972C</v>
      </c>
      <c r="R54" s="27"/>
      <c r="S54" s="26"/>
    </row>
    <row r="55" spans="2:23" x14ac:dyDescent="0.2">
      <c r="P55" s="58" t="s">
        <v>165</v>
      </c>
      <c r="Q55" s="59"/>
      <c r="R55" s="59"/>
      <c r="S55" s="60"/>
    </row>
    <row r="56" spans="2:23" x14ac:dyDescent="0.2">
      <c r="B56" t="s">
        <v>104</v>
      </c>
      <c r="C56" t="s">
        <v>127</v>
      </c>
      <c r="E56" t="s">
        <v>119</v>
      </c>
      <c r="F56" s="3">
        <v>1.6100000000000001E-4</v>
      </c>
      <c r="G56" t="s">
        <v>120</v>
      </c>
      <c r="I56" t="s">
        <v>123</v>
      </c>
      <c r="J56">
        <v>-0.2</v>
      </c>
      <c r="K56" t="s">
        <v>129</v>
      </c>
      <c r="P56" s="58"/>
      <c r="Q56" s="59"/>
      <c r="R56" s="59"/>
      <c r="S56" s="60"/>
    </row>
    <row r="57" spans="2:23" x14ac:dyDescent="0.2">
      <c r="B57" t="s">
        <v>100</v>
      </c>
      <c r="C57" t="s">
        <v>38</v>
      </c>
      <c r="D57" t="s">
        <v>101</v>
      </c>
      <c r="E57" t="s">
        <v>103</v>
      </c>
      <c r="F57" t="s">
        <v>102</v>
      </c>
      <c r="G57" t="s">
        <v>105</v>
      </c>
      <c r="H57" t="s">
        <v>106</v>
      </c>
      <c r="I57" t="s">
        <v>107</v>
      </c>
      <c r="J57" t="s">
        <v>64</v>
      </c>
      <c r="K57" t="s">
        <v>5</v>
      </c>
      <c r="L57" s="7" t="s">
        <v>108</v>
      </c>
      <c r="M57" s="7" t="s">
        <v>109</v>
      </c>
      <c r="P57" s="58"/>
      <c r="Q57" s="59"/>
      <c r="R57" s="59"/>
      <c r="S57" s="60"/>
    </row>
    <row r="58" spans="2:23" x14ac:dyDescent="0.2">
      <c r="B58" t="s">
        <v>122</v>
      </c>
      <c r="C58" t="s">
        <v>111</v>
      </c>
      <c r="D58" t="s">
        <v>112</v>
      </c>
      <c r="E58" t="s">
        <v>113</v>
      </c>
      <c r="F58" t="s">
        <v>73</v>
      </c>
      <c r="G58" t="s">
        <v>114</v>
      </c>
      <c r="H58" t="s">
        <v>115</v>
      </c>
      <c r="I58" t="s">
        <v>116</v>
      </c>
      <c r="J58" t="s">
        <v>117</v>
      </c>
      <c r="K58" t="s">
        <v>130</v>
      </c>
      <c r="L58" s="7" t="s">
        <v>53</v>
      </c>
      <c r="M58" s="7" t="s">
        <v>118</v>
      </c>
      <c r="P58" s="25" t="s">
        <v>0</v>
      </c>
      <c r="Q58" s="27" t="s">
        <v>67</v>
      </c>
      <c r="R58" s="27" t="s">
        <v>152</v>
      </c>
      <c r="S58" s="26" t="s">
        <v>5</v>
      </c>
    </row>
    <row r="59" spans="2:23" x14ac:dyDescent="0.2">
      <c r="B59" t="s">
        <v>121</v>
      </c>
      <c r="C59" t="s">
        <v>6</v>
      </c>
      <c r="D59" t="s">
        <v>110</v>
      </c>
      <c r="E59" t="s">
        <v>78</v>
      </c>
      <c r="F59" t="s">
        <v>78</v>
      </c>
      <c r="G59" t="s">
        <v>78</v>
      </c>
      <c r="H59" t="s">
        <v>78</v>
      </c>
      <c r="I59" t="s">
        <v>78</v>
      </c>
      <c r="J59" t="s">
        <v>78</v>
      </c>
      <c r="K59" t="s">
        <v>78</v>
      </c>
      <c r="L59" s="7" t="s">
        <v>19</v>
      </c>
      <c r="M59" s="7" t="s">
        <v>19</v>
      </c>
      <c r="P59" s="25" t="s">
        <v>66</v>
      </c>
      <c r="Q59" s="27" t="s">
        <v>151</v>
      </c>
      <c r="R59" s="27" t="s">
        <v>66</v>
      </c>
      <c r="S59" s="26" t="s">
        <v>3</v>
      </c>
    </row>
    <row r="60" spans="2:23" x14ac:dyDescent="0.2">
      <c r="B60">
        <v>1</v>
      </c>
      <c r="C60">
        <v>2</v>
      </c>
      <c r="D60">
        <v>29.13</v>
      </c>
      <c r="E60">
        <v>0</v>
      </c>
      <c r="F60">
        <v>541</v>
      </c>
      <c r="G60">
        <v>2.6900000000000001E-3</v>
      </c>
      <c r="H60">
        <v>0.219</v>
      </c>
      <c r="I60">
        <v>0</v>
      </c>
      <c r="J60">
        <v>6.93</v>
      </c>
      <c r="K60">
        <f t="shared" ref="K60:K68" si="19">L60/M60</f>
        <v>1.5626740947075208</v>
      </c>
      <c r="L60">
        <v>5.6099999999999997E-2</v>
      </c>
      <c r="M60">
        <v>3.5900000000000001E-2</v>
      </c>
      <c r="P60" s="8">
        <f t="shared" ref="P60:P68" si="20">C60*$J$5</f>
        <v>5.0799999999999998E-2</v>
      </c>
      <c r="Q60" s="9">
        <f t="shared" ref="Q60:Q68" si="21">D60*$J$4</f>
        <v>8.8788239999999998</v>
      </c>
      <c r="R60" s="9">
        <f t="shared" ref="R60:R68" si="22">M60*$J$5</f>
        <v>9.1186000000000001E-4</v>
      </c>
      <c r="S60" s="10">
        <f t="shared" ref="S60:S68" si="23">K60</f>
        <v>1.5626740947075208</v>
      </c>
    </row>
    <row r="61" spans="2:23" x14ac:dyDescent="0.2">
      <c r="B61">
        <v>2</v>
      </c>
      <c r="C61">
        <v>10</v>
      </c>
      <c r="D61">
        <v>25.7</v>
      </c>
      <c r="E61">
        <v>0</v>
      </c>
      <c r="F61">
        <v>1024</v>
      </c>
      <c r="G61">
        <v>1.74E-3</v>
      </c>
      <c r="H61">
        <v>1.2010000000000001</v>
      </c>
      <c r="I61">
        <v>0</v>
      </c>
      <c r="J61">
        <v>9.0500000000000007</v>
      </c>
      <c r="K61">
        <f t="shared" si="19"/>
        <v>1.6064935064935066</v>
      </c>
      <c r="L61">
        <v>0.1237</v>
      </c>
      <c r="M61">
        <v>7.6999999999999999E-2</v>
      </c>
      <c r="P61" s="8">
        <f t="shared" si="20"/>
        <v>0.254</v>
      </c>
      <c r="Q61" s="9">
        <f t="shared" si="21"/>
        <v>7.8333599999999999</v>
      </c>
      <c r="R61" s="9">
        <f t="shared" si="22"/>
        <v>1.9557999999999997E-3</v>
      </c>
      <c r="S61" s="10">
        <f t="shared" si="23"/>
        <v>1.6064935064935066</v>
      </c>
    </row>
    <row r="62" spans="2:23" x14ac:dyDescent="0.2">
      <c r="B62">
        <v>3</v>
      </c>
      <c r="C62">
        <v>22</v>
      </c>
      <c r="D62">
        <v>22.31</v>
      </c>
      <c r="E62">
        <v>0</v>
      </c>
      <c r="F62">
        <v>1727</v>
      </c>
      <c r="G62">
        <v>1.2899999999999999E-3</v>
      </c>
      <c r="H62">
        <v>1.5589999999999999</v>
      </c>
      <c r="I62">
        <v>0</v>
      </c>
      <c r="J62">
        <v>11.05</v>
      </c>
      <c r="K62">
        <f t="shared" si="19"/>
        <v>1.6564171122994651</v>
      </c>
      <c r="L62">
        <v>0.24779999999999999</v>
      </c>
      <c r="M62">
        <v>0.14960000000000001</v>
      </c>
      <c r="P62" s="8">
        <f t="shared" si="20"/>
        <v>0.55879999999999996</v>
      </c>
      <c r="Q62" s="9">
        <f t="shared" si="21"/>
        <v>6.8000879999999997</v>
      </c>
      <c r="R62" s="9">
        <f t="shared" si="22"/>
        <v>3.7998400000000001E-3</v>
      </c>
      <c r="S62" s="10">
        <f t="shared" si="23"/>
        <v>1.6564171122994651</v>
      </c>
    </row>
    <row r="63" spans="2:23" x14ac:dyDescent="0.2">
      <c r="B63">
        <v>4</v>
      </c>
      <c r="C63">
        <v>34</v>
      </c>
      <c r="D63">
        <v>20.53</v>
      </c>
      <c r="E63">
        <v>0</v>
      </c>
      <c r="F63">
        <v>2331</v>
      </c>
      <c r="G63">
        <v>1.1900000000000001E-3</v>
      </c>
      <c r="H63">
        <v>1.6259999999999999</v>
      </c>
      <c r="I63">
        <v>0</v>
      </c>
      <c r="J63">
        <v>11.43</v>
      </c>
      <c r="K63">
        <f t="shared" si="19"/>
        <v>1.6528473804100228</v>
      </c>
      <c r="L63">
        <v>0.36280000000000001</v>
      </c>
      <c r="M63">
        <v>0.2195</v>
      </c>
      <c r="P63" s="8">
        <f t="shared" si="20"/>
        <v>0.86359999999999992</v>
      </c>
      <c r="Q63" s="9">
        <f t="shared" si="21"/>
        <v>6.2575440000000011</v>
      </c>
      <c r="R63" s="9">
        <f t="shared" si="22"/>
        <v>5.5753E-3</v>
      </c>
      <c r="S63" s="10">
        <f t="shared" si="23"/>
        <v>1.6528473804100228</v>
      </c>
    </row>
    <row r="64" spans="2:23" x14ac:dyDescent="0.2">
      <c r="B64">
        <v>5</v>
      </c>
      <c r="C64">
        <v>46</v>
      </c>
      <c r="D64">
        <v>19.39</v>
      </c>
      <c r="E64">
        <v>0</v>
      </c>
      <c r="F64">
        <v>2845</v>
      </c>
      <c r="G64" s="6">
        <v>1.14E-3</v>
      </c>
      <c r="H64">
        <v>1.63</v>
      </c>
      <c r="I64">
        <v>0</v>
      </c>
      <c r="J64">
        <v>11.62</v>
      </c>
      <c r="K64">
        <f t="shared" si="19"/>
        <v>1.6442172073342736</v>
      </c>
      <c r="L64">
        <v>0.46629999999999999</v>
      </c>
      <c r="M64">
        <v>0.28360000000000002</v>
      </c>
      <c r="P64" s="8">
        <f t="shared" si="20"/>
        <v>1.1683999999999999</v>
      </c>
      <c r="Q64" s="9">
        <f t="shared" si="21"/>
        <v>5.9100720000000004</v>
      </c>
      <c r="R64" s="9">
        <f t="shared" si="22"/>
        <v>7.2034400000000002E-3</v>
      </c>
      <c r="S64" s="10">
        <f t="shared" si="23"/>
        <v>1.6442172073342736</v>
      </c>
    </row>
    <row r="65" spans="2:19" x14ac:dyDescent="0.2">
      <c r="B65">
        <v>6</v>
      </c>
      <c r="C65">
        <v>58</v>
      </c>
      <c r="D65">
        <v>18.55</v>
      </c>
      <c r="E65">
        <v>0</v>
      </c>
      <c r="F65">
        <v>3269</v>
      </c>
      <c r="G65">
        <v>1.1000000000000001E-3</v>
      </c>
      <c r="H65">
        <v>1.577</v>
      </c>
      <c r="I65">
        <v>0</v>
      </c>
      <c r="J65">
        <v>11.48</v>
      </c>
      <c r="K65">
        <f t="shared" si="19"/>
        <v>1.6139166177334114</v>
      </c>
      <c r="L65">
        <v>0.54969999999999997</v>
      </c>
      <c r="M65">
        <v>0.34060000000000001</v>
      </c>
      <c r="P65" s="8">
        <f t="shared" si="20"/>
        <v>1.4731999999999998</v>
      </c>
      <c r="Q65" s="9">
        <f t="shared" si="21"/>
        <v>5.6540400000000002</v>
      </c>
      <c r="R65" s="9">
        <f t="shared" si="22"/>
        <v>8.6512399999999993E-3</v>
      </c>
      <c r="S65" s="10">
        <f t="shared" si="23"/>
        <v>1.6139166177334114</v>
      </c>
    </row>
    <row r="66" spans="2:19" x14ac:dyDescent="0.2">
      <c r="B66">
        <v>7</v>
      </c>
      <c r="C66">
        <v>70</v>
      </c>
      <c r="D66">
        <v>17.97</v>
      </c>
      <c r="E66">
        <v>0</v>
      </c>
      <c r="F66">
        <v>3673</v>
      </c>
      <c r="G66">
        <v>1.07E-3</v>
      </c>
      <c r="H66">
        <v>1.5469999999999999</v>
      </c>
      <c r="I66">
        <v>0</v>
      </c>
      <c r="J66">
        <v>11.39</v>
      </c>
      <c r="K66">
        <f t="shared" si="19"/>
        <v>1.5922551252847379</v>
      </c>
      <c r="L66">
        <v>0.62909999999999999</v>
      </c>
      <c r="M66">
        <v>0.39510000000000001</v>
      </c>
      <c r="P66" s="8">
        <f t="shared" si="20"/>
        <v>1.778</v>
      </c>
      <c r="Q66" s="9">
        <f t="shared" si="21"/>
        <v>5.4772559999999997</v>
      </c>
      <c r="R66" s="9">
        <f t="shared" si="22"/>
        <v>1.0035539999999999E-2</v>
      </c>
      <c r="S66" s="10">
        <f t="shared" si="23"/>
        <v>1.5922551252847379</v>
      </c>
    </row>
    <row r="67" spans="2:19" x14ac:dyDescent="0.2">
      <c r="B67">
        <v>8</v>
      </c>
      <c r="C67">
        <v>82</v>
      </c>
      <c r="D67">
        <v>17.420000000000002</v>
      </c>
      <c r="E67">
        <v>0</v>
      </c>
      <c r="F67">
        <v>4139</v>
      </c>
      <c r="G67">
        <v>1.0300000000000001E-3</v>
      </c>
      <c r="H67">
        <v>1.575</v>
      </c>
      <c r="I67">
        <v>0</v>
      </c>
      <c r="J67">
        <v>11.43</v>
      </c>
      <c r="K67">
        <f t="shared" si="19"/>
        <v>1.5820082770638204</v>
      </c>
      <c r="L67">
        <v>0.72629999999999995</v>
      </c>
      <c r="M67">
        <v>0.45910000000000001</v>
      </c>
      <c r="P67" s="8">
        <f t="shared" si="20"/>
        <v>2.0827999999999998</v>
      </c>
      <c r="Q67" s="9">
        <f t="shared" si="21"/>
        <v>5.309616000000001</v>
      </c>
      <c r="R67" s="9">
        <f t="shared" si="22"/>
        <v>1.166114E-2</v>
      </c>
      <c r="S67" s="10">
        <f t="shared" si="23"/>
        <v>1.5820082770638204</v>
      </c>
    </row>
    <row r="68" spans="2:19" x14ac:dyDescent="0.2">
      <c r="B68">
        <v>9</v>
      </c>
      <c r="C68">
        <v>90</v>
      </c>
      <c r="D68">
        <v>17.100000000000001</v>
      </c>
      <c r="E68">
        <v>0</v>
      </c>
      <c r="F68">
        <v>4578</v>
      </c>
      <c r="G68">
        <v>1.01E-3</v>
      </c>
      <c r="H68">
        <v>1.75</v>
      </c>
      <c r="I68">
        <v>0</v>
      </c>
      <c r="J68">
        <v>11.72</v>
      </c>
      <c r="K68">
        <f t="shared" si="19"/>
        <v>1.5933513722458448</v>
      </c>
      <c r="L68">
        <v>0.82440000000000002</v>
      </c>
      <c r="M68">
        <v>0.51739999999999997</v>
      </c>
      <c r="P68" s="11">
        <f t="shared" si="20"/>
        <v>2.286</v>
      </c>
      <c r="Q68" s="12">
        <f t="shared" si="21"/>
        <v>5.2120800000000003</v>
      </c>
      <c r="R68" s="12">
        <f t="shared" si="22"/>
        <v>1.3141959999999999E-2</v>
      </c>
      <c r="S68" s="13">
        <f t="shared" si="23"/>
        <v>1.5933513722458448</v>
      </c>
    </row>
    <row r="72" spans="2:19" x14ac:dyDescent="0.2">
      <c r="B72" t="s">
        <v>26</v>
      </c>
    </row>
    <row r="73" spans="2:19" x14ac:dyDescent="0.2">
      <c r="B73" s="42" t="s">
        <v>134</v>
      </c>
      <c r="C73" s="42"/>
      <c r="D73" s="42"/>
      <c r="E73" s="42"/>
      <c r="F73" s="42"/>
      <c r="G73" s="42"/>
      <c r="H73" s="42"/>
    </row>
    <row r="74" spans="2:19" x14ac:dyDescent="0.2">
      <c r="B74" s="42"/>
      <c r="C74" s="42"/>
      <c r="D74" s="42"/>
      <c r="E74" s="42"/>
      <c r="F74" s="42"/>
      <c r="G74" s="42"/>
      <c r="H74" s="42"/>
    </row>
    <row r="75" spans="2:19" x14ac:dyDescent="0.2">
      <c r="B75" s="42"/>
      <c r="C75" s="42"/>
      <c r="D75" s="42"/>
      <c r="E75" s="42"/>
      <c r="F75" s="42"/>
      <c r="G75" s="42"/>
      <c r="H75" s="42"/>
    </row>
    <row r="76" spans="2:19" x14ac:dyDescent="0.2">
      <c r="B76" s="42"/>
      <c r="C76" s="42"/>
      <c r="D76" s="42"/>
      <c r="E76" s="42"/>
      <c r="F76" s="42"/>
      <c r="G76" s="42"/>
      <c r="H76" s="42"/>
    </row>
  </sheetData>
  <mergeCells count="5">
    <mergeCell ref="B73:H76"/>
    <mergeCell ref="U13:W15"/>
    <mergeCell ref="P13:S15"/>
    <mergeCell ref="P34:S36"/>
    <mergeCell ref="P55:S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Schubauer and Klebanoff</vt:lpstr>
      <vt:lpstr>Ferry</vt:lpstr>
      <vt:lpstr>Harun</vt:lpstr>
      <vt:lpstr>BradshawFerriss</vt:lpstr>
      <vt:lpstr>AubertineEaton</vt:lpstr>
      <vt:lpstr>SkareKrogstad</vt:lpstr>
      <vt:lpstr>Vinuesa_et_al</vt:lpstr>
      <vt:lpstr>Lee and Sung</vt:lpstr>
      <vt:lpstr>KaysAndMoffat</vt:lpstr>
      <vt:lpstr>G-Beta Locus</vt:lpstr>
      <vt:lpstr>BL Runs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Gael de Oliveira</cp:lastModifiedBy>
  <dcterms:created xsi:type="dcterms:W3CDTF">2017-11-18T00:37:11Z</dcterms:created>
  <dcterms:modified xsi:type="dcterms:W3CDTF">2018-03-12T02:15:43Z</dcterms:modified>
</cp:coreProperties>
</file>